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6705" windowWidth="20730" windowHeight="181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B81" i="8"/>
  <c r="C81"/>
  <c r="D81"/>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K1625" s="1"/>
  <c r="I1625"/>
  <c r="J1624"/>
  <c r="I1624"/>
  <c r="K1624" s="1"/>
  <c r="J1623"/>
  <c r="I1623"/>
  <c r="J1622"/>
  <c r="I1622"/>
  <c r="J1621"/>
  <c r="I1621"/>
  <c r="F1625"/>
  <c r="E1625"/>
  <c r="F1624"/>
  <c r="E1624"/>
  <c r="F1623"/>
  <c r="E1623"/>
  <c r="F1622"/>
  <c r="G1622" s="1"/>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31" l="1"/>
  <c r="G1617"/>
  <c r="G1602"/>
  <c r="K1611"/>
  <c r="K1622"/>
  <c r="M1622" s="1"/>
  <c r="K1635"/>
  <c r="G1611"/>
  <c r="K1637"/>
  <c r="K1638"/>
  <c r="K1609"/>
  <c r="M1609" s="1"/>
  <c r="G1635"/>
  <c r="K1608"/>
  <c r="G1624"/>
  <c r="M1624" s="1"/>
  <c r="G1637"/>
  <c r="M291" i="11"/>
  <c r="G1621" i="46"/>
  <c r="G1623"/>
  <c r="G1625"/>
  <c r="M1625" s="1"/>
  <c r="G1634"/>
  <c r="G1636"/>
  <c r="G1638"/>
  <c r="M1638" s="1"/>
  <c r="K1604"/>
  <c r="M1604" s="1"/>
  <c r="K1629"/>
  <c r="G1628"/>
  <c r="K1636"/>
  <c r="K1617"/>
  <c r="M1617" s="1"/>
  <c r="K1631"/>
  <c r="K1612"/>
  <c r="K1610"/>
  <c r="M1610" s="1"/>
  <c r="K1621"/>
  <c r="K1634"/>
  <c r="M1634" s="1"/>
  <c r="K1623"/>
  <c r="G1615"/>
  <c r="G1629"/>
  <c r="G1612"/>
  <c r="G1608"/>
  <c r="K1603"/>
  <c r="K1605"/>
  <c r="G1619"/>
  <c r="K1616"/>
  <c r="K1618"/>
  <c r="K1628"/>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3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J879"/>
  <c r="J882" s="1"/>
  <c r="J897" s="1"/>
  <c r="I879"/>
  <c r="I882" s="1"/>
  <c r="I897" s="1"/>
  <c r="H879"/>
  <c r="H882" s="1"/>
  <c r="G879"/>
  <c r="G882" s="1"/>
  <c r="F879"/>
  <c r="F882" s="1"/>
  <c r="F897" s="1"/>
  <c r="E879"/>
  <c r="E882" s="1"/>
  <c r="E897" s="1"/>
  <c r="D879"/>
  <c r="D882" s="1"/>
  <c r="C879"/>
  <c r="C882" s="1"/>
  <c r="C897" s="1"/>
  <c r="B879"/>
  <c r="B882" s="1"/>
  <c r="B897" s="1"/>
  <c r="A867"/>
  <c r="A896" s="1"/>
  <c r="A859"/>
  <c r="A888" s="1"/>
  <c r="A858"/>
  <c r="A887" s="1"/>
  <c r="A857"/>
  <c r="A886" s="1"/>
  <c r="A856"/>
  <c r="A885" s="1"/>
  <c r="K851"/>
  <c r="J851"/>
  <c r="I851"/>
  <c r="H851"/>
  <c r="G851"/>
  <c r="F851"/>
  <c r="E851"/>
  <c r="D851"/>
  <c r="C851"/>
  <c r="B851"/>
  <c r="K850"/>
  <c r="K853" s="1"/>
  <c r="K868" s="1"/>
  <c r="J850"/>
  <c r="J853" s="1"/>
  <c r="I850"/>
  <c r="I853" s="1"/>
  <c r="H850"/>
  <c r="H853" s="1"/>
  <c r="G850"/>
  <c r="G853" s="1"/>
  <c r="G868" s="1"/>
  <c r="F850"/>
  <c r="F853" s="1"/>
  <c r="E850"/>
  <c r="E853" s="1"/>
  <c r="D850"/>
  <c r="D853" s="1"/>
  <c r="C850"/>
  <c r="C853" s="1"/>
  <c r="C868" s="1"/>
  <c r="B850"/>
  <c r="B853" s="1"/>
  <c r="A837"/>
  <c r="A866" s="1"/>
  <c r="A895" s="1"/>
  <c r="A836"/>
  <c r="A865" s="1"/>
  <c r="A894" s="1"/>
  <c r="A835"/>
  <c r="A864" s="1"/>
  <c r="A893" s="1"/>
  <c r="B825"/>
  <c r="B823"/>
  <c r="K822"/>
  <c r="J822"/>
  <c r="I822"/>
  <c r="H822"/>
  <c r="G822"/>
  <c r="F822"/>
  <c r="E822"/>
  <c r="D822"/>
  <c r="C822"/>
  <c r="B822"/>
  <c r="K821"/>
  <c r="K824" s="1"/>
  <c r="K839" s="1"/>
  <c r="J821"/>
  <c r="J824" s="1"/>
  <c r="I821"/>
  <c r="I824" s="1"/>
  <c r="I839" s="1"/>
  <c r="H821"/>
  <c r="H824" s="1"/>
  <c r="H839" s="1"/>
  <c r="G821"/>
  <c r="G824" s="1"/>
  <c r="G839" s="1"/>
  <c r="F821"/>
  <c r="F824" s="1"/>
  <c r="E821"/>
  <c r="E824" s="1"/>
  <c r="D821"/>
  <c r="D824" s="1"/>
  <c r="D839" s="1"/>
  <c r="C821"/>
  <c r="C824" s="1"/>
  <c r="C839"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D868" l="1"/>
  <c r="H868"/>
  <c r="G897"/>
  <c r="K897"/>
  <c r="E839"/>
  <c r="F839"/>
  <c r="J839"/>
  <c r="B868"/>
  <c r="F868"/>
  <c r="J868"/>
  <c r="E868"/>
  <c r="I868"/>
  <c r="D897"/>
  <c r="H897"/>
  <c r="P162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524"/>
  <c r="A490"/>
  <c r="A3"/>
  <c r="A1" i="47"/>
  <c r="E825" i="46"/>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D826"/>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0"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0" i="46"/>
  <c r="H826" s="1"/>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0" l="1"/>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7" i="3"/>
  <c r="M393" i="46" s="1"/>
  <c r="M35" i="3"/>
  <c r="M391" i="46" s="1"/>
  <c r="M34" i="3"/>
  <c r="M390" i="46" s="1"/>
  <c r="M33" i="3"/>
  <c r="M389" i="46" s="1"/>
  <c r="M388"/>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833"/>
  <c r="B26" i="8"/>
  <c r="B830" i="46" s="1"/>
  <c r="B836" l="1"/>
  <c r="B837"/>
  <c r="B835"/>
  <c r="B834"/>
  <c r="B838"/>
  <c r="F847"/>
  <c r="G846"/>
  <c r="F854"/>
  <c r="F852"/>
  <c r="F848"/>
  <c r="E849"/>
  <c r="E855" s="1"/>
  <c r="L235" i="11"/>
  <c r="P230"/>
  <c r="O230"/>
  <c r="U1548" i="46" s="1"/>
  <c r="A2" i="41"/>
  <c r="K60" i="6"/>
  <c r="K969" i="46" s="1"/>
  <c r="F855" l="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55" i="46" l="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844"/>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844" i="46" l="1"/>
  <c r="F833"/>
  <c r="I833"/>
  <c r="E833"/>
  <c r="H833"/>
  <c r="D833"/>
  <c r="J833"/>
  <c r="K833"/>
  <c r="G833"/>
  <c r="L1561"/>
  <c r="M67"/>
  <c r="L243" i="11"/>
  <c r="FW48" i="36"/>
  <c r="J85" s="1"/>
  <c r="M68" i="46"/>
  <c r="A82" i="36"/>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D844" i="46" l="1"/>
  <c r="I891"/>
  <c r="K862"/>
  <c r="C862"/>
  <c r="H891"/>
  <c r="J862"/>
  <c r="B862"/>
  <c r="K891"/>
  <c r="G891"/>
  <c r="C891"/>
  <c r="I862"/>
  <c r="E862"/>
  <c r="E891"/>
  <c r="G862"/>
  <c r="D891"/>
  <c r="F862"/>
  <c r="J891"/>
  <c r="F891"/>
  <c r="B891"/>
  <c r="H862"/>
  <c r="D862"/>
  <c r="I1523"/>
  <c r="H406"/>
  <c r="O104" i="36"/>
  <c r="H738" i="46"/>
  <c r="O738" s="1"/>
  <c r="L27" i="3"/>
  <c r="L382" i="46"/>
  <c r="L383" s="1"/>
  <c r="N640"/>
  <c r="P640"/>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5" l="1"/>
  <c r="Q649" i="46" s="1"/>
  <c r="Q16" i="36"/>
  <c r="Q650" i="46" s="1"/>
  <c r="Q17" i="36"/>
  <c r="Q651" i="46" s="1"/>
  <c r="Q10" i="36"/>
  <c r="Q644" i="46" s="1"/>
  <c r="Q18" i="36"/>
  <c r="Q652" i="46" s="1"/>
  <c r="Q19" i="36"/>
  <c r="Q653" i="46" s="1"/>
  <c r="Q20" i="36"/>
  <c r="Q654" i="46" s="1"/>
  <c r="Q21" i="36"/>
  <c r="Q655" i="46" s="1"/>
  <c r="Q13" i="36"/>
  <c r="Q647" i="46" s="1"/>
  <c r="Q14" i="36"/>
  <c r="Q648" i="46" s="1"/>
  <c r="Q11" i="36"/>
  <c r="Q645" i="46" s="1"/>
  <c r="Q12" i="36"/>
  <c r="Q646" i="46" s="1"/>
  <c r="E844"/>
  <c r="Q65" i="36"/>
  <c r="I75" i="46"/>
  <c r="L1524"/>
  <c r="P1508" s="1"/>
  <c r="P1501" s="1"/>
  <c r="I1524"/>
  <c r="O1508" s="1"/>
  <c r="O1501" s="1"/>
  <c r="Q61" i="36"/>
  <c r="H79" i="46"/>
  <c r="Q64" i="36"/>
  <c r="I76" i="46"/>
  <c r="Q89" i="36"/>
  <c r="Q56"/>
  <c r="H76" i="46"/>
  <c r="H74" s="1"/>
  <c r="Q59" i="36"/>
  <c r="H77" i="46"/>
  <c r="Q97" i="36"/>
  <c r="P75" i="46"/>
  <c r="O398"/>
  <c r="O397"/>
  <c r="H407"/>
  <c r="Q99" i="36"/>
  <c r="P77" i="46"/>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H98" i="36"/>
  <c r="O399" i="46" l="1"/>
  <c r="H78"/>
  <c r="H80" s="1"/>
  <c r="K1486"/>
  <c r="K168" i="11"/>
  <c r="Q58" i="36"/>
  <c r="K1549" i="46"/>
  <c r="K231" i="11"/>
  <c r="P76" i="46"/>
  <c r="P78" s="1"/>
  <c r="P83" s="1"/>
  <c r="L1562"/>
  <c r="L1563" s="1"/>
  <c r="K1485"/>
  <c r="P92"/>
  <c r="P71" i="7"/>
  <c r="P95" i="46"/>
  <c r="P68" i="7"/>
  <c r="F536" i="46"/>
  <c r="D546"/>
  <c r="J457"/>
  <c r="L244" i="11"/>
  <c r="L245" s="1"/>
  <c r="K167"/>
  <c r="J157" i="36"/>
  <c r="J159"/>
  <c r="J158"/>
  <c r="F45" i="7"/>
  <c r="F69" i="46"/>
  <c r="E514"/>
  <c r="F44" i="7"/>
  <c r="F68" i="46"/>
  <c r="F43" i="15"/>
  <c r="L1350" i="46"/>
  <c r="K1350"/>
  <c r="L1349"/>
  <c r="K1349"/>
  <c r="P138" i="7"/>
  <c r="P162" i="46"/>
  <c r="P139" i="7"/>
  <c r="P163" i="46"/>
  <c r="F457"/>
  <c r="L31" i="11"/>
  <c r="L32"/>
  <c r="I962" i="46"/>
  <c r="F883"/>
  <c r="F881"/>
  <c r="F877"/>
  <c r="G875"/>
  <c r="F876"/>
  <c r="E878"/>
  <c r="E884"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28" i="8"/>
  <c r="F832" i="46" s="1"/>
  <c r="M98" i="36"/>
  <c r="M566" i="46" s="1"/>
  <c r="M567" s="1"/>
  <c r="M569" s="1"/>
  <c r="H100" i="36"/>
  <c r="M100" s="1"/>
  <c r="P50" i="7"/>
  <c r="P52" s="1"/>
  <c r="P54" s="1"/>
  <c r="P59" s="1"/>
  <c r="Q96" i="36"/>
  <c r="K20" i="8" l="1"/>
  <c r="H78"/>
  <c r="C78"/>
  <c r="E49"/>
  <c r="H20"/>
  <c r="J49"/>
  <c r="B78"/>
  <c r="G20"/>
  <c r="D49"/>
  <c r="I49"/>
  <c r="J20"/>
  <c r="B49"/>
  <c r="B20"/>
  <c r="J78"/>
  <c r="F49"/>
  <c r="C20"/>
  <c r="D20"/>
  <c r="E20"/>
  <c r="K49"/>
  <c r="F20"/>
  <c r="I78"/>
  <c r="D78"/>
  <c r="G78"/>
  <c r="C49"/>
  <c r="H49"/>
  <c r="E78"/>
  <c r="F78"/>
  <c r="I20"/>
  <c r="G49"/>
  <c r="F844" i="46"/>
  <c r="J566"/>
  <c r="J567" s="1"/>
  <c r="J569" s="1"/>
  <c r="P1348"/>
  <c r="P1670" s="1"/>
  <c r="P1324" s="1"/>
  <c r="G844"/>
  <c r="P30" i="11"/>
  <c r="P352" s="1"/>
  <c r="P356" s="1"/>
  <c r="J458" i="46"/>
  <c r="G546"/>
  <c r="J44" i="15"/>
  <c r="O1348" i="46"/>
  <c r="O1670" s="1"/>
  <c r="O1324" s="1"/>
  <c r="J152" i="15"/>
  <c r="J153" s="1"/>
  <c r="J155" s="1"/>
  <c r="F458" i="46"/>
  <c r="P566"/>
  <c r="P567" s="1"/>
  <c r="P569" s="1"/>
  <c r="P43" i="15"/>
  <c r="P457" i="46"/>
  <c r="P53" i="6"/>
  <c r="J574" i="46"/>
  <c r="F878"/>
  <c r="F884" s="1"/>
  <c r="G883"/>
  <c r="G881"/>
  <c r="G877"/>
  <c r="H875"/>
  <c r="G876"/>
  <c r="K5" i="8"/>
  <c r="O30" i="11"/>
  <c r="J160" i="15"/>
  <c r="Q98" i="36"/>
  <c r="F44" i="15"/>
  <c r="P152"/>
  <c r="P153" s="1"/>
  <c r="P155" s="1"/>
  <c r="M152"/>
  <c r="M153" s="1"/>
  <c r="M155" s="1"/>
  <c r="B21" i="8"/>
  <c r="G28"/>
  <c r="G832" i="46" s="1"/>
  <c r="Q100" i="36"/>
  <c r="G132" i="15"/>
  <c r="P781" i="46" l="1"/>
  <c r="P147" i="36"/>
  <c r="K7" i="8"/>
  <c r="J570" i="46"/>
  <c r="P1674"/>
  <c r="H844"/>
  <c r="O352" i="11"/>
  <c r="U1348" i="46"/>
  <c r="U1670" s="1"/>
  <c r="U1324" s="1"/>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P157" i="36" l="1"/>
  <c r="N148"/>
  <c r="N149"/>
  <c r="P791" i="46"/>
  <c r="N782"/>
  <c r="N783"/>
  <c r="I844"/>
  <c r="J577"/>
  <c r="J579" s="1"/>
  <c r="J581" s="1"/>
  <c r="J583" s="1"/>
  <c r="G574"/>
  <c r="J875"/>
  <c r="I881"/>
  <c r="I877"/>
  <c r="I876"/>
  <c r="I883"/>
  <c r="H878"/>
  <c r="H884" s="1"/>
  <c r="P6" i="11"/>
  <c r="O6"/>
  <c r="J163" i="15"/>
  <c r="J165" s="1"/>
  <c r="J167" s="1"/>
  <c r="J169" s="1"/>
  <c r="G160"/>
  <c r="I28" i="8"/>
  <c r="I832" i="46" s="1"/>
  <c r="F119" i="15" l="1"/>
  <c r="F120"/>
  <c r="B19" i="8"/>
  <c r="N157" i="36"/>
  <c r="P165"/>
  <c r="N791" i="46"/>
  <c r="P799"/>
  <c r="J587"/>
  <c r="M585"/>
  <c r="M171" i="15"/>
  <c r="J173"/>
  <c r="J844" i="46"/>
  <c r="I878"/>
  <c r="I884" s="1"/>
  <c r="J883"/>
  <c r="J881"/>
  <c r="J877"/>
  <c r="K875"/>
  <c r="J876"/>
  <c r="J28" i="8"/>
  <c r="J832" i="46" s="1"/>
  <c r="F77" i="8" l="1"/>
  <c r="C77"/>
  <c r="F19"/>
  <c r="J77"/>
  <c r="G77"/>
  <c r="D48"/>
  <c r="I19"/>
  <c r="H77"/>
  <c r="G48"/>
  <c r="I48"/>
  <c r="J19"/>
  <c r="D19"/>
  <c r="I77"/>
  <c r="E48"/>
  <c r="C48"/>
  <c r="D77"/>
  <c r="F48"/>
  <c r="B48"/>
  <c r="K48"/>
  <c r="K77"/>
  <c r="H19"/>
  <c r="J48"/>
  <c r="E19"/>
  <c r="K19"/>
  <c r="H48"/>
  <c r="E77"/>
  <c r="G19"/>
  <c r="B77"/>
  <c r="C19"/>
  <c r="B22"/>
  <c r="B35"/>
  <c r="J396" i="46"/>
  <c r="L396" s="1"/>
  <c r="J397"/>
  <c r="L397" s="1"/>
  <c r="E99" i="15"/>
  <c r="J6" i="7"/>
  <c r="J41" i="3"/>
  <c r="L41" s="1"/>
  <c r="J40"/>
  <c r="L40" s="1"/>
  <c r="K844" i="46"/>
  <c r="K876"/>
  <c r="K883"/>
  <c r="K881"/>
  <c r="K877"/>
  <c r="J878"/>
  <c r="J884" s="1"/>
  <c r="K28" i="8"/>
  <c r="K832" i="46" s="1"/>
  <c r="B80" i="8" l="1"/>
  <c r="B93"/>
  <c r="K35"/>
  <c r="K22"/>
  <c r="K80"/>
  <c r="K93"/>
  <c r="D80"/>
  <c r="D93"/>
  <c r="D35"/>
  <c r="D22"/>
  <c r="H93"/>
  <c r="H80"/>
  <c r="J93"/>
  <c r="J80"/>
  <c r="G22"/>
  <c r="G35"/>
  <c r="E22"/>
  <c r="E35"/>
  <c r="K64"/>
  <c r="K51"/>
  <c r="C51"/>
  <c r="C64"/>
  <c r="J35"/>
  <c r="J22"/>
  <c r="I35"/>
  <c r="I22"/>
  <c r="F35"/>
  <c r="F22"/>
  <c r="E80"/>
  <c r="E93"/>
  <c r="J64"/>
  <c r="J51"/>
  <c r="B64"/>
  <c r="B51"/>
  <c r="E51"/>
  <c r="E64"/>
  <c r="I51"/>
  <c r="I64"/>
  <c r="D64"/>
  <c r="D51"/>
  <c r="C80"/>
  <c r="C93"/>
  <c r="C22"/>
  <c r="C35"/>
  <c r="H51"/>
  <c r="H64"/>
  <c r="H22"/>
  <c r="H35"/>
  <c r="F64"/>
  <c r="F51"/>
  <c r="I80"/>
  <c r="I93"/>
  <c r="G64"/>
  <c r="G51"/>
  <c r="G80"/>
  <c r="G93"/>
  <c r="F80"/>
  <c r="F93"/>
  <c r="B873" i="46"/>
  <c r="K878"/>
  <c r="K884" s="1"/>
  <c r="B57" i="8"/>
  <c r="B861" i="46" s="1"/>
  <c r="C873" l="1"/>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85" i="46"/>
  <c r="C885"/>
  <c r="D885"/>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869" l="1"/>
  <c r="B898" l="1"/>
  <c r="C898" l="1"/>
  <c r="D898" l="1"/>
  <c r="E898" l="1"/>
  <c r="F898" l="1"/>
  <c r="G898" l="1"/>
  <c r="H898" l="1"/>
  <c r="I898" l="1"/>
  <c r="J898" l="1"/>
  <c r="K898" l="1"/>
</calcChain>
</file>

<file path=xl/sharedStrings.xml><?xml version="1.0" encoding="utf-8"?>
<sst xmlns="http://schemas.openxmlformats.org/spreadsheetml/2006/main" count="10665" uniqueCount="3873">
  <si>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</si>
  <si>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</si>
  <si>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</si>
  <si>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</si>
  <si>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</si>
  <si>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</si>
  <si>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</si>
  <si>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</si>
  <si>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</si>
  <si>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</si>
  <si>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</si>
  <si>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</si>
  <si>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</si>
  <si>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</si>
  <si>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</si>
  <si>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</si>
  <si>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</si>
  <si>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</si>
  <si>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</si>
  <si>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</si>
  <si>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</si>
  <si>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</si>
  <si>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</si>
  <si>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</si>
  <si>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</si>
  <si>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</si>
  <si>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</si>
  <si>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</si>
  <si>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</si>
  <si>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</si>
  <si>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</si>
  <si>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</si>
  <si>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</si>
  <si>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</si>
  <si>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</si>
  <si>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</si>
  <si>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</si>
  <si>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</si>
  <si>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</si>
  <si>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</si>
  <si>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</si>
  <si>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</si>
  <si>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</si>
  <si>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</si>
  <si>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</si>
  <si>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</si>
  <si>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</si>
  <si>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</si>
  <si>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</si>
  <si>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</si>
  <si>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</si>
  <si>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</si>
  <si>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</si>
  <si>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</si>
  <si>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</si>
  <si>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</si>
  <si>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</si>
  <si>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</si>
  <si>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</si>
  <si>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</si>
  <si>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</si>
  <si>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</si>
  <si>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</si>
  <si>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</si>
  <si>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</si>
  <si>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</si>
  <si>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</si>
  <si>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</si>
  <si>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</si>
  <si>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</si>
  <si>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</si>
  <si>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</si>
  <si>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</si>
  <si>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</si>
  <si>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</si>
  <si>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</si>
  <si>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</si>
  <si>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</si>
  <si>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</si>
  <si>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</si>
  <si>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</si>
  <si>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</si>
  <si>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</si>
  <si>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</si>
  <si>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</si>
  <si>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</si>
  <si>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</si>
  <si>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</si>
  <si>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</si>
  <si>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</si>
  <si>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</si>
  <si>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</si>
  <si>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</si>
  <si>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</si>
  <si>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</si>
  <si>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</si>
  <si>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</si>
  <si>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</si>
  <si>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</si>
  <si>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</si>
  <si>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</si>
  <si>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</si>
  <si>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</si>
  <si>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</si>
  <si>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</si>
  <si>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</si>
  <si>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</si>
  <si>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</si>
  <si>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</si>
  <si>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</si>
  <si>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</si>
  <si>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</si>
  <si>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</si>
  <si>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</si>
  <si>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</si>
  <si>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</si>
  <si>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</si>
  <si>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</si>
  <si>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</si>
  <si>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</si>
  <si>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</si>
  <si>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</si>
  <si>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</si>
  <si>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</si>
  <si>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</si>
  <si>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</si>
  <si>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</si>
  <si>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</si>
  <si>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</si>
  <si>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</si>
  <si>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</si>
  <si>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</si>
  <si>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</si>
  <si>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</si>
  <si>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</si>
  <si>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</si>
  <si>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</si>
  <si>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</si>
  <si>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</si>
  <si>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</si>
  <si>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</si>
  <si>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</si>
  <si>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</si>
  <si>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</si>
  <si>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</si>
  <si>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</si>
  <si>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</si>
  <si>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</si>
  <si>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</si>
  <si>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</si>
  <si>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</si>
  <si>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</si>
  <si>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</si>
  <si>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</si>
  <si>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</si>
  <si>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</si>
  <si>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</si>
  <si>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</si>
  <si>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</si>
  <si>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</si>
  <si>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</si>
  <si>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</si>
  <si>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</si>
  <si>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</si>
  <si>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</si>
  <si>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</si>
  <si>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</si>
  <si>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</si>
  <si>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</si>
  <si>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</si>
  <si>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</si>
  <si>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</si>
  <si>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</si>
  <si>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</si>
  <si>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</si>
  <si>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</si>
  <si>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</si>
  <si>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</si>
  <si>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</si>
  <si>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</si>
  <si>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</si>
  <si>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</si>
  <si>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</si>
  <si>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</si>
  <si>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</si>
  <si>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</si>
  <si>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</si>
  <si>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</si>
  <si>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</si>
  <si>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</si>
  <si>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</si>
  <si>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</si>
  <si>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</si>
  <si>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</si>
  <si>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</si>
  <si>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</si>
  <si>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</si>
  <si>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</si>
  <si>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</si>
  <si>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</si>
  <si>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</si>
  <si>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</si>
  <si>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</si>
  <si>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</si>
  <si>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</si>
  <si>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</si>
  <si>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</si>
  <si>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</si>
  <si>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</si>
  <si>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</si>
  <si>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</si>
  <si>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</si>
  <si>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</si>
  <si>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</si>
  <si>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</si>
  <si>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</si>
  <si>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</si>
  <si>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</si>
  <si>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</si>
  <si>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</si>
  <si>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</si>
  <si>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</si>
  <si>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</si>
  <si>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</si>
  <si>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</si>
  <si>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</si>
  <si>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</si>
  <si>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</si>
  <si>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</si>
  <si>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</si>
  <si>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</si>
  <si>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</si>
  <si>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</si>
  <si>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</si>
  <si>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</si>
  <si>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</si>
  <si>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</si>
  <si>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</si>
  <si>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</si>
  <si>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</si>
  <si>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</si>
  <si>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</si>
  <si>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</si>
  <si>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</si>
  <si>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</si>
  <si>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</si>
  <si>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</si>
  <si>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</si>
  <si>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</si>
  <si>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</si>
  <si>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</si>
  <si>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</si>
  <si>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</si>
  <si>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</si>
  <si>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</si>
  <si>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</si>
  <si>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</si>
  <si>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</si>
  <si>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</si>
  <si>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</si>
  <si>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</si>
  <si>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</si>
  <si>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</si>
  <si>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</si>
  <si>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</si>
  <si>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</si>
  <si>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</si>
  <si>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</si>
  <si>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</si>
  <si>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</si>
  <si>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</si>
  <si>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</si>
  <si>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</si>
  <si>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</si>
  <si>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</si>
  <si>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</si>
  <si>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</si>
  <si>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</si>
  <si>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</si>
  <si>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</si>
  <si>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</si>
  <si>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</si>
  <si>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</si>
  <si>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</si>
  <si>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</si>
  <si>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</si>
  <si>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</si>
  <si>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</si>
  <si>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</si>
  <si>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</si>
  <si>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</si>
  <si>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</si>
  <si>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</si>
  <si>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</si>
  <si>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</si>
  <si>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</si>
  <si>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</si>
  <si>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</si>
  <si>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</si>
  <si>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</si>
  <si>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</si>
  <si>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</si>
  <si>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</si>
  <si>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</si>
  <si>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</si>
  <si>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</si>
  <si>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</si>
  <si>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</si>
  <si>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</si>
  <si>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</si>
  <si>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</si>
  <si>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</si>
  <si>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</si>
  <si>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</si>
  <si>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</si>
  <si>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</si>
  <si>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</si>
  <si>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</si>
  <si>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</si>
  <si>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</si>
  <si>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</si>
  <si>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</si>
  <si>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</si>
  <si>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</si>
  <si>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</si>
  <si>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</si>
  <si>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</si>
  <si>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</si>
  <si>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</si>
  <si>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</si>
  <si>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</si>
  <si>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</si>
  <si>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</si>
  <si>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</si>
  <si>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</si>
  <si>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</si>
  <si>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</si>
  <si>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</si>
  <si>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</si>
  <si>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</si>
  <si>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</si>
  <si>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</si>
  <si>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</si>
  <si>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</si>
  <si>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</si>
  <si>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</si>
  <si>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</si>
  <si>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</si>
  <si>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</si>
  <si>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</si>
  <si>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</si>
  <si>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</si>
  <si>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</si>
  <si>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</si>
  <si>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</si>
  <si>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</si>
  <si>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</si>
  <si>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</si>
  <si>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</si>
  <si>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</si>
  <si>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</si>
  <si>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</si>
  <si>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</si>
  <si>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</si>
  <si>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</si>
  <si>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</si>
  <si>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</si>
  <si>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</si>
  <si>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</si>
  <si>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</si>
  <si>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</si>
  <si>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</si>
  <si>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</si>
  <si>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</si>
  <si>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</si>
  <si>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</si>
  <si>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</si>
  <si>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</si>
  <si>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</si>
  <si>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</si>
  <si>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</si>
  <si>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</si>
  <si>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</si>
  <si>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</si>
  <si>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</si>
  <si>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</si>
  <si>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</si>
  <si>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</si>
  <si>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</si>
  <si>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</si>
  <si>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</si>
  <si>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</si>
  <si>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</si>
  <si>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</si>
  <si>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</si>
  <si>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</si>
  <si>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</si>
  <si>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</si>
  <si>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</si>
  <si>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</si>
  <si>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</si>
  <si>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</si>
  <si>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</si>
  <si>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</si>
  <si>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</si>
  <si>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</si>
  <si>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</si>
  <si>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</si>
  <si>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</si>
  <si>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</si>
  <si>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</si>
  <si>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</si>
  <si>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</si>
  <si>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</si>
  <si>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</si>
  <si>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</si>
  <si>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</si>
  <si>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</si>
  <si>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</si>
  <si>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</si>
  <si>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</si>
  <si>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</si>
  <si>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</si>
  <si>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</si>
  <si>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</si>
  <si>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</si>
  <si>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</si>
  <si>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</si>
  <si>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</si>
  <si>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</si>
  <si>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</si>
  <si>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</si>
  <si>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</si>
  <si>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</si>
  <si>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</si>
  <si>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</si>
  <si>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</si>
  <si>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</si>
  <si>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</si>
  <si>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</si>
  <si>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</si>
  <si>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</si>
  <si>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</si>
  <si>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</si>
  <si>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</si>
  <si>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</si>
  <si>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</si>
  <si>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</si>
  <si>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</si>
  <si>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</si>
  <si>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</si>
  <si>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</si>
  <si>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</si>
  <si>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</si>
  <si>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</si>
  <si>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</si>
  <si>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</si>
  <si>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</si>
  <si>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</si>
  <si>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</si>
  <si>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</si>
  <si>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</si>
  <si>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</si>
  <si>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</si>
  <si>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</si>
  <si>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</si>
  <si>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</si>
  <si>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</si>
  <si>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</si>
  <si>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</si>
  <si>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</si>
  <si>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</si>
  <si>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</si>
  <si>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</si>
  <si>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</si>
  <si>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</si>
  <si>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</si>
  <si>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</si>
  <si>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</si>
  <si>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</si>
  <si>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</si>
  <si>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</si>
  <si>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</si>
  <si>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</si>
  <si>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</si>
  <si>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</si>
  <si>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</si>
  <si>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</si>
  <si>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</si>
  <si>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</si>
  <si>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</si>
  <si>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</si>
  <si>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</si>
  <si>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</si>
  <si>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</si>
  <si>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</si>
  <si>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</si>
  <si>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</si>
  <si>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</si>
  <si>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</si>
  <si>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</si>
  <si>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</si>
  <si>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</si>
  <si>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</si>
  <si>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</si>
  <si>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</si>
  <si>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</si>
  <si>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</si>
  <si>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</si>
  <si>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</si>
  <si>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</si>
  <si>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</si>
  <si>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</si>
  <si>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</si>
  <si>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</si>
  <si>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</si>
  <si>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</si>
  <si>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</si>
  <si>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</si>
  <si>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</si>
  <si>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</si>
  <si>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</si>
  <si>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</si>
  <si>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</si>
  <si>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</si>
  <si>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</si>
  <si>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</si>
  <si>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</si>
  <si>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</si>
  <si>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</si>
  <si>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</si>
  <si>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</si>
  <si>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</si>
  <si>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</si>
  <si>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</si>
  <si>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</si>
  <si>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</si>
  <si>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</si>
  <si>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</si>
  <si>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</si>
  <si>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</si>
  <si>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</si>
  <si>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</si>
  <si>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</si>
  <si>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</si>
  <si>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</si>
  <si>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</si>
  <si>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</si>
  <si>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</si>
  <si>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</si>
  <si>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</si>
  <si>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</si>
  <si>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</si>
  <si>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</si>
  <si>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</si>
  <si>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</si>
  <si>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</si>
  <si>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</si>
  <si>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</si>
  <si>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</si>
  <si>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</si>
  <si>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</si>
  <si>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</si>
  <si>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</si>
  <si>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</si>
  <si>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</si>
  <si>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</si>
  <si>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</si>
  <si>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</si>
  <si>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</si>
  <si>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</si>
  <si>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</si>
  <si>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</si>
  <si>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</si>
  <si>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</si>
  <si>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</si>
  <si>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</si>
  <si>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</si>
  <si>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</si>
  <si>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</si>
  <si>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</si>
  <si>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</si>
  <si>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</si>
  <si>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</si>
  <si>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</si>
  <si>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</si>
  <si>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</si>
  <si>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</si>
  <si>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</si>
  <si>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</si>
  <si>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</si>
  <si>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</si>
  <si>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</si>
  <si>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</si>
  <si>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</si>
  <si>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</si>
  <si>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</si>
  <si>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</si>
  <si>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</si>
  <si>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</si>
  <si>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</si>
  <si>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</si>
  <si>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</si>
  <si>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</si>
  <si>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</si>
  <si>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</si>
  <si>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</si>
  <si>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</si>
  <si>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</si>
  <si>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</si>
  <si>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</si>
  <si>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</si>
  <si>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</si>
  <si>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</si>
  <si>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</si>
  <si>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</si>
  <si>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</si>
  <si>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</si>
  <si>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</si>
  <si>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</si>
  <si>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</si>
  <si>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</si>
  <si>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</si>
  <si>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</si>
  <si>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</si>
  <si>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</si>
  <si>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</si>
  <si>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</si>
  <si>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</si>
  <si>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</si>
  <si>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</si>
  <si>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</si>
  <si>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</si>
  <si>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</si>
  <si>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</si>
  <si>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</si>
  <si>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</si>
  <si>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</si>
  <si>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</si>
  <si>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</si>
  <si>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</si>
  <si>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</si>
  <si>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</si>
  <si>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</si>
  <si>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</si>
  <si>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</si>
  <si>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</si>
  <si>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</si>
  <si>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</si>
  <si>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</si>
  <si>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</si>
  <si>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</si>
  <si>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</si>
  <si>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</si>
  <si>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</si>
  <si>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</si>
  <si>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</si>
  <si>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</si>
  <si>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</si>
  <si>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</si>
  <si>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</si>
  <si>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</si>
  <si>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</si>
  <si>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</si>
  <si>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</si>
  <si>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</si>
  <si>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</si>
  <si>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</si>
  <si>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</si>
  <si>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</si>
  <si>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</si>
  <si>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</si>
  <si>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</si>
  <si>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</si>
  <si>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</si>
  <si>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</si>
  <si>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</si>
  <si>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</si>
  <si>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</si>
  <si>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</si>
  <si>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</si>
  <si>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</si>
  <si>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</si>
  <si>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</si>
  <si>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</si>
  <si>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</si>
  <si>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</si>
  <si>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</si>
  <si>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</si>
  <si>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</si>
  <si>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</si>
  <si>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</si>
  <si>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</si>
  <si>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</si>
  <si>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</si>
  <si>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</si>
  <si>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</si>
  <si>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</si>
  <si>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</si>
  <si>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</si>
  <si>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</si>
  <si>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</si>
  <si>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</si>
  <si>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</si>
  <si>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</si>
  <si>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</si>
  <si>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</si>
  <si>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</si>
  <si>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</si>
  <si>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</si>
  <si>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</si>
  <si>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</si>
  <si>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</si>
  <si>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</si>
  <si>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</si>
  <si>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</si>
  <si>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</si>
  <si>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</si>
  <si>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</si>
  <si>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</si>
  <si>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</si>
  <si>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</si>
  <si>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</si>
  <si>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</si>
  <si>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</si>
  <si>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</si>
  <si>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</si>
  <si>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</si>
  <si>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</si>
  <si>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</si>
  <si>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</si>
  <si>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</si>
  <si>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</si>
  <si>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</si>
  <si>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</si>
  <si>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</si>
  <si>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</si>
  <si>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</si>
  <si>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</si>
  <si>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</si>
  <si>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</si>
  <si>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</si>
  <si>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</si>
  <si>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</si>
  <si>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</si>
  <si>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</si>
  <si>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</si>
  <si>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</si>
  <si>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</si>
  <si>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</si>
  <si>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</si>
  <si>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</si>
  <si>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</si>
  <si>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</si>
  <si>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</si>
  <si>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</si>
  <si>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</si>
  <si>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</si>
  <si>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</si>
  <si>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</si>
  <si>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</si>
  <si>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</si>
  <si>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</si>
  <si>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</si>
  <si>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</si>
  <si>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</si>
  <si>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</si>
  <si>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</si>
  <si>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</si>
  <si>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</si>
  <si>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</si>
  <si>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</si>
  <si>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</si>
  <si>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</si>
  <si>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</si>
  <si>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</si>
  <si>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</si>
  <si>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</si>
  <si>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</si>
  <si>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</si>
  <si>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</si>
  <si>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</si>
  <si>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</si>
  <si>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</si>
  <si>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</si>
  <si>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</si>
  <si>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</si>
  <si>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</si>
  <si>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</si>
  <si>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</si>
  <si>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</si>
  <si>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</si>
  <si>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</si>
  <si>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</si>
  <si>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</si>
  <si>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</si>
  <si>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</si>
  <si>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</si>
  <si>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</si>
  <si>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</si>
  <si>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</si>
  <si>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</si>
  <si>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</si>
  <si>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</si>
  <si>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</si>
  <si>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</si>
  <si>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</si>
  <si>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</si>
  <si>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</si>
  <si>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</si>
  <si>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</si>
  <si>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</si>
  <si>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</si>
  <si>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</si>
  <si>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</si>
  <si>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</si>
  <si>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</si>
  <si>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</si>
  <si>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</si>
  <si>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</si>
  <si>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</si>
  <si>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</si>
  <si>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</si>
  <si>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</si>
  <si>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</si>
  <si>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</si>
  <si>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</si>
  <si>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</si>
  <si>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</si>
  <si>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</si>
  <si>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</si>
  <si>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</si>
  <si>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</si>
  <si>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</si>
  <si>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</si>
  <si>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</si>
  <si>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</si>
  <si>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</si>
  <si>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</si>
  <si>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</si>
  <si>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</si>
  <si>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</si>
  <si>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</si>
  <si>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</si>
  <si>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</si>
  <si>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</si>
  <si>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</si>
  <si>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</si>
  <si>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</si>
  <si>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</si>
  <si>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</si>
  <si>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</si>
  <si>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</si>
  <si>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</si>
  <si>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</si>
  <si>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</si>
  <si>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</si>
  <si>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</si>
  <si>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</si>
  <si>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</si>
  <si>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</si>
  <si>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</si>
  <si>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</si>
  <si>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</si>
  <si>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</si>
  <si>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</si>
  <si>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</si>
  <si>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</si>
  <si>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</si>
  <si>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</si>
  <si>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</si>
  <si>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</si>
  <si>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</si>
  <si>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</si>
  <si>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</si>
  <si>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</si>
  <si>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</si>
  <si>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</si>
  <si>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</si>
  <si>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</si>
  <si>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</si>
  <si>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</si>
  <si>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</si>
  <si>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</si>
  <si>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</si>
  <si>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</si>
  <si>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</si>
  <si>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</si>
  <si>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</si>
  <si>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</si>
  <si>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</si>
  <si>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</si>
  <si>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</si>
  <si>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</si>
  <si>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</si>
  <si>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</si>
  <si>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</si>
  <si>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</si>
  <si>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</si>
  <si>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</si>
  <si>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</si>
  <si>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</si>
  <si>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</si>
  <si>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</si>
  <si>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</si>
  <si>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</si>
  <si>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</si>
  <si>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</si>
  <si>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</si>
  <si>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</si>
  <si>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</si>
  <si>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</si>
  <si>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</si>
  <si>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</si>
  <si>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</si>
  <si>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</si>
  <si>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</si>
  <si>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</si>
  <si>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</si>
  <si>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</si>
  <si>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</si>
  <si>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</si>
  <si>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</si>
  <si>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</si>
  <si>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</si>
  <si>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</si>
  <si>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</si>
  <si>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</si>
  <si>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</si>
  <si>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</si>
  <si>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</si>
  <si>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</si>
  <si>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</si>
  <si>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</si>
  <si>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</si>
  <si>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</si>
  <si>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</si>
  <si>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</si>
  <si>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</si>
  <si>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</si>
  <si>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</si>
  <si>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</si>
  <si>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</si>
  <si>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</si>
  <si>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</si>
  <si>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</si>
  <si>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</si>
  <si>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</si>
  <si>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</si>
  <si>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</si>
  <si>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</si>
  <si>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</si>
  <si>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</si>
  <si>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</si>
  <si>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</si>
  <si>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</si>
  <si>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</si>
  <si>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</si>
  <si>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</si>
  <si>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</si>
  <si>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</si>
  <si>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</si>
  <si>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</si>
  <si>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</si>
  <si>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</si>
  <si>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</si>
  <si>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</si>
  <si>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</si>
  <si>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</si>
  <si>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</si>
  <si>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</si>
  <si>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</si>
  <si>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</si>
  <si>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</si>
  <si>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</si>
  <si>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</si>
  <si>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</si>
  <si>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</si>
  <si>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</si>
  <si>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</si>
  <si>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</si>
  <si>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</si>
  <si>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</si>
  <si>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</si>
  <si>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</si>
  <si>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</si>
  <si>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</si>
  <si>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</si>
  <si>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</si>
  <si>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</si>
  <si>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</si>
  <si>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</si>
  <si>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</si>
  <si>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</si>
  <si>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</si>
  <si>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</si>
  <si>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</si>
  <si>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</si>
  <si>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</si>
  <si>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</si>
  <si>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</si>
  <si>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</si>
  <si>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</si>
  <si>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</si>
  <si>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</si>
  <si>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</si>
  <si>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</si>
  <si>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</si>
  <si>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</si>
  <si>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</si>
  <si>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</si>
  <si>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</si>
  <si>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</si>
  <si>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</si>
  <si>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</si>
  <si>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</si>
  <si>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</si>
  <si>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</si>
  <si>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</si>
  <si>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</si>
  <si>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</si>
  <si>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</si>
  <si>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</si>
  <si>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</si>
  <si>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</si>
  <si>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</si>
  <si>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</si>
  <si>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</si>
  <si>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</si>
  <si>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</si>
  <si>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</si>
  <si>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</si>
  <si>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</si>
  <si>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</si>
  <si>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</si>
  <si>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</si>
  <si>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</si>
  <si>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</si>
  <si>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</si>
  <si>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</si>
  <si>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</si>
  <si>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</si>
  <si>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</si>
  <si>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</si>
  <si>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</si>
  <si>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</si>
  <si>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</si>
  <si>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</si>
  <si>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</si>
  <si>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</si>
  <si>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</si>
  <si>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</si>
  <si>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</si>
  <si>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</si>
  <si>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</si>
  <si>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</si>
  <si>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</si>
  <si>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</si>
  <si>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</si>
  <si>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</si>
  <si>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</si>
  <si>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</si>
  <si>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</si>
  <si>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</si>
  <si>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</si>
  <si>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</si>
  <si>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</si>
  <si>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</si>
  <si>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</si>
  <si>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</si>
  <si>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</si>
  <si>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</si>
  <si>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</si>
  <si>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</si>
  <si>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</si>
  <si>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</si>
  <si>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</si>
  <si>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</si>
  <si>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</si>
  <si>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</si>
  <si>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</si>
  <si>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</si>
  <si>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</si>
  <si>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</si>
  <si>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</si>
  <si>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</si>
  <si>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</si>
  <si>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</si>
  <si>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</si>
  <si>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</si>
  <si>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</si>
  <si>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</si>
  <si>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</si>
  <si>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</si>
  <si>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</si>
  <si>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</si>
  <si>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</si>
  <si>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</si>
  <si>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</si>
  <si>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</si>
  <si>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</si>
  <si>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</si>
  <si>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</si>
  <si>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</si>
  <si>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</si>
  <si>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</si>
  <si>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</si>
  <si>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</si>
  <si>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</si>
  <si>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</si>
  <si>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</si>
  <si>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</si>
  <si>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</si>
  <si>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</si>
  <si>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</si>
  <si>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</si>
  <si>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</si>
  <si>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</si>
  <si>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</si>
  <si>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</si>
  <si>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</si>
  <si>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</si>
  <si>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</si>
  <si>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</si>
  <si>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</si>
  <si>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</si>
  <si>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</si>
  <si>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</si>
  <si>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</si>
  <si>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</si>
  <si>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</si>
  <si>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</si>
  <si>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</si>
  <si>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</si>
  <si>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</si>
  <si>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</si>
  <si>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</si>
  <si>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</si>
  <si>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</si>
  <si>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</si>
  <si>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</si>
  <si>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</si>
  <si>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</si>
  <si>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</si>
  <si>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</si>
  <si>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</si>
  <si>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</si>
  <si>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</si>
  <si>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</si>
  <si>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</si>
  <si>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</si>
  <si>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</si>
  <si>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</si>
  <si>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</si>
  <si>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</si>
  <si>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</si>
  <si>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</si>
  <si>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</si>
  <si>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</si>
  <si>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</si>
  <si>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</si>
  <si>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</si>
  <si>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</si>
  <si>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</si>
  <si>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</si>
  <si>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</si>
  <si>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</si>
  <si>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</si>
  <si>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</si>
  <si>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</si>
  <si>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</si>
  <si>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</si>
  <si>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</si>
  <si>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</si>
  <si>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</si>
  <si>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</si>
  <si>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</si>
  <si>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</si>
  <si>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</si>
  <si>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</si>
  <si>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</si>
  <si>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</si>
  <si>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</si>
  <si>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</si>
  <si>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</si>
  <si>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</si>
  <si>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</si>
  <si>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</si>
  <si>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</si>
  <si>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</si>
  <si>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</si>
  <si>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</si>
  <si>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</si>
  <si>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</si>
  <si>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</si>
  <si>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</si>
  <si>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</si>
  <si>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</si>
  <si>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</si>
  <si>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</si>
  <si>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</si>
  <si>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</si>
  <si>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</si>
  <si>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</si>
  <si>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</si>
  <si>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</si>
  <si>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</si>
  <si>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</si>
  <si>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</si>
  <si>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</si>
  <si>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</si>
  <si>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</si>
  <si>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</si>
  <si>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</si>
  <si>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</si>
  <si>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</si>
  <si>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</si>
  <si>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</si>
  <si>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</si>
  <si>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</si>
  <si>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</si>
  <si>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</si>
  <si>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</si>
  <si>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</si>
  <si>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</si>
  <si>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</si>
  <si>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</si>
  <si>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</si>
  <si>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</si>
  <si>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</si>
  <si>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</si>
  <si>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</si>
  <si>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</si>
  <si>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</si>
  <si>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</si>
  <si>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</si>
  <si>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</si>
  <si>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</si>
  <si>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</si>
  <si>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</si>
  <si>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</si>
  <si>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</si>
  <si>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</si>
  <si>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</si>
  <si>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</si>
  <si>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</si>
  <si>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</si>
  <si>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</si>
  <si>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</si>
  <si>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</si>
  <si>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</si>
  <si>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</si>
  <si>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</si>
  <si>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</si>
  <si>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</si>
  <si>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</si>
  <si>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</si>
  <si>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</si>
  <si>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</si>
  <si>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</si>
  <si>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</si>
  <si>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</si>
  <si>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</si>
  <si>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</si>
  <si>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</si>
  <si>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</si>
  <si>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</si>
  <si>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</si>
  <si>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</si>
  <si>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</si>
  <si>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</si>
  <si>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</si>
  <si>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</si>
  <si>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</si>
  <si>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</si>
  <si>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</si>
  <si>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</si>
  <si>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</si>
  <si>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</si>
  <si>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</si>
  <si>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</si>
  <si>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</si>
  <si>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</si>
  <si>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</si>
  <si>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</si>
  <si>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</si>
  <si>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</si>
  <si>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</si>
  <si>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</si>
  <si>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</si>
  <si>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</si>
  <si>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</si>
  <si>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</si>
  <si>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</si>
  <si>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</si>
  <si>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</si>
  <si>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</si>
  <si>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</si>
  <si>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</si>
  <si>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</si>
  <si>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</si>
  <si>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</si>
  <si>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</si>
  <si>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</si>
  <si>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</si>
  <si>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</si>
  <si>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</si>
  <si>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</si>
  <si>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</si>
  <si>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</si>
  <si>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</si>
  <si>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</si>
  <si>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</si>
  <si>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</si>
  <si>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</si>
  <si>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</si>
  <si>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</si>
  <si>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</si>
  <si>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</si>
  <si>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</si>
  <si>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</si>
  <si>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</si>
  <si>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</si>
  <si>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</si>
  <si>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</si>
  <si>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</si>
  <si>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</si>
  <si>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</si>
  <si>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</si>
  <si>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</si>
  <si>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</si>
  <si>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</si>
  <si>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</si>
  <si>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</si>
  <si>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</si>
  <si>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</si>
  <si>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</si>
  <si>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</si>
  <si>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</si>
  <si>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</si>
  <si>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</si>
  <si>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</si>
  <si>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</si>
  <si>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</si>
  <si>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</si>
  <si>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</si>
  <si>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</si>
  <si>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</si>
  <si>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</si>
  <si>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</si>
  <si>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</si>
  <si>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</si>
  <si>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</si>
  <si>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</si>
  <si>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</si>
  <si>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</si>
  <si>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</si>
  <si>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</si>
  <si>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</si>
  <si>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</si>
  <si>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</si>
  <si>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</si>
  <si>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</si>
  <si>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</si>
  <si>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</si>
  <si>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</si>
  <si>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</si>
  <si>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</si>
  <si>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</si>
  <si>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</si>
  <si>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</si>
  <si>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</si>
  <si>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</si>
  <si>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</si>
  <si>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</si>
  <si>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</si>
  <si>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</si>
  <si>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</si>
  <si>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</si>
  <si>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</si>
  <si>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</si>
  <si>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</si>
  <si>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</si>
  <si>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</si>
  <si>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</si>
  <si>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</si>
  <si>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</si>
  <si>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</si>
  <si>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</si>
  <si>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</si>
  <si>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</si>
  <si>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</si>
  <si>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</si>
  <si>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</si>
  <si>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</si>
  <si>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</si>
  <si>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</si>
  <si>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</si>
  <si>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</si>
  <si>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</si>
  <si>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</si>
  <si>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</si>
  <si>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</si>
  <si>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</si>
  <si>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</si>
  <si>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</si>
  <si>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</si>
  <si>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</si>
  <si>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</si>
  <si>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</si>
  <si>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</si>
  <si>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</si>
  <si>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</si>
  <si>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</si>
  <si>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</si>
  <si>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</si>
  <si>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</si>
  <si>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</si>
  <si>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</si>
  <si>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</si>
  <si>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</si>
  <si>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</si>
  <si>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</si>
  <si>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</si>
  <si>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</si>
  <si>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</si>
  <si>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</si>
  <si>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</si>
  <si>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</si>
  <si>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</si>
  <si>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</si>
  <si>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</si>
  <si>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</si>
  <si>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</si>
  <si>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</si>
  <si>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</si>
  <si>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</si>
  <si>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</si>
  <si>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</si>
  <si>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</si>
  <si>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</si>
  <si>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</si>
  <si>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</si>
  <si>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</si>
  <si>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</si>
  <si>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</si>
  <si>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</si>
  <si>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</si>
  <si>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</si>
  <si>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</si>
  <si>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</si>
  <si>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</si>
  <si>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</si>
  <si>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</si>
  <si>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</si>
  <si>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</si>
  <si>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</si>
  <si>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</si>
  <si>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</si>
  <si>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</si>
  <si>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</si>
  <si>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</si>
  <si>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</si>
  <si>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</si>
  <si>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</si>
  <si>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</si>
  <si>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</si>
  <si>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</si>
  <si>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</si>
  <si>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</si>
  <si>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</si>
  <si>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</si>
  <si>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</si>
  <si>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</si>
  <si>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</si>
  <si>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</si>
  <si>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</si>
  <si>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</si>
  <si>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</si>
  <si>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</si>
  <si>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</si>
  <si>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</si>
  <si>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</si>
  <si>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</si>
  <si>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</si>
  <si>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</si>
  <si>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</si>
  <si>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</si>
  <si>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</si>
  <si>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</si>
  <si>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</si>
  <si>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</si>
  <si>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</si>
  <si>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</si>
  <si>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</si>
  <si>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</si>
  <si>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</si>
  <si>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</si>
  <si>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</si>
  <si>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</si>
  <si>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</si>
  <si>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</si>
  <si>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</si>
  <si>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</si>
  <si>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</si>
  <si>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</si>
  <si>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</si>
  <si>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</si>
  <si>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</si>
  <si>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</si>
  <si>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</si>
  <si>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</si>
  <si>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</si>
  <si>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</si>
  <si>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</si>
  <si>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</si>
  <si>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</si>
  <si>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</si>
  <si>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</si>
  <si>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</si>
  <si>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</si>
  <si>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</si>
  <si>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</si>
  <si>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</si>
  <si>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</si>
  <si>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</si>
  <si>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</si>
  <si>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</si>
  <si>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</si>
  <si>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</si>
  <si>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</si>
  <si>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</si>
  <si>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</si>
  <si>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</si>
  <si>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</si>
  <si>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</si>
  <si>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</si>
  <si>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</si>
  <si>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</si>
  <si>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</si>
  <si>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</si>
  <si>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</si>
  <si>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</si>
  <si>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</si>
  <si>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</si>
  <si>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</si>
  <si>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</si>
  <si>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</si>
  <si>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</si>
  <si>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</si>
  <si>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</si>
  <si>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</si>
  <si>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</si>
  <si>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</si>
  <si>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</si>
  <si>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</si>
  <si>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</si>
  <si>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</si>
  <si>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</si>
  <si>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</si>
  <si>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</si>
  <si>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</si>
  <si>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</si>
  <si>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</si>
  <si>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</si>
  <si>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</si>
  <si>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</si>
  <si>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</si>
  <si>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</si>
  <si>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</si>
  <si>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</si>
  <si>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</si>
  <si>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</si>
  <si>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</si>
  <si>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</si>
  <si>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</si>
  <si>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</si>
  <si>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</si>
  <si>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</si>
  <si>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</si>
  <si>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</si>
  <si>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</si>
  <si>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</si>
  <si>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</si>
  <si>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</si>
  <si>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</si>
  <si>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</si>
  <si>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</si>
  <si>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</si>
  <si>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</si>
  <si>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</si>
  <si>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</si>
  <si>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</si>
  <si>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</si>
  <si>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</si>
  <si>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</si>
  <si>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</si>
  <si>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</si>
  <si>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</si>
  <si>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</si>
  <si>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</si>
  <si>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</si>
  <si>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</si>
  <si>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</si>
  <si>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</si>
  <si>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</si>
  <si>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</si>
  <si>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</si>
  <si>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</si>
  <si>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</si>
  <si>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</si>
  <si>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</si>
  <si>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</si>
  <si>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</si>
  <si>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</si>
  <si>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</si>
  <si>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</si>
  <si>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</si>
  <si>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</si>
  <si>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</si>
  <si>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</si>
  <si>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</si>
  <si>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</si>
  <si>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</si>
  <si>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</si>
  <si>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</si>
  <si>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</si>
  <si>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</si>
  <si>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</si>
  <si>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</si>
  <si>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</si>
  <si>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</si>
  <si>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</si>
  <si>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</si>
  <si>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</si>
  <si>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</si>
  <si>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</si>
  <si>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</si>
  <si>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</si>
  <si>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</si>
  <si>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</si>
  <si>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</si>
  <si>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</si>
  <si>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</si>
  <si>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</si>
  <si>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</si>
  <si>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</si>
  <si>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</si>
  <si>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</si>
  <si>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</si>
  <si>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</si>
  <si>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</si>
  <si>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</si>
  <si>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</si>
  <si>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</si>
  <si>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</si>
  <si>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</si>
  <si>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</si>
  <si>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</si>
  <si>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</si>
  <si>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</si>
  <si>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</si>
  <si>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</si>
  <si>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</si>
  <si>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</si>
  <si>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</si>
  <si>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</si>
  <si>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</si>
  <si>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</si>
  <si>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</si>
  <si>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</si>
  <si>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</si>
  <si>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</si>
  <si>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</si>
  <si>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</si>
  <si>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</si>
  <si>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</si>
  <si>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</si>
  <si>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</si>
  <si>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</si>
  <si>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</si>
  <si>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</si>
  <si>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</si>
  <si>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</si>
  <si>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</si>
  <si>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</si>
  <si>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</si>
  <si>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</si>
  <si>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</si>
  <si>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</si>
  <si>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</si>
  <si>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</si>
  <si>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</si>
  <si>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</si>
  <si>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</si>
  <si>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</si>
  <si>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</si>
  <si>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</si>
  <si>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</si>
  <si>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</si>
  <si>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</si>
  <si>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</si>
  <si>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</si>
  <si>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</si>
  <si>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</si>
  <si>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</si>
  <si>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</si>
  <si>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</si>
  <si>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</si>
  <si>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</si>
  <si>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</si>
  <si>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</si>
  <si>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</si>
  <si>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</si>
  <si>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</si>
  <si>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</si>
  <si>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</si>
  <si>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</si>
  <si>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</si>
  <si>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</si>
  <si>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</si>
  <si>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</si>
  <si>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</si>
  <si>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</si>
  <si>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</si>
  <si>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</si>
  <si>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</si>
  <si>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</si>
  <si>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</si>
  <si>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</si>
  <si>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</si>
  <si>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</si>
  <si>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</si>
  <si>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</si>
  <si>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</si>
  <si>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</si>
  <si>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</si>
  <si>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</si>
  <si>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</si>
  <si>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</si>
  <si>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</si>
  <si>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</si>
  <si>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</si>
  <si>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</si>
  <si>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</si>
  <si>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</si>
  <si>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</si>
  <si>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</si>
  <si>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</si>
  <si>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</si>
  <si>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</si>
  <si>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</si>
  <si>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</si>
  <si>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</si>
  <si>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</si>
  <si>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</si>
  <si>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</si>
  <si>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</si>
  <si>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</si>
  <si>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</si>
  <si>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</si>
  <si>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</si>
  <si>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</si>
  <si>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</si>
  <si>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</si>
  <si>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</si>
  <si>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</si>
  <si>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</si>
  <si>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</si>
  <si>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</si>
  <si>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</si>
  <si>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</si>
  <si>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</si>
  <si>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</si>
  <si>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</si>
  <si>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</si>
  <si>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</si>
  <si>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</si>
  <si>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</si>
  <si>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</si>
  <si>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</si>
  <si>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</si>
  <si>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</si>
  <si>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</si>
  <si>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</si>
  <si>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</si>
  <si>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</si>
  <si>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</si>
  <si>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</si>
  <si>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</si>
  <si>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</si>
  <si>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</si>
  <si>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</si>
  <si>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</si>
  <si>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</si>
  <si>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</si>
  <si>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</si>
  <si>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</si>
  <si>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</si>
  <si>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</si>
  <si>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</si>
  <si>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</si>
  <si>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</si>
  <si>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</si>
  <si>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</si>
  <si>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</si>
  <si>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</si>
  <si>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</si>
  <si>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</si>
  <si>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</si>
  <si>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</si>
  <si>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</si>
  <si>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</si>
  <si>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</si>
  <si>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</si>
  <si>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</si>
  <si>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</si>
  <si>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</si>
  <si>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</si>
  <si>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</si>
  <si>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</si>
  <si>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</si>
  <si>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</si>
  <si>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</si>
  <si>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</si>
  <si>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</si>
  <si>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</si>
  <si>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</si>
  <si>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</si>
  <si>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</si>
  <si>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</si>
  <si>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</si>
  <si>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</si>
  <si>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</si>
  <si>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</si>
  <si>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</si>
  <si>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</si>
  <si>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</si>
  <si>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</si>
  <si>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</si>
  <si>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</si>
  <si>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</si>
  <si>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</si>
  <si>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</si>
  <si>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</si>
  <si>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</si>
  <si>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</si>
  <si>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</si>
  <si>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</si>
  <si>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</si>
  <si>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</si>
  <si>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</si>
  <si>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</si>
  <si>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</si>
  <si>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</si>
  <si>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</si>
  <si>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</si>
  <si>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</si>
  <si>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</si>
  <si>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</si>
  <si>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</si>
  <si>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</si>
  <si>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</si>
  <si>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</si>
  <si>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</si>
  <si>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</si>
  <si>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</si>
  <si>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</si>
  <si>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</si>
  <si>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</si>
  <si>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</si>
  <si>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</si>
  <si>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</si>
  <si>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</si>
  <si>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</si>
  <si>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</si>
  <si>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</si>
  <si>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</si>
  <si>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</si>
  <si>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</si>
  <si>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</si>
  <si>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</si>
  <si>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</si>
  <si>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</si>
  <si>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</si>
  <si>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</si>
  <si>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</si>
  <si>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</si>
  <si>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</si>
  <si>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</si>
  <si>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</si>
  <si>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</si>
  <si>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</si>
  <si>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</si>
  <si>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</si>
  <si>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</si>
  <si>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</si>
  <si>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</si>
  <si>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</si>
  <si>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</si>
  <si>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</si>
  <si>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</si>
  <si>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</si>
  <si>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</si>
  <si>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</si>
  <si>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</si>
  <si>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</si>
  <si>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</si>
  <si>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</si>
  <si>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</si>
  <si>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</si>
  <si>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</si>
  <si>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</si>
  <si>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</si>
  <si>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</si>
  <si>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</si>
  <si>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</si>
  <si>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</si>
  <si>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</si>
  <si>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</si>
  <si>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</si>
  <si>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</si>
  <si>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</si>
  <si>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</si>
  <si>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</si>
  <si>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</si>
  <si>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</si>
  <si>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</si>
  <si>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</si>
  <si>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</si>
  <si>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</si>
  <si>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</si>
  <si>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</si>
  <si>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</si>
  <si>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</si>
  <si>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</si>
  <si>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</si>
  <si>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</si>
  <si>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</si>
  <si>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</si>
  <si>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</si>
  <si>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</si>
  <si>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</si>
  <si>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</si>
  <si>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</si>
  <si>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</si>
  <si>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</si>
  <si>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</si>
  <si>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</si>
  <si>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</si>
  <si>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</si>
  <si>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</si>
  <si>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</si>
  <si>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</si>
  <si>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</si>
  <si>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</si>
  <si>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</si>
  <si>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</si>
  <si>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</si>
  <si>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</si>
  <si>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</si>
  <si>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</si>
  <si>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</si>
  <si>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</si>
  <si>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</si>
  <si>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</si>
  <si>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</si>
  <si>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</si>
  <si>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</si>
  <si>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</si>
  <si>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</si>
  <si>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</si>
  <si>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</si>
  <si>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</si>
  <si>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</si>
  <si>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</si>
  <si>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</si>
  <si>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</si>
  <si>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</si>
  <si>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</si>
  <si>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</si>
  <si>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</si>
  <si>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</si>
  <si>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</si>
  <si>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</si>
  <si>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</si>
  <si>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</si>
  <si>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</si>
  <si>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</si>
  <si>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</si>
  <si>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</si>
  <si>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</si>
  <si>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</si>
  <si>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</si>
  <si>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</si>
  <si>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</si>
  <si>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</si>
  <si>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</si>
  <si>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</si>
  <si>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</si>
  <si>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</si>
  <si>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</si>
  <si>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</si>
  <si>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</si>
  <si>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</si>
  <si>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</si>
  <si>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</si>
  <si>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</si>
  <si>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</si>
  <si>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</si>
  <si>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</si>
  <si>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</si>
  <si>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</si>
  <si>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</si>
  <si>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</si>
  <si>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</si>
  <si>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</si>
  <si>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</si>
  <si>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</si>
  <si>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</si>
  <si>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</si>
  <si>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</si>
  <si>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</si>
  <si>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</si>
  <si>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</si>
  <si>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</si>
  <si>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</si>
  <si>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</si>
  <si>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</si>
  <si>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</si>
  <si>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</si>
  <si>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</si>
  <si>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</si>
  <si>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</si>
  <si>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</si>
  <si>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</si>
  <si>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</si>
  <si>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</si>
  <si>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</si>
  <si>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</si>
  <si>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</si>
  <si>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</si>
  <si>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</si>
  <si>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</si>
  <si>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</si>
  <si>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</si>
  <si>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</si>
  <si>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</si>
  <si>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</si>
  <si>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</si>
  <si>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</si>
  <si>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</si>
  <si>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</si>
  <si>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</si>
  <si>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</si>
  <si>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</si>
  <si>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</si>
  <si>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</si>
  <si>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</si>
  <si>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</si>
  <si>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</si>
  <si>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</si>
  <si>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</si>
  <si>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</si>
  <si>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</si>
  <si>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</si>
  <si>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</si>
  <si>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</si>
  <si>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</si>
  <si>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</si>
  <si>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</si>
  <si>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</si>
  <si>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</si>
  <si>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</si>
  <si>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</si>
  <si>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</si>
  <si>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</si>
  <si>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</si>
  <si>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</si>
  <si>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</si>
  <si>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</si>
  <si>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</si>
  <si>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</si>
  <si>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</si>
  <si>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</si>
  <si>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</si>
  <si>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</si>
  <si>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</si>
  <si>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</si>
  <si>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</si>
  <si>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</si>
  <si>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</si>
  <si>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</si>
  <si>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</si>
  <si>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</si>
  <si>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</si>
  <si>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</si>
  <si>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</si>
  <si>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</si>
  <si>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</si>
  <si>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</si>
  <si>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</si>
  <si>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</si>
  <si>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</si>
  <si>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</si>
  <si>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</si>
  <si>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</si>
  <si>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</si>
  <si>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</si>
  <si>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</si>
  <si>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</si>
  <si>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</si>
  <si>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</si>
  <si>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</si>
  <si>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</si>
  <si>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</si>
  <si>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</si>
  <si>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</si>
  <si>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</si>
  <si>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</si>
  <si>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</si>
  <si>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</si>
  <si>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</si>
  <si>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</si>
  <si>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</si>
  <si>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</si>
  <si>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</si>
  <si>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</si>
  <si>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</si>
  <si>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</si>
  <si>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</si>
  <si>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</si>
  <si>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</si>
  <si>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</si>
  <si>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</si>
  <si>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</si>
  <si>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</si>
  <si>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</si>
  <si>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</si>
  <si>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</si>
  <si>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</si>
  <si>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</si>
  <si>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</si>
  <si>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</si>
  <si>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</si>
  <si>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</si>
  <si>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</si>
  <si>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</si>
  <si>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</si>
  <si>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</si>
  <si>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</si>
  <si>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</si>
  <si>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</si>
  <si>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</si>
  <si>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</si>
  <si>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</si>
  <si>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</si>
  <si>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</si>
  <si>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</si>
  <si>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</si>
  <si>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</si>
  <si>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</si>
  <si>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</si>
  <si>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</si>
  <si>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</si>
  <si>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</si>
  <si>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</si>
  <si>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</si>
  <si>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</si>
  <si>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</si>
  <si>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</si>
  <si>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</si>
  <si>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</si>
  <si>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</si>
  <si>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</si>
  <si>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</si>
  <si>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</si>
  <si>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</si>
  <si>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</si>
  <si>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</si>
  <si>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</si>
  <si>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</si>
  <si>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</si>
  <si>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</si>
  <si>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</si>
  <si>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</si>
  <si>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</si>
  <si>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</si>
  <si>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</si>
  <si>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</si>
  <si>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</si>
  <si>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</si>
  <si>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</si>
  <si>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</si>
  <si>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</si>
  <si>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</si>
  <si>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</si>
  <si>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</si>
  <si>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</si>
  <si>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</si>
  <si>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</si>
  <si>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</si>
  <si>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</si>
  <si>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</si>
  <si>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</si>
  <si>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</si>
  <si>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</si>
  <si>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</si>
  <si>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</si>
  <si>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</si>
  <si>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</si>
  <si>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</si>
  <si>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</si>
  <si>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</si>
  <si>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</si>
  <si>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</si>
  <si>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</si>
  <si>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</si>
  <si>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</si>
  <si>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</si>
  <si>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</si>
  <si>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</si>
  <si>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</si>
  <si>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</si>
  <si>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</si>
  <si>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</si>
  <si>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</si>
  <si>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</si>
  <si>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</si>
  <si>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</si>
  <si>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</si>
  <si>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</si>
  <si>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</si>
  <si>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</si>
  <si>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</si>
  <si>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</si>
  <si>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</si>
  <si>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</si>
  <si>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</si>
  <si>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</si>
  <si>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</si>
  <si>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</si>
  <si>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</si>
  <si>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</si>
  <si>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</si>
  <si>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</si>
  <si>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</si>
  <si>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</si>
  <si>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</si>
  <si>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</si>
  <si>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</si>
  <si>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</si>
  <si>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</si>
  <si>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</si>
  <si>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</si>
  <si>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</si>
  <si>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</si>
  <si>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</si>
  <si>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</si>
  <si>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</si>
  <si>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</si>
  <si>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</si>
  <si>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</si>
  <si>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</si>
  <si>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</si>
  <si>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</si>
  <si>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</si>
  <si>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</si>
  <si>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</si>
  <si>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</si>
  <si>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</si>
  <si>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</si>
  <si>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</si>
  <si>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</si>
  <si>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</si>
  <si>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</si>
  <si>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</si>
  <si>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</si>
  <si>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</si>
  <si>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</si>
  <si>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</si>
  <si>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</si>
  <si>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</si>
  <si>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</si>
  <si>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</si>
  <si>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</si>
  <si>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</si>
  <si>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</si>
  <si>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</si>
  <si>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</si>
  <si>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</si>
  <si>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</si>
  <si>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</si>
  <si>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</si>
  <si>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</si>
  <si>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</si>
  <si>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</si>
  <si>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</si>
  <si>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</si>
  <si>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</si>
  <si>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</si>
  <si>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</si>
  <si>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</si>
  <si>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</si>
  <si>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</si>
  <si>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</si>
  <si>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</si>
  <si>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</si>
  <si>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</si>
  <si>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</si>
  <si>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</si>
  <si>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</si>
  <si>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</si>
  <si>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</si>
  <si>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</si>
  <si>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</si>
  <si>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</si>
  <si>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</si>
  <si>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</si>
  <si>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</si>
  <si>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</si>
  <si>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</si>
  <si>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</si>
  <si>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</si>
  <si>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</si>
  <si>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</si>
  <si>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</si>
  <si>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</si>
  <si>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</si>
  <si>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</si>
  <si>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</si>
  <si>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</si>
  <si>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</si>
  <si>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</si>
  <si>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</si>
  <si>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</si>
  <si>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</si>
  <si>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</si>
  <si>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</si>
  <si>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</si>
  <si>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</si>
  <si>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</si>
  <si>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</si>
  <si>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</si>
  <si>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</si>
  <si>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</si>
  <si>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</si>
  <si>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</si>
  <si>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</si>
  <si>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</si>
  <si>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</si>
  <si>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</si>
  <si>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</si>
  <si>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</si>
  <si>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</si>
  <si>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</si>
  <si>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</si>
  <si>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</si>
  <si>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</si>
  <si>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</si>
  <si>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</si>
  <si>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</si>
  <si>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</si>
  <si>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</si>
  <si>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</si>
  <si>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</si>
  <si>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</si>
  <si>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</si>
  <si>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</si>
  <si>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</si>
  <si>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</si>
  <si>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</si>
  <si>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</si>
  <si>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</si>
  <si>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</si>
  <si>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</si>
  <si>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</si>
  <si>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</si>
  <si>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</si>
  <si>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</si>
  <si>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</si>
  <si>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</si>
  <si>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</si>
  <si>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</si>
  <si>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</si>
  <si>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</si>
  <si>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</si>
  <si>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</si>
  <si>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</si>
  <si>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</si>
  <si>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</si>
  <si>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</si>
  <si>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</si>
  <si>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</si>
  <si>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</si>
  <si>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</si>
  <si>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</si>
  <si>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</si>
  <si>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</si>
  <si>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</si>
  <si>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</si>
  <si>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</si>
  <si>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</si>
  <si>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</si>
  <si>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</si>
  <si>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</si>
  <si>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</si>
  <si>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</si>
  <si>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</si>
  <si>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</si>
  <si>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</si>
  <si>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</si>
  <si>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</si>
  <si>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</si>
  <si>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</si>
  <si>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</si>
  <si>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</si>
  <si>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</si>
  <si>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</si>
  <si>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</si>
  <si>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</si>
  <si>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</si>
  <si>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</si>
  <si>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</si>
  <si>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</si>
  <si>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</si>
  <si>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</si>
  <si>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</si>
  <si>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</si>
  <si>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</si>
  <si>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</si>
  <si>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</si>
  <si>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</si>
  <si>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</si>
  <si>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</si>
  <si>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</si>
  <si>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</si>
  <si>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</si>
  <si>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</si>
  <si>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</si>
  <si>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</si>
  <si>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</si>
  <si>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</si>
  <si>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</si>
  <si>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</si>
  <si>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</si>
  <si>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</si>
  <si>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</si>
  <si>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</si>
  <si>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</si>
  <si>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</si>
  <si>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</si>
  <si>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</si>
  <si>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</si>
  <si>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</si>
  <si>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</si>
  <si>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</si>
  <si>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</si>
  <si>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</si>
  <si>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</si>
  <si>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</si>
  <si>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</si>
  <si>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</si>
  <si>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</si>
  <si>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</si>
  <si>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</si>
  <si>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</si>
  <si>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</si>
  <si>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</si>
  <si>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</si>
  <si>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</si>
  <si>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</si>
  <si>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</si>
  <si>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</si>
  <si>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</si>
  <si>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</si>
  <si>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</si>
  <si>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</si>
  <si>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</si>
  <si>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</si>
  <si>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</si>
  <si>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</si>
  <si>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</si>
  <si>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</si>
  <si>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</si>
  <si>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</si>
  <si>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</si>
  <si>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</si>
  <si>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</si>
  <si>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</si>
  <si>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</si>
  <si>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</si>
  <si>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</si>
  <si>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</si>
  <si>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</si>
  <si>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</si>
  <si>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</si>
  <si>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</si>
  <si>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</si>
  <si>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</si>
  <si>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</si>
  <si>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</si>
  <si>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</si>
  <si>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</si>
  <si>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</si>
  <si>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</si>
  <si>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</si>
  <si>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</si>
  <si>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</si>
  <si>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</si>
  <si>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</si>
  <si>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</si>
  <si>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</si>
  <si>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</si>
  <si>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</si>
  <si>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</si>
  <si>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</si>
  <si>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</si>
  <si>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</si>
  <si>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</si>
  <si>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</si>
  <si>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</si>
  <si>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</si>
  <si>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</si>
  <si>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</si>
  <si>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</si>
  <si>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</si>
  <si>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</si>
  <si>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</si>
  <si>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</si>
  <si>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</si>
  <si>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</si>
  <si>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</si>
  <si>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</si>
  <si>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</si>
  <si>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</si>
  <si>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</si>
  <si>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</si>
  <si>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</si>
  <si>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</si>
  <si>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</si>
  <si>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</si>
  <si>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</si>
  <si>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</si>
  <si>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</si>
  <si>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</si>
  <si>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</si>
  <si>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</si>
  <si>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</si>
  <si>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</si>
  <si>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</si>
  <si>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</si>
  <si>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</si>
  <si>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</si>
  <si>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</si>
  <si>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</si>
  <si>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</si>
  <si>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</si>
  <si>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</si>
  <si>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</si>
  <si>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</si>
  <si>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</si>
  <si>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</si>
  <si>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</si>
  <si>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</si>
  <si>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</si>
  <si>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</si>
  <si>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</si>
  <si>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</si>
  <si>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</si>
  <si>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</si>
  <si>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</si>
  <si>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</si>
  <si>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</si>
  <si>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</si>
  <si>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</si>
  <si>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</si>
  <si>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</si>
  <si>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</si>
  <si>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</si>
  <si>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</si>
  <si>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</si>
  <si>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</si>
  <si>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</si>
  <si>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</si>
  <si>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</si>
  <si>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</si>
  <si>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</si>
  <si>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</si>
  <si>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</si>
  <si>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</si>
  <si>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</si>
  <si>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</si>
  <si>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</si>
  <si>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</si>
  <si>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</si>
  <si>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</si>
  <si>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</si>
  <si>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</si>
  <si>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</si>
  <si>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</si>
  <si>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</si>
  <si>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</si>
  <si>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</si>
  <si>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</si>
  <si>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</si>
  <si>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</si>
  <si>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</si>
  <si>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</si>
  <si>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</si>
  <si>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</si>
  <si>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</si>
  <si>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</si>
  <si>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</si>
  <si>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</si>
  <si>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</si>
  <si>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</si>
  <si>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</si>
  <si>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</si>
  <si>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</si>
  <si>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</si>
  <si>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</si>
  <si>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</si>
  <si>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</si>
  <si>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</si>
  <si>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</si>
  <si>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</si>
  <si>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</si>
  <si>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</si>
  <si>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</si>
  <si>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</si>
  <si>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</si>
  <si>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</si>
  <si>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</si>
  <si>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</si>
  <si>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</si>
  <si>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</si>
  <si>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</si>
  <si>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</si>
  <si>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</si>
  <si>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</si>
  <si>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</si>
  <si>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</si>
  <si>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</si>
  <si>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</si>
  <si>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</si>
  <si>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</si>
  <si>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</si>
  <si>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</si>
  <si>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</si>
  <si>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</si>
  <si>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</si>
  <si>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</si>
  <si>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</si>
  <si>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</si>
  <si>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</si>
  <si>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</si>
  <si>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</si>
  <si>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</si>
  <si>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</si>
  <si>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</si>
  <si>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</si>
  <si>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</si>
  <si>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</si>
  <si>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</si>
  <si>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</si>
  <si>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</si>
  <si>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</si>
  <si>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</si>
  <si>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</si>
  <si>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</si>
  <si>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</si>
  <si>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</si>
  <si>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</si>
  <si>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</si>
  <si>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</si>
  <si>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</si>
  <si>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</si>
  <si>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</si>
  <si>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</si>
  <si>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</si>
  <si>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</si>
  <si>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</si>
  <si>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</si>
  <si>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</si>
  <si>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</si>
  <si>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</si>
  <si>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</si>
  <si>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</si>
  <si>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</si>
  <si>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</si>
  <si>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</si>
  <si>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</si>
  <si>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</si>
  <si>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</si>
  <si>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</si>
  <si>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</si>
  <si>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</si>
  <si>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</si>
  <si>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</si>
  <si>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</si>
  <si>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</si>
  <si>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</si>
  <si>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</si>
  <si>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</si>
  <si>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</si>
  <si>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</si>
  <si>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</si>
  <si>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</si>
  <si>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</si>
  <si>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</si>
  <si>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</si>
  <si>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</si>
  <si>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</si>
  <si>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</si>
  <si>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</si>
  <si>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</si>
  <si>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</si>
  <si>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</si>
  <si>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</si>
  <si>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</si>
  <si>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</si>
  <si>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</si>
  <si>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</si>
  <si>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</si>
  <si>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</si>
  <si>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</si>
  <si>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</si>
  <si>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</si>
  <si>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</si>
  <si>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</si>
  <si>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</si>
  <si>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</si>
  <si>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</si>
  <si>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</si>
  <si>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</si>
  <si>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</si>
  <si>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</si>
  <si>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</si>
  <si>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</si>
  <si>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</si>
  <si>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</si>
  <si>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</si>
  <si>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</si>
  <si>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</si>
  <si>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</si>
  <si>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</si>
  <si>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</si>
  <si>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</si>
  <si>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</si>
  <si>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</si>
  <si>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</si>
  <si>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</si>
  <si>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</si>
  <si>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</si>
  <si>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</si>
  <si>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</si>
  <si>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</si>
  <si>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</si>
  <si>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</si>
  <si>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</si>
  <si>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</si>
  <si>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</si>
  <si>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</si>
  <si>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</si>
  <si>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</si>
  <si>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</si>
  <si>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</si>
  <si>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</si>
  <si>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</si>
  <si>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</si>
  <si>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</si>
  <si>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</si>
  <si>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</si>
  <si>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</si>
  <si>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</si>
  <si>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</si>
  <si>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</si>
  <si>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</si>
  <si>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</si>
  <si>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</si>
  <si>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</si>
  <si>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</si>
  <si>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</si>
  <si>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</si>
  <si>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</si>
  <si>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</si>
  <si>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</si>
  <si>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</si>
  <si>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</si>
  <si>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</si>
  <si>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</si>
  <si>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</si>
  <si>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</si>
  <si>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</si>
  <si>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</si>
  <si>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</si>
  <si>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</si>
  <si>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</si>
  <si>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</si>
  <si>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</si>
  <si>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</si>
  <si>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</si>
  <si>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</si>
  <si>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</si>
  <si>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</si>
  <si>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</si>
  <si>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</si>
  <si>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</si>
  <si>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</si>
  <si>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</si>
  <si>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</si>
  <si>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</si>
  <si>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</si>
  <si>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</si>
  <si>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</si>
  <si>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</si>
  <si>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</si>
  <si>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</si>
  <si>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</si>
  <si>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</si>
  <si>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</si>
  <si>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</si>
  <si>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</si>
  <si>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</si>
  <si>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</si>
  <si>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</si>
  <si>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</si>
  <si>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</si>
  <si>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</si>
  <si>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</si>
  <si>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</si>
  <si>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</si>
  <si>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</si>
  <si>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</si>
  <si>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</si>
  <si>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</si>
  <si>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</si>
  <si>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</si>
  <si>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</si>
  <si>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</si>
  <si>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</si>
  <si>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</si>
  <si>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</si>
  <si>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</si>
  <si>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</si>
  <si>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</si>
  <si>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</si>
  <si>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</si>
  <si>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</si>
  <si>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</si>
  <si>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</si>
  <si>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</si>
  <si>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</si>
  <si>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</si>
  <si>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</si>
  <si>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</si>
  <si>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</si>
  <si>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</si>
  <si>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</si>
  <si>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</si>
  <si>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</si>
  <si>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</si>
  <si>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</si>
  <si>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</si>
  <si>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</si>
  <si>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</si>
  <si>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</si>
  <si>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</si>
  <si>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</si>
  <si>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</si>
  <si>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</si>
  <si>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</si>
  <si>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</si>
  <si>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</si>
  <si>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</si>
  <si>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</si>
  <si>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</si>
  <si>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</si>
  <si>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</si>
  <si>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</si>
  <si>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</si>
  <si>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</si>
  <si>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</si>
  <si>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</si>
  <si>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</si>
  <si>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</si>
  <si>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</si>
  <si>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</si>
  <si>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</si>
  <si>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</si>
  <si>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</si>
  <si>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</si>
  <si>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</si>
  <si>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</si>
  <si>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</si>
  <si>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</si>
  <si>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</si>
  <si>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</si>
  <si>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</si>
  <si>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</si>
  <si>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</si>
  <si>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</si>
  <si>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</si>
  <si>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</si>
  <si>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</si>
  <si>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</si>
  <si>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</si>
  <si>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</si>
  <si>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</si>
  <si>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</si>
  <si>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</si>
  <si>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</si>
  <si>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</si>
  <si>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</si>
  <si>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</si>
  <si>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</si>
  <si>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</si>
  <si>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</si>
  <si>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</si>
  <si>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</si>
  <si>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</si>
  <si>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</si>
  <si>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</si>
  <si>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</si>
  <si>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</si>
  <si>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</si>
  <si>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</si>
  <si>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</si>
  <si>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</si>
  <si>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</si>
  <si>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</si>
  <si>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</si>
  <si>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</si>
  <si>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</si>
  <si>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</si>
  <si>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</si>
  <si>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</si>
  <si>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</si>
  <si>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</si>
  <si>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</si>
  <si>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</si>
  <si>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</si>
  <si>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</si>
  <si>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</si>
  <si>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</si>
  <si>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</si>
  <si>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</si>
  <si>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</si>
  <si>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</si>
  <si>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</si>
  <si>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</si>
  <si>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</si>
  <si>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</si>
  <si>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</si>
  <si>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</si>
  <si>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</si>
  <si>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</si>
  <si>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</si>
  <si>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</si>
  <si>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</si>
  <si>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</si>
  <si>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</si>
  <si>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</si>
  <si>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</si>
  <si>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</si>
  <si>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</si>
  <si>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</si>
  <si>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</si>
  <si>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</si>
  <si>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</si>
  <si>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</si>
  <si>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</si>
  <si>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</si>
  <si>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</si>
  <si>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</si>
  <si>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</si>
  <si>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</si>
  <si>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</si>
  <si>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</si>
  <si>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</si>
  <si>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</si>
  <si>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</si>
  <si>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</si>
  <si>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</si>
  <si>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</si>
  <si>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</si>
  <si>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</si>
  <si>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</si>
  <si>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</si>
  <si>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</si>
  <si>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</si>
  <si>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</si>
  <si>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</si>
  <si>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</si>
  <si>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</si>
  <si>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</si>
  <si>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</si>
  <si>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</si>
  <si>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</si>
  <si>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</si>
  <si>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</si>
  <si>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</si>
  <si>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</si>
  <si>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</si>
  <si>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</si>
  <si>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</si>
  <si>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</si>
  <si>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</si>
  <si>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</si>
  <si>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</si>
  <si>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</si>
  <si>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</si>
  <si>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</si>
  <si>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</si>
  <si>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</si>
  <si>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</si>
  <si>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</si>
  <si>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</si>
  <si>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</si>
  <si>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</si>
  <si>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</si>
  <si>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</si>
  <si>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</si>
  <si>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</si>
  <si>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</si>
  <si>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</si>
  <si>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</si>
  <si>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</si>
  <si>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</si>
  <si>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</si>
  <si>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</si>
  <si>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</si>
  <si>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</si>
  <si>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</si>
  <si>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</si>
  <si>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</si>
  <si>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</si>
  <si>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</si>
  <si>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</si>
  <si>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</si>
  <si>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</si>
  <si>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</si>
  <si>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</si>
  <si>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</si>
  <si>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</si>
  <si>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</si>
  <si>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</si>
  <si>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</si>
  <si>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</si>
  <si>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</si>
  <si>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</si>
  <si>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</si>
  <si>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</si>
  <si>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</si>
  <si>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</si>
  <si>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</si>
  <si>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</si>
  <si>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</si>
  <si>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</si>
  <si>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</si>
  <si>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</si>
  <si>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</si>
  <si>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</si>
  <si>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</si>
  <si>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</si>
  <si>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</si>
  <si>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</si>
  <si>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</si>
  <si>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</si>
  <si>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</si>
  <si>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</si>
  <si>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</si>
  <si>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</si>
  <si>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</si>
  <si>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</si>
  <si>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</si>
  <si>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</si>
  <si>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</si>
  <si>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</si>
  <si>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</si>
  <si>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</si>
  <si>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</si>
  <si>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</si>
  <si>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</si>
  <si>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</si>
  <si>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</si>
  <si>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</si>
  <si>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</si>
  <si>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</si>
  <si>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</si>
  <si>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</si>
  <si>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</si>
  <si>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</si>
  <si>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</si>
  <si>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</si>
  <si>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</si>
  <si>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</si>
  <si>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</si>
  <si>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</si>
  <si>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</si>
  <si>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</si>
  <si>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</si>
  <si>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</si>
  <si>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</si>
  <si>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</si>
  <si>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</si>
  <si>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</si>
  <si>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</si>
  <si>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</si>
  <si>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</si>
  <si>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</si>
  <si>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</si>
  <si>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</si>
  <si>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</si>
  <si>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</si>
  <si>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</si>
  <si>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</si>
  <si>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</si>
  <si>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</si>
  <si>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</si>
  <si>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</si>
  <si>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</si>
  <si>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</si>
  <si>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</si>
  <si>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</si>
  <si>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</si>
  <si>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</si>
  <si>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</si>
  <si>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</si>
  <si>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</si>
  <si>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</si>
  <si>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</si>
  <si>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</si>
  <si>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</si>
  <si>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</si>
  <si>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</si>
  <si>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</si>
  <si>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</si>
  <si>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</si>
  <si>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</si>
  <si>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</si>
  <si>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</si>
  <si>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</si>
  <si>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</si>
  <si>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</si>
  <si>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</si>
  <si>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</si>
  <si>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</si>
  <si>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</si>
  <si>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</si>
  <si>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</si>
  <si>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</si>
  <si>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</si>
  <si>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</si>
  <si>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</si>
  <si>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</si>
  <si>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</si>
  <si>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</si>
  <si>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</si>
  <si>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</si>
  <si>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</si>
  <si>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</si>
  <si>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</si>
  <si>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</si>
  <si>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</si>
  <si>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</si>
  <si>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</si>
  <si>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</si>
  <si>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</si>
  <si>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</si>
  <si>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</si>
  <si>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</si>
  <si>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</si>
  <si>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</si>
  <si>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</si>
  <si>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</si>
  <si>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</si>
  <si>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</si>
  <si>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</si>
  <si>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</si>
  <si>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</si>
  <si>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</si>
  <si>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</si>
  <si>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</si>
  <si>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</si>
  <si>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</si>
  <si>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</si>
  <si>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</si>
  <si>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</si>
  <si>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</si>
  <si>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</si>
  <si>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</si>
  <si>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</si>
  <si>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</si>
  <si>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</si>
  <si>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</si>
  <si>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</si>
  <si>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</si>
  <si>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</si>
  <si>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</si>
  <si>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</si>
  <si>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</si>
  <si>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</si>
  <si>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</si>
  <si>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</si>
  <si>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</si>
  <si>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</si>
  <si>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</si>
  <si>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</si>
  <si>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</si>
  <si>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</si>
  <si>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</si>
  <si>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</si>
  <si>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</si>
  <si>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</si>
  <si>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</si>
  <si>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</si>
  <si>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</si>
  <si>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</si>
  <si>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</si>
  <si>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</si>
  <si>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</si>
  <si>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</si>
  <si>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</si>
  <si>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</si>
  <si>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</si>
  <si>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</si>
  <si>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</si>
  <si>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</si>
  <si>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</si>
  <si>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</si>
  <si>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</si>
  <si>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</si>
  <si>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</si>
  <si>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</si>
  <si>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</si>
  <si>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</si>
  <si>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</si>
  <si>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</si>
  <si>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</si>
  <si>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</si>
  <si>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</si>
  <si>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</si>
  <si>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</si>
  <si>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</si>
  <si>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</si>
  <si>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</si>
  <si>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</si>
  <si>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</si>
  <si>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</si>
  <si>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</si>
  <si>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</si>
  <si>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</si>
  <si>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</si>
  <si>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</si>
  <si>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</si>
  <si>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</si>
  <si>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</si>
  <si>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</si>
  <si>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</si>
  <si>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</si>
  <si>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</si>
  <si>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</si>
  <si>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</si>
  <si>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</si>
  <si>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</si>
  <si>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</si>
  <si>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</si>
  <si>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</si>
  <si>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</si>
  <si>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</si>
  <si>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</si>
  <si>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</si>
  <si>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</si>
  <si>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</si>
  <si>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</si>
  <si>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</si>
  <si>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</si>
  <si>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</si>
  <si>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</si>
  <si>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</si>
  <si>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</si>
  <si>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</si>
  <si>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</si>
  <si>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</si>
  <si>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</si>
  <si>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</si>
  <si>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</si>
  <si>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</si>
  <si>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</si>
  <si>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</si>
  <si>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</si>
  <si>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</si>
  <si>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</si>
  <si>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</si>
  <si>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</si>
  <si>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</si>
  <si>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</si>
  <si>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</si>
  <si>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</si>
  <si>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</si>
  <si>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</si>
  <si>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</si>
  <si>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</si>
  <si>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</si>
  <si>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</si>
  <si>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</si>
  <si>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</si>
  <si>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</si>
  <si>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</si>
  <si>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</si>
  <si>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</si>
  <si>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</si>
  <si>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</si>
  <si>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</si>
  <si>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</si>
  <si>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</si>
  <si>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</si>
  <si>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</si>
  <si>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</si>
  <si>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</si>
  <si>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</si>
  <si>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</si>
  <si>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</si>
  <si>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</si>
  <si>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</si>
  <si>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</si>
  <si>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</si>
  <si>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</si>
  <si>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</si>
  <si>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</si>
  <si>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</si>
  <si>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</si>
  <si>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</si>
  <si>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</si>
  <si>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</si>
  <si>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</si>
  <si>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</si>
  <si>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</si>
  <si>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</si>
  <si>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</si>
  <si>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</si>
  <si>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</si>
  <si>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</si>
  <si>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</si>
  <si>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</si>
  <si>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</si>
  <si>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</si>
  <si>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</si>
  <si>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</si>
  <si>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</si>
  <si>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</si>
  <si>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</si>
  <si>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</si>
  <si>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</si>
  <si>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</si>
  <si>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</si>
  <si>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</si>
  <si>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</si>
  <si>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</si>
  <si>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</si>
  <si>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</si>
  <si>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</si>
  <si>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</si>
  <si>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</si>
  <si>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</si>
  <si>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</si>
  <si>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</si>
  <si>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</si>
  <si>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</si>
  <si>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</si>
  <si>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</si>
  <si>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</si>
  <si>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</si>
  <si>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</si>
  <si>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</si>
  <si>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</si>
  <si>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</si>
  <si>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</si>
  <si>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</si>
  <si>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</si>
  <si>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</si>
  <si>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</si>
  <si>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</si>
  <si>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</si>
  <si>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</si>
  <si>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</si>
  <si>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</si>
  <si>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</si>
  <si>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</si>
  <si>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</si>
  <si>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</si>
  <si>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</si>
  <si>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</si>
  <si>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</si>
  <si>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</si>
  <si>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</si>
  <si>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</si>
  <si>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</si>
  <si>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</si>
  <si>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</si>
  <si>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</si>
  <si>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</si>
  <si>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</si>
  <si>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</si>
  <si>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</si>
  <si>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</si>
  <si>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</si>
  <si>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</si>
  <si>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</si>
  <si>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</si>
  <si>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</si>
  <si>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</si>
  <si>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</si>
  <si>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</si>
  <si>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</si>
  <si>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</si>
  <si>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</si>
  <si>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</si>
  <si>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</si>
  <si>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</si>
  <si>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</si>
  <si>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</si>
  <si>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</si>
  <si>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</si>
  <si>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</si>
  <si>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</si>
  <si>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</si>
  <si>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</si>
  <si>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</si>
  <si>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</si>
  <si>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</si>
  <si>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</si>
  <si>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</si>
  <si>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</si>
  <si>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</si>
  <si>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</si>
  <si>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</si>
  <si>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</si>
  <si>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</si>
  <si>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</si>
  <si>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</si>
  <si>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</si>
  <si>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</si>
  <si>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</si>
  <si>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</si>
  <si>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</si>
  <si>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</si>
  <si>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</si>
  <si>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</si>
  <si>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</si>
  <si>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</si>
  <si>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</si>
  <si>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</si>
  <si>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</si>
  <si>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</si>
  <si>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</si>
  <si>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</si>
  <si>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</si>
  <si>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</si>
  <si>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</si>
  <si>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</si>
  <si>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</si>
  <si>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</si>
  <si>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</si>
  <si>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</si>
  <si>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</si>
  <si>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</si>
  <si>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</si>
  <si>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</si>
  <si>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</si>
  <si>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</si>
  <si>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</si>
  <si>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</si>
  <si>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</si>
  <si>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</si>
  <si>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</si>
  <si>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</si>
  <si>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</si>
  <si>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</si>
  <si>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</si>
  <si>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</si>
  <si>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</si>
  <si>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</si>
  <si>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</si>
  <si>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</si>
  <si>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</si>
  <si>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</si>
  <si>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</si>
  <si>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</si>
  <si>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</si>
  <si>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</si>
  <si>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</si>
  <si>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</si>
  <si>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</si>
  <si>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</si>
  <si>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</si>
  <si>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</si>
  <si>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</si>
  <si>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</si>
  <si>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</si>
  <si>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</si>
  <si>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</si>
  <si>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</si>
  <si>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</si>
  <si>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</si>
  <si>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</si>
  <si>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</si>
  <si>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</si>
  <si>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</si>
  <si>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</si>
  <si>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</si>
  <si>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</si>
  <si>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</si>
  <si>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</si>
  <si>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</si>
  <si>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</si>
  <si>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</si>
  <si>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</si>
  <si>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</si>
  <si>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</si>
  <si>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</si>
  <si>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</si>
  <si>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</si>
  <si>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</si>
  <si>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</si>
  <si>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</si>
  <si>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</si>
  <si>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</si>
  <si>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</si>
  <si>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</si>
  <si>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</si>
  <si>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</si>
  <si>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</si>
  <si>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</si>
  <si>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</si>
  <si>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</si>
  <si>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</si>
  <si>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</si>
  <si>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</si>
  <si>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</si>
  <si>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</si>
  <si>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</si>
  <si>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</si>
  <si>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</si>
  <si>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</si>
  <si>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</si>
  <si>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</si>
  <si>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</si>
  <si>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</si>
  <si>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</si>
  <si>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</si>
  <si>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</si>
  <si>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</si>
  <si>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</si>
  <si>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</si>
  <si>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</si>
  <si>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</si>
  <si>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</si>
  <si>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</si>
  <si>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</si>
  <si>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</si>
  <si>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</si>
  <si>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</si>
  <si>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</si>
  <si>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</si>
  <si>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</si>
  <si>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</si>
  <si>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</si>
  <si>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</si>
  <si>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</si>
  <si>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</si>
  <si>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</si>
  <si>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</si>
  <si>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</si>
  <si>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</si>
  <si>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</si>
  <si>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</si>
  <si>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</si>
  <si>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</si>
  <si>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</si>
  <si>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</si>
  <si>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</si>
  <si>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</si>
  <si>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</si>
  <si>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</si>
  <si>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</si>
  <si>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</si>
  <si>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</si>
  <si>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</si>
  <si>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</si>
  <si>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</si>
  <si>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</si>
  <si>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</si>
  <si>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</si>
  <si>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</si>
  <si>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</si>
  <si>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</si>
  <si>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</si>
  <si>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</si>
  <si>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</si>
  <si>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</si>
  <si>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</si>
  <si>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</si>
  <si>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</si>
  <si>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</si>
  <si>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</si>
  <si>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</si>
  <si>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</si>
  <si>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</si>
  <si>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</si>
  <si>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</si>
  <si>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</si>
  <si>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</si>
  <si>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</si>
  <si>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</si>
  <si>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</si>
  <si>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</si>
  <si>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</si>
  <si>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</si>
  <si>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</si>
  <si>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</si>
  <si>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</si>
  <si>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</si>
  <si>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</si>
  <si>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</si>
  <si>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</si>
  <si>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</si>
  <si>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</si>
  <si>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</si>
  <si>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</si>
  <si>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</si>
  <si>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</si>
  <si>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</si>
  <si>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</si>
  <si>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</si>
  <si>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</si>
  <si>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</si>
  <si>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</si>
  <si>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</si>
  <si>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</si>
  <si>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</si>
  <si>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</si>
  <si>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</si>
  <si>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</si>
  <si>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</si>
  <si>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</si>
  <si>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</si>
  <si>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</si>
  <si>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</si>
  <si>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</si>
  <si>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</si>
  <si>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</si>
  <si>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</si>
  <si>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</si>
  <si>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</si>
  <si>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</si>
  <si>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</si>
  <si>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</si>
  <si>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</si>
  <si>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</si>
  <si>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</si>
  <si>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</si>
  <si>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</si>
  <si>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</si>
  <si>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</si>
  <si>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</si>
  <si>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</si>
  <si>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</si>
  <si>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</si>
  <si>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</si>
  <si>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</si>
  <si>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</si>
  <si>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</si>
  <si>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</si>
  <si>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</si>
  <si>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</si>
  <si>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</si>
  <si>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</si>
  <si>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</si>
  <si>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</si>
  <si>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</si>
  <si>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</si>
  <si>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</si>
  <si>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</si>
  <si>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</si>
  <si>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</si>
  <si>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</si>
  <si>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</si>
  <si>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</si>
  <si>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</si>
  <si>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</si>
  <si>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</si>
  <si>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</si>
  <si>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</si>
  <si>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</si>
  <si>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</si>
  <si>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</si>
  <si>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</si>
  <si>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</si>
  <si>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</si>
  <si>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Yes</t>
  </si>
  <si>
    <t>No</t>
  </si>
  <si>
    <t>Competitive Round</t>
  </si>
  <si>
    <t>Douglas S. Faust</t>
  </si>
  <si>
    <t>Executive Director</t>
  </si>
  <si>
    <t>750 Commerce Drive Suite 110</t>
  </si>
  <si>
    <t>dsf@decaturha.org</t>
  </si>
  <si>
    <t>Trinity Walk Phase I</t>
  </si>
  <si>
    <t>Yes- w/Master Plan</t>
  </si>
  <si>
    <t>421 W. Trinity Place</t>
  </si>
  <si>
    <t>Within City Limits</t>
  </si>
  <si>
    <t>Family</t>
  </si>
  <si>
    <t>Trinty Walk I, LP</t>
  </si>
  <si>
    <t>Manager</t>
  </si>
  <si>
    <t>13 089 0225.00</t>
  </si>
  <si>
    <t>Trinity Walk I General Partner, LLC</t>
  </si>
  <si>
    <t>Gateway General Partner I, Inc.</t>
  </si>
  <si>
    <t>Secretary/Treasurer</t>
  </si>
  <si>
    <t>Preserving Affordable Housing, Inc.</t>
  </si>
  <si>
    <t>Management Division of Decatur Housing Authority</t>
  </si>
  <si>
    <t>Libranden Irving</t>
  </si>
  <si>
    <t>Property Mangement Director</t>
  </si>
  <si>
    <t>lib@decaturha.org</t>
  </si>
  <si>
    <t>Arnall, Golden and Gregory</t>
  </si>
  <si>
    <t>Althea Broughton</t>
  </si>
  <si>
    <t>171 17th Street NW Suite 2100</t>
  </si>
  <si>
    <t>Attorney</t>
  </si>
  <si>
    <t>althea.broughton@agg.com</t>
  </si>
  <si>
    <t>Cohen Reznick</t>
  </si>
  <si>
    <t>Timothy Kemper, CPA</t>
  </si>
  <si>
    <t>3560 Lenox Road NE Suite 2800</t>
  </si>
  <si>
    <t>Managing Partner</t>
  </si>
  <si>
    <t>www.cohnreznick.com</t>
  </si>
  <si>
    <t>www.agg.com</t>
  </si>
  <si>
    <t>timothykemper@cohenreznick.com</t>
  </si>
  <si>
    <t>Lord, Aeck and Sargent</t>
  </si>
  <si>
    <t>Jay Silverman</t>
  </si>
  <si>
    <t>1201 Peachtree Street Suite 300</t>
  </si>
  <si>
    <t>Project Manager</t>
  </si>
  <si>
    <t>www.lordaecksargent.com</t>
  </si>
  <si>
    <t>jsilverman@lasarchitect.com</t>
  </si>
  <si>
    <t>For Profit</t>
  </si>
  <si>
    <t>Preserving Affordable Housing</t>
  </si>
  <si>
    <t>State Investor @ 40.00%</t>
  </si>
  <si>
    <t>Federal Investor @ 40.00%</t>
  </si>
  <si>
    <t>Funding for costs &gt; PCL</t>
  </si>
  <si>
    <t>Amortizing</t>
  </si>
  <si>
    <t>Hudson Housing Partners</t>
  </si>
  <si>
    <t>Sugar Creek Realty</t>
  </si>
  <si>
    <t>HUD - 92458 - Family Units</t>
  </si>
  <si>
    <t>MF</t>
  </si>
  <si>
    <t>HUD</t>
  </si>
  <si>
    <t>3+ Story</t>
  </si>
  <si>
    <t>Listed above are types of planned activities residents can anticipate.  Other activities will be implemented based on resident surveys and identified needs.  Field trips will be planned and conducted by DHA staff while other activities will be provided through collaboration with partners.</t>
  </si>
  <si>
    <t>Nutrition 101 &amp; other building healthier lifestyles classes (monthly - various age groups)</t>
  </si>
  <si>
    <t>1) Gardening (monthly-seasonal); 2) Field Trips (seniors bi-monthly); 3 Various Arts and Crafts 4) Afterschool program - weekly</t>
  </si>
  <si>
    <t>Agree</t>
  </si>
  <si>
    <t>Novogradac</t>
  </si>
  <si>
    <t>The site is owned by Decatur Housing Authority which will retain ownership and transfer control via a ground lease.  The ground lease for this project is $1 per year for not less than 45 years reflected in the Option to Ground Lease in Tab 8.</t>
  </si>
  <si>
    <t>ECS Southeast, LLC</t>
  </si>
  <si>
    <t>Ground lease/Option</t>
  </si>
  <si>
    <t>Trinity Walk I, LP</t>
  </si>
  <si>
    <t>The Option to Ground Lease is included in Tab 8.</t>
  </si>
  <si>
    <t>Georgia Power</t>
  </si>
  <si>
    <t>DeKalb Watershed Management</t>
  </si>
  <si>
    <t>Room</t>
  </si>
  <si>
    <t>Covered Porch</t>
  </si>
  <si>
    <t>On-site laundry</t>
  </si>
  <si>
    <t>Fenced Community Garden</t>
  </si>
  <si>
    <t>Covered Pavilion with Picnic/barbecue Facilities</t>
  </si>
  <si>
    <t>The applicant submitted a Pre-Application with DCA and on May 1, 2014 received a Qualifications Determination Letter for qualified with conditions.  See Tab 18 for a copy of the letter.</t>
  </si>
  <si>
    <t>Decatur Housing Authority</t>
  </si>
  <si>
    <t>PILOT</t>
  </si>
  <si>
    <t>Residents of Trinity Walk will enjoy convenient and secure access to MARTA Bus service.  The closest MARTA Bus Stop is located at the intersection of W. Trinity Place and Commerce Drive approximately 1,074 feet walking distance from the property’s vehicular entrance.  The Decatur MARTA Intermodal Transfer Station is located approximately 1,000’ further along this same route. There is a paved public sidewalk the entire distance.</t>
  </si>
  <si>
    <t>Earth Craft Communities</t>
  </si>
  <si>
    <t>The Applicant has signed a Memorandum of Participation with EarthCraft Communities to enter into it's certification program.  Any project entering into the EarthCraft Communities Program must also register for the appropriate EarthCraft Sustainable Building Certification Program. In this case, Trinity Walk is registered to participate in the EarthCraft Multifamily program.</t>
  </si>
  <si>
    <t>Upper</t>
  </si>
  <si>
    <t>This project site is not located in a QCT or a DCA-designated Military Zone, nor is the project located in a jurisdiction participating in the HUD Choice Neighborhood program; therefore, the project does not qualify the Community Revitalization Plans points.</t>
  </si>
  <si>
    <t>Within the subject property's Primary Market Area (PMA), there is a strong demand for high quality affordable housing alternatives as indicated by the high occupancy rates of other LIHTC properties in PMA. The Market Survey completed for this application identified five (5) earlier DCA funded LIHTC properties in the subject's PMA. At the time of the survey, these five (5) LIHTC properties had occupancy rates ranging from 0% to 96% with an average occupancy rate of 97%.</t>
  </si>
  <si>
    <t>Clairemont Elementary (K-3) and 4/5 Academy at Fifth Avenue (4-5)</t>
  </si>
  <si>
    <t>2012-2013</t>
  </si>
  <si>
    <t>Decatur City Schools</t>
  </si>
  <si>
    <t>Children living at the subject property attend Clairemont Elementary School for grades k thru 3 and 4/5 Academy at Fifth Avenue for grades 4 and 5.  The latest available State scores are for years 2010 - 2011, while the most recent scores for the local schools are for years 2012 - 2013.</t>
  </si>
  <si>
    <t>The current Distance/Direction Report from the Census Bureau's "OnTheMap" website shows 46,987 workers living within a 2-mile radius with 52.7% or 24,767 workers traveling over 10 miles to their place of work.</t>
  </si>
  <si>
    <t>The DCA Pre-Determination Letter reports that the Applicant is "Qualified with Conditions".</t>
  </si>
  <si>
    <t>City of Decatur</t>
  </si>
  <si>
    <t>Jim Baskett</t>
  </si>
  <si>
    <t>Mayor</t>
  </si>
  <si>
    <t>www.decaturga.com</t>
  </si>
  <si>
    <t>jim.baskett@decaturga.com</t>
  </si>
  <si>
    <t>P.O. Box 220</t>
  </si>
  <si>
    <t>Included in above</t>
  </si>
  <si>
    <t>On-Going</t>
  </si>
  <si>
    <t>City Website, newspapers, door to door flyers for resident meetings</t>
  </si>
  <si>
    <t>There are no joint venture agreements.  Affiliates of the Decatur Housing Authority, acting alone, will be the sole General Partner, Developer and Property Manager of the project.</t>
  </si>
  <si>
    <t>Racially mixed</t>
  </si>
  <si>
    <t>The noise level is well below DCA's action level.</t>
  </si>
  <si>
    <t>Same</t>
  </si>
  <si>
    <t>Latitude: 33.774555; Longitude: -84.302486</t>
  </si>
  <si>
    <t>0225.00</t>
  </si>
  <si>
    <t>1 Decatur Housing Authority</t>
  </si>
  <si>
    <t>EXPIRING HUD SECTION 8 - See the letter in Tab #1 (electronic document 010200TW1PBRAagmt.pdf) dated April 21, 2014 from Linda F. Preston, HUD Director, Project Management for evidence of HUD's agreement regarding Section 8 Contract No. GA06-8023-015 for Gateway Manor Apartments that expires on June 28, 2016 unless renewed.</t>
  </si>
  <si>
    <t>www.decaturha.org</t>
  </si>
  <si>
    <t>IDENTITY OF INTEREST - The Managing General Partner, Developer and Property Management agent are affiliates of the Decatur Housing Authority.  The Managing General Partner of Trinity Walk I, LP is Trinity Walk I General Partner, LLC a Georgia limited liability company, whose sole member is Gateway General Partner I, Inc., a Georgia non-profit corporation that is 100% owned and controlled by the Decatur Housing Authority.  The Property Management Division of the Decatur Housing Authority will provide on-site management upon completion of construction and thereafter.</t>
  </si>
  <si>
    <t xml:space="preserve">DEMOLITION, SITE DEVELOPMENT AND CONSTRUCTION - Costs shown are from a detailed take off prepared by NorSouth Constructs based on a pricing drawing set provided by the project architect, Lord, Aeck &amp; Sargent.
IMPACT FEES - The amount shown is the estimated charge by the City of Decatur for capacity in the Ebster Detention Facility Vault. See letter dated June 4, 2014 from Hugh Saxon, Deputy City Manager in Tab 41a.
</t>
  </si>
  <si>
    <t>The utility allowances shown above are based on Column 5 of HUD - 92458 Rent Schedule Low Rent Housing dated July 1, 2011 for Gateway Manor Apartment, which is the most recent Rent Schedule provided by HUD. Elderly allowances not used because HAP contract requires that elderly units include disabled, which does not satisfy the DCA definition of "elderly".  See Tab #1 for the latest form HUD – 92458</t>
  </si>
  <si>
    <t xml:space="preserve">PROPOSED GROSS RENTS - Based on current HUD Form 92458 dated 06/01/2011; which is included in Tab #1; also see electronic document 010100TW1PHARents.
REAL ESTATE TAXES - Currently, the property does not pay Real Estate Taxes per the PILOT agreement with the City of Decatur.  The amount shown for PILOT is based on a prorata adjustment of the actual amount paid currently.  For backup and details of the prorata adjustment, see Tab #1 or electronic document 010600TW1REtaxEst.
INSURANCE - The amount for insurance is based on a quote from Manry &amp; Heston, Inc., a copy of which is in Tab #1.  Also electronic document 010600TW1InsQuote.
</t>
  </si>
  <si>
    <t>4 to 5 Months</t>
  </si>
  <si>
    <t>2.5% - family units; 5% senior units</t>
  </si>
  <si>
    <t>100-YEAR FLOOD PLAIN &amp; STATE WATERS MITIGATION PLAN - The western property line of the site is the centerline of Peavine Creek, which is a State Water. The creek’s stream bed lies within the AE flood zone (100-year flood zone); however only a small portion (383 square feet or 1.5%) of the usable site is actually in the flood zone. The mitigation plan is a site design with the nearest building being 130 feet away from the edge of the flood plain and with a finished floor elevation that is nearly 10-feet above the flood elevation. Plus, a 75-foot Greenspace along the bank of Peavine Creek will be included that will add protection for the creek while providing an array of amenities for the residents. The amenities within the Greenspace include a large children’s playground, a covered community gathering area, raised bed garden as well as walking trails.  Details on the mitigation plan can be found on the Conceptual Site Development Plan (Tab #16 and electronic document 160100TW1CncptSiteDevPlan.pdf). And, detailed narrative description of the mitigation plan is included in Tab #24 (electronic document 240400TW1Exceptions.pdf).</t>
  </si>
  <si>
    <t>See the Zoning Confirmation Letter in Tab #10. The answer for Question C-5 is blank because this project is not requesting DCA HOME funds, nor is it being built on prime or unique farmland.</t>
  </si>
  <si>
    <t>The project will be total electric and will not need a natural gas provider.</t>
  </si>
  <si>
    <t>There have been four public and seven resident meetings regarding the redevelopment plans for Gateway and Oakview. The first public meeting was a general introductory meeting with the Decatur City Commission was on November 11, 2013. Another presentation was made at the next Board of Commissioners meeting on January 21, 2014 (no December 2013 meeting). Subsequent public meetings were held in December 2013 with the Decatur Downtown Development Authority, in January 2014 again with the City's Board of Commissioners as well as the Planning Commission and during February 2014 there was another public meeting with the City's Zoning Board of Appeals. All of these monthly public meetings are scheduled a year in advance on the calendar that is available on the City’s website, as well as in announcements in local newspapers and various other media. For a historical calendar of the Decatur meetings, see http://www.decaturga.com/index.aspx?page=318&amp;showpast=1. On July 30, 2013, began a series of seven (7) meetings held with DHA residents to discuss the redevelopment project. See the extensive backup material included in Tab #13 with minutes and attendance sheets for all resident meetings. DHA also had meetings with the Decatur City Schools and the Atlanta Office of HUD to present and solicit input into this project.</t>
  </si>
  <si>
    <t>DHA has executed a Memorandum of Participation for the EarthCraft Communities certification.</t>
  </si>
  <si>
    <t xml:space="preserve">0226.00; 0227.00; 0223.01; 0225.00   </t>
  </si>
  <si>
    <t>The Managing General Partner of the ownership entity is Trinity Walk I General Partner, LLC. , whose sole member is Gateway General Partner I, Inc., a Georgia domestic 501(c)4 nonprofit corporation controlled by Decatur Housing Authority by shared board members. See the legal opinion on Gateway General Partner I, Inc.’s federal tax exempt qualification status, as well as the Bylaws of the corporation that are included in Tab #19.</t>
  </si>
  <si>
    <t xml:space="preserve">CONSTRUCTION FINANCING - Bank of America will provide construction financing for the project   A copy of the Commitment Letter outlining the terms of the BOA loans is located in Tab #1.
DEFERRED DEVELOPER FEE - The terms of the Deferred Developer Fee, if any, are in the Development Services Agreement between Preserving Affordable Housing Inc.  and Trinity Walk I LP. A copy of the agreement is included in Tab #1. 
FEDERAL AND STATE HOUSING CREDIT EQUITY - The Federal Equity Contribution is calculated using an ownership percentage of 98.99% and the State Equity Contribution is calculated at the ownership percentages of 100% of the State credits plus 1% of the Federal credits. The amount of State Housing Credit Equity is more than the amount shown in the Equity Check because the State Investor, Sugar Creek Realty, in addition to purchasing the State Housing Credits, will purchase 1% of the Federal Housing Credits at the same rate as the Federal Investor. The commitment letters from Hudson Housing Partners and Sugar Creek Realty are located in Tab #1.  
SECOND PRIORITY CONSTRUCTION/PERMANENT LOAN - Decatur Housing Authority will make a Construction/Permanent Loan (DHA Loan) to the project in the amount of $1,150,000. The DHA Loan will close at the initial closing of the partnership and its proceeds will be used to pay or repay the cost of resident relocation and building demolition, as well as other predevelopment costs that may have been incurred prior to the initial closing. During the remainder of the construction period, the unfunded balance of the DHA loan will be available to pay for construction and other project costs. The DHA Loan will be fully funded to $1,150,000 not later than the payoff of the construction loan at which time the loan will convert to an amortizing first mortgage with a term of 20 years. The interest rate will be set at the initial closing to the appropriate long-term AFR.  During the construction phase no principal shall be due and interest on the outstanding balance will accrue and be added to the outstanding principal balance. Upon the 100% payoff of the construction loan and other terms contained in the partnership documents and construction loan documents, the DHA Loan will convert to its permanent phase at which time monthly principle and interest payments will be set equal to an amount such that the balance of the all principal and interest will be repaid no later than 20 years from the date of conversion. See the DHA Loan Commitment in Tab #1 and the narrative in Tab #34 for other terms and details of the loan.
</t>
  </si>
  <si>
    <t xml:space="preserve">This is an existing apartment community with direct access vehicular to W. Trinity Place.  This access is clearly shown on property survey (Tab #9), as well as the Conceptual Site Development Plan (Tab #16).   </t>
  </si>
  <si>
    <t>All income qualified tenants will be eligible to return to the property upon completion.  Over income tenants will be offered housing in other DHA properties and/or Housing Choice Section 8 vouchers if applicable.</t>
  </si>
  <si>
    <t xml:space="preserve">GOVERNMENT LOANS - Decatur Housing Authority will make a Construction/Permanent Loan (DHA Loan) to the project in the amount of $1,150,000. The DHA Loan will close at the initial closing of the partnership and its proceeds will be used to pay or repay the cost of resident relocation as well as all building demolition that may have been incurred prior to the initial closing. The DHA loan is second priority to the construction loan. During the remainder of the construction period, the unfunded balance of the DHA loan will be available to fund construction and other project costs per the DHA Loan Agreement. The DHA Loan will be fully funded to $1,150,000 not later than the payoff of the construction loan at which time the loan will convert to an amortizing first mortgage with a term of 20 years. During the construction phase no payments shall be due and interest will accrue and be added to the outstanding principal balance. Upon payoff of the construction loan and other terms contained in the partnership documents and construction loan documents, the DHA Loan will convert to its permanent phase at which time monthly principle and interest payments will be set equal to an amount such that the balance of the all principal and interest will be repaid no later than 20 years from the date of conversion. The interest rate will be set below the appropriate AFR at the initial closing and reset at the conversion to the permanent phase.  See the DHA Loan Commitment in Tab 34 for other terms and details of the loan.
GROUND LEASE FROM LOCAL PHA - The DHA has entered into an Option to Lease the site to the Partnership for a term of not less than 45 years. For other details, see the Option to Lease agreement in Tab 8 of this application package.
</t>
  </si>
  <si>
    <t>PRESERVATION OF PRBA CONTRACT - HUD has committed to renew and extend the existing Section 8 HAP contract for an additional 20 years.  100% of the units of Trinity Walk Phase I will be designated as HAP Section 8 units under the new HAP agreement; however, regulatory requirements prevent designation of Trinity Walk as a HUD High priority project.  See Tab #1 for the letter dated April 21, 2014 from Linda Preston, HUD Director, Property Management.</t>
  </si>
  <si>
    <t>2012-014</t>
  </si>
  <si>
    <t>Forrest Heights</t>
  </si>
  <si>
    <t>2012-059</t>
  </si>
  <si>
    <t>Allen Wilson III</t>
  </si>
  <si>
    <t xml:space="preserve">Decatur is an exceptionally viable and desirable market due to the extraordinary school system.  Project 2012-059 Allen Wilson leased up in 30 days and is 100% occupied.  DHA has a long waiting list of persons desiring affordable housing in Decatur.  This specific project (Trinity Walk I) will replace existing PBRA community with families desiring to return to the new units.  </t>
  </si>
  <si>
    <t xml:space="preserve">TRINITY WALK II 
Trinity Walk II will consist of 52 family apartments in three distinct contemporary two and three story buildings.  All ground-floor units are visitable and adaptable.  The unit distribution is 26 – one bedroom units, 20 – two bedroom units, and 6 - three bedroom units.
 1 BR 2 BR 3 BR Total
Building 3 4 10 3 17
Building 5 4 10 3 17
Building 7 18   18
Total 26 20 6 52
The standard DCA-required amenities for Trinity Walk Phase II will be completed during the development of Phase I, subject to DCA’s approval for a waiver.  The Community Room, Exterior Gathering Area, and Laundry room will be constructed of more than sufficient size to serve both Phases I and II, thereby creating amenities that are of a benefit to the entire community in a consolidated facility.  
Additional Amenities from DCA Optional List
1. Fenced Community Gardens – The master plan includes raised garden beds in the Greenway on-site in Phase II.    
2. Equipped Tot Lot – Within the central Greenway, an equipped playground for younger children will be constructed using the required ground cover and fencing.  Age-appropriate equipment will serve the younger children of the community.  
RESIDENT CONSULTATION
DHA respects its residents and has regular Resident Management Meetings each quarter with the residents of Gateway, Oakview, and our other communities.  Within these meetings, DHA reviews overall community issues, revitalization plans, and future community events.  DHA has held several detailed public consultations with its families in Gateway and Oakview in order to review the revitalization plans for the community.  
The first meeting was held on November 19, 2013 at 5:30 PM in the DHA Community Resource Center located at 481 Electric Avenue, Decatur.  DHA provided transportation from the Oakview site to enable elderly residents to participate in the consultation.  There were 58 Gateway and Oakview resident families present.  DHA reviewed a PowerPoint presentation that described in narrative and photo essays the current conditions of the properties, revitalization strategy options, development goals, relocation, and master plan concepts.  Residents were engaged in active discussion of the plans and they provided excellent comments on the development.  In addition, residents asked detailed questions that were answered in open discussion.  
On December 17, 2013, DHA held the second resident consultation meeting with 44 residents present.  DHA reviewed a condensed presentation of the meeting materials from the previous meeting and added enhanced site plans and unit plans for resident input and consideration.  At the conclusion of the meeting, DHA conducted an abbreviated relocation survey to gain more information about resident relocation requirements and needs.   
Additional resident consultation efforts are described in the required tab, XIII. Local Government.  
During all meetings, DHA was frank with residents and the community about the challenges of a revitalization effort, relocation, and the competitive nature of securing financing and low income housing tax credits.   
RELOCATION
DHA understands that the redevelopment of Gateway Manor and Oakview Apartments needs to be implemented in a manner to minimize disruption and relocation of current residents.  During the construction, the current residents will be accommodated in other DHA apartments, provided with HUD-funded housing assistance in private rental housing (similar to Housing Choice Vouchers), or provided DHA-controlled Housing Choice Vouchers under a carefully-monitored relocation plan.  
DHA has applied to HUD to use the housing subsidy provided for each of the Gateway units to create temporary housing assistance.  In this way, families may locate a private housing unit that meets the required standards.  Families may desire to remain in Decatur, or may desire to relocate to other housing of their choice with the HUD housing assistance.  Following an inspection by DHA a contract would be entered into by DHA and the owner.  The family would continue to pay the same affordable rental that they do at Gateway.  HUD would provide to DHA the rental subsidy for the unit, and DHA would pay the subsidy to the owner of the private rental unit.  DHA would also be responsible for the reasonable costs of the relocation effort.  After the temporary relocation, residents would return to the newly constructed units.  If HUD does not allow the temporary use of the housing subsidy as a pass-through, then DHA will provide housing choice vouchers from its resources for the relocation of the families in Phase I. 
DEMOLITION AND RELOCATION
In order to enable as many families to remain on site as possible during the revitalization effort, DHA will retain the 24 units in Building H, I, and K.  The other on-site residents at Gateway will be relocated in accordance with the DCA Relocation Plan using one of the following methods:
• Transfers to vacant units within that portion of Gateway that will not be demolished as a part of Phase I demolition.  (Buildings H, I, and K)
• Transfers to other vacant DHA Housing units in Decatur (with rental assistance) including, 
o 289 Public Housing units, or
o 75 market rate units 
• Federal Housing Assistance
o HUD is reviewing whether to allow DHA to use the Section 8 housing subsidy on the 88 units at Gateway to assist families to rent private market housing of their choice.  As stated above, if HUD does not, then DHA will provide its’ housing choice vouchers.
• Section 8 Housing Assistance
o Families who choose to move permanently from the community will be issued a Housing Choice Voucher
In all cases, families will be provided housing counseling assistance and financial assistance with moving costs as described in the Relocation Plan.  
Demolition is planned for two phases.  As noted previously, DHA will retain the 24 units in Buildings H, I, and K to enable the maximum number of families, especially families with children who attend the City Schools of Decatur, to continue to remain in the community.  
GATEWAY SITE MAP
Scheduled Demolition by Phase
Demolition Phase I will be required to support the development of Trinity Walk.  A total of 64 units will be demolished as shown below to enable the construction of 69 new units.  
Demolition Phase I – 64 Units
Building Building Type Total Units in Building LIST OF UNITS IN BUILDING Sq. Ft./ bldg
A Townhouses 12 A-1 A-2 A-3 A-4 A-5 A-6 A-7 A-8 A-9 A-10 A-11 A-12 11,742
 Number of bedrooms each unit 2 3 1 1 3 2 2 3 1 1 3 2  
B Townhouses 6 B-1 B-2 B-3 B-4 B-5 B-6             5,757
 Number of bedrooms each unit 2 3 1 1 3 2              
C Townhouses 10 C-1 C-2 C-3 C-4 C-5 C-6 C-7 C-8 C-9 C-10     9,747
 Number of bedrooms each unit 2 3 1 2 2 2 2 1 3 2      
D Townhouses 10 D-1 D-2 D-3 D-4 D-5 D-6 D-7 D-8 D-9 D-10     9,633
 Number of bedrooms each unit 2 3 1 2 2 2 2 1 3 2      
E Townhouses 8 E-1 E-2 E-3 E-4 E-5 E-6 E-7 E-8         7,752
 Number of bedrooms each unit 2 3 1 2 2 1 3 2          
F Townhouses 8 F-1 F-2 F-3 F-4 F-5 F-6 F-7 F-8         7,980
 Number of bedrooms each unit 2 3 1 2 2 1 3 2          
G Townhouses 6 G-1 G-2 G-3 G-4 G-5 G-6             6,156
 Number of bedrooms each unit 2 3 1 2 2 2              
L Garden 4 L-1 L-2 L-3 L-4                 3,990
 Number of bedrooms each unit 2 2 2 2                  
After Trinity Walk Phase I is constructed, then families from the 24 units on-site in Buildings H, I, and K will be transferred into the new units.  In addition, families off-site who wish to return to the community will be relocated into the new units.  Finally, some of the families from the Oakview community will be relocated into the 69 new units.  
After the reoccupancy of Phase I of Trinity Walk, the remaining 24 units of Gateway will be removed to allow the construction of Phase II of Trinity Walk.    
Demolition Phase II – 24 Units
Building Building Type Total Units in Building LIST OF UNITS IN BUILDING Sq. Ft./ bldg
H  Townhouses 6 H-1 H-2 H-3 H-4 H-5 H-6             5,928
 Number of bedrooms each unit 2 3 1 1 3 2              
I Townhouses 10 I-1 I-2 I-3 I-4 I-5 I-6 I-7 I-8 I-9 I-10     9,747
 Number of bedrooms each unit 2 3 1 2 2 2 2 1 3 2      
K Garden/Elderly 8 K- 13 K- 14 K-15 K- 16 K-17 K-18 K-19 K-20         4,984
 Number of bedrooms each unit  1-E  1-E   1-E    1-E    1-E  1-E  2-E  2-E          
PROJECT FINANCING
The funding sources for the Trinity Walk Phase I (Family) include:
• Equity from the sale of 9% Low Income Housing Tax Credits (LIHTC), 
• First mortgage debt from DHA using non-Federal sources at AFR.  
CURRENT STATUS OF DHA AND ITS LIHTC PROJECTS
Allen Wilson Phase I (40 family units) was completed in March 2011 and was fully occupied in less than thirty days.  Allen Wilson Phase II (Oliver House 80 elderly units) was completed on August 31, and the community fully occupied in less than thirty days.  Allen Wilson Phase III (71 family units) achieved substantial completion on December 31, 2013 and was fully occupied by January 31, 2014 (less than thirty days).  Final punch list work is being completed on-site, and DHA is gathering the required documentation to submit to DCA for the Project Completion.  DHA is pleased to have designed and completed a master-planned community and housing that is sustainable and meets the needs of families and seniors in the 21st century.  
We ask that DCA support our effort to preserve Affordable Housing with the Trinity Walk revitalization effort for the following reasons:
1. DHA is a financially stable and solid entity with demonstrated success in real estate development and the implementation of the low income housing tax credit program.  
2. DHA and its architect, Lord, Aeck, and Sargent have completed project master plan and unit schematic plan.  Full plans and specifications will be available for bidding in late 2014 to support the bidding of the construction contraction.  DHA is undertaking this effort using its own resources prior to LIHTC award.
3. As Trinity Walk is an urban site, there is no question about the availability of utilities and services since the site is currently a part of the City of Decatur’s stormwater, sewer, and water lines.  
4. DHA has full site control as it owns the Trinity Walk site with no mortgage or land costs.    
5. DHA will have bid and secured a qualified general contractor, by the fall of 2014, prior to the planned award of low income housing tax credits by DCA.
6. As families want to return to the revitalized Trinity Walk community, there are sufficient applicants to fill the unit.  In addition, there are 449 persons on the DHA waiting list for the community.  DHA will undertake and utilize the same system of prequalification of eligible applicants for Allen Wilson Phases I, II, and III to assure immediate occupancy of all the low income housing tax credit units.    
DHA welcomes the opportunity to discuss with DCA this opportunity to maximize the benefit of the low income housing tax credits to the State of Georgia.                                                                                                                                
</t>
  </si>
  <si>
    <t xml:space="preserve">Trinity Walk I is adjacent to Peavine Creek, a state water.  This creek has been adjacent to the existing site of Gateway since the original construction in approximately 1969.  Georgia law requires a 25-foot buffer between any State Water and adjacent land development.  Section 42-405 of the City of Decatur ordinances establishes two additional buffers, a 50-foot city undisturbed buffer, and a 75-foot city non-impervious buffer from the stream bank.  The existing condition has buildings and impervious hardscape within the prescribed buffers.  Building “A” of the current Gateway community is located along the stream bank.  We are proposing to remove 2,335 square feet of impervious surface from the 25-foot State stream buffer, another 5,474 square feet from the 50-foot City of Decatur undisturbed buffer, and reduce the 75-foot City of Decatur non-impervious buffer by 3,528-square feet, in order to improve the existing condition.  These actions have been approved by the City of Decatur in the zoning for the new Trinity Walk site. 
The appropriately designed stream buffer will provide a Greenspace that protects this creek and provides amenities for use by the residents.  The buffer and related variances are in accordance with the State of Georgia and City of Decatur requirements and improve the existing condition.  A children’s playground, community gathering area, and raised garden beds will line the pleasant trails in this Greenspace.  Appropriate plantings and trees will enhance the viability and aesthetics of the stream buffer. 
Bioswales on the northern and southern boundaries of the overall site address site runoff from non-permeable surfaces.  The stream bank of Peavine Creek contains nearly all of the AE flood zone (100-year flood zone) along the side of the Trinity Walk property.  A very small portion of flood zone (383 square feet) is situated in the northwest corner of the property and will not be impacted by the proposed improvements.  None of the buildings of Trinity Walk I are impacted in any way by the flood zone. The flood elevation is approximately 969.80, and the lowest building finished floor is anticipated to be 979.33, nearly 10-feet above the flood elevation.  Decatur has also designed and developed an innovative 2-acre storm water retention facility under the Ebster Soccer Field at a cost of $10 million.  This facility will serve as a regional storm water facility that will prevent flooding in the area.
</t>
  </si>
  <si>
    <t>2014PA-25</t>
  </si>
  <si>
    <t>Hudson Housing Capital</t>
  </si>
  <si>
    <t>630 Fifth Avenue Suite 2850</t>
  </si>
  <si>
    <t>New York</t>
  </si>
  <si>
    <t>www.hudsonhousing.com</t>
  </si>
  <si>
    <t>Phillip Gorgone</t>
  </si>
  <si>
    <t>Vice President</t>
  </si>
  <si>
    <t>philip.gorgone@hudsonhousing.com</t>
  </si>
  <si>
    <t>17 West Lockwood</t>
  </si>
  <si>
    <t>St. Loius</t>
  </si>
  <si>
    <t>Chris Hite</t>
  </si>
  <si>
    <t>Director of State Tax Credits</t>
  </si>
  <si>
    <t>chite@sugarcreekrealtyllc.com</t>
  </si>
  <si>
    <t>Sugar Creek Realty LLC</t>
  </si>
  <si>
    <t>www.sugarcreekcapital.com</t>
  </si>
  <si>
    <t>Bank of America - Construction Loan</t>
  </si>
  <si>
    <t>The project is designated Family for this application; however, the existing HAP contract includes 32 units to be occupied by seniors or disabled persons.  Accordingly, 20 of the 69 units in this first phase will be available to seniors or disabled persons only.  The remaining 12 seniors or disabled persons units will be included the second phase of the project.</t>
  </si>
  <si>
    <t>All units designated for occupancy by seniors or disabled persons will be on the ground floor and will be ADA accessible.</t>
  </si>
  <si>
    <t>Please note that DCA approved amenity waivers for the project.</t>
  </si>
  <si>
    <t>DECATUR’S COMMUNITY DRIVEN HOUSING INITIATIVE - Located across the street from the $38.3 million revitalization of the Beacon Center, Trinity Walk (Phases I and II) will strategically impact in the City of Decatur's 38-acre Beacon Urban Redevelopment Area. On November 5, 2012, the City of Decatur adopted the Beacon Urban Redevelopment District (Beacon URD) under the Urban Redevelopment Act (O.C.G.A. 36-61-1 et. seq.)  The Gateway community, being renamed Trinity Walk, is included in the boundaries of the Beacon URD being listed specifically by address. Determining the necessary comprehensive community-driven housing strategy that would support housing efforts, including Gateway, the City Planners and DHA focused on the key aspects of the Beacon URD to enhance this area of the City. The Beacon Complex Project (currently under construction directly across the street from Trinity Walk) includes the repurposing and adaptive re-use of two existing historical buildings and one new construction building that includes the Police and Municipal Court Facility, Active Living Building, and City Schools of Decatur Administrative Building totaling 84,377 square feet.  The Active Living Building will have a large multi-purpose space with moveable partitions, rehearsal studio, quiet room, offices, gymnasium, and history museum space to support artists and interested citizens in the discovery of artistic venture in this non-profit wing of the building.  Much of the existing gym, library, and school building would become a “living museum” honoring alumni of the Herring Street, Trinity High, and Beacon Schools.  An outdoor lawn and plaza area would be available for performances, movies and other community events.  As a part of the revitalization of the Beacon Complex, the adjacent Ebster City Park and pool was rehabilitated.  Ebster Park includes basketball courts, a playground, a small pavilion with picnic tables and grills.  The community swimming pool and bath house features umbrellas and places to relax in the summer.  During the summer, Day Camps are offered to the youth of Decatur that will be available to children living at Trinity Walk.  See Tab 35.</t>
  </si>
  <si>
    <t>The City of Decatur and the Decatur Housing Authority (DHA) have an exceptional history in the development of affordable and workforce housing in Decatur spanning 75 years together.  In the last thirty years, DHA and the City partnered on 103 Urban Homestead units in Oakhurst, 80 townhomes in Swanton Hill, 66 single family homes in Rosewalk, 20 townhomes in Commerce Place, 7 sale townhomes in Commodore Square, 10 homes in Villages at Oakhurst, 90 condominiums at Talley St Lofts, and 191 affordable homes in Allen Wilson.  All these 567 new units of affordable and workforce housing were in Decatur, a city of only four square miles and less than 20,000 persons; thereby demonstrating the extraordinary partnership between the City and DHA in forming effective housing strategies.  Decatur has direct input in DHA’s revitalization efforts as each of the members of the Board of Commissioners (the governing board) is appointed by the Mayor and affirmed by the other City of Decatur Commissioners.  In order to form the new Decatur Community-Driven Housing Strategy that would address the revitalization of the Gateway community, it was necessary for the local government and DHA to gather information that would support and clarify the need to expand housing options while preserving the economic diversity in this evolving town within the larger metropolitan area of Atlanta.  It was known that housing costs were escalating to some extent and that diversity was changing within in the City, but the extent was unclear.  As a result, the City commissioned the Affordable Housing Study in May 2008.  This study gathered the critical data necessary to identify the needs of the community and helped to galvanize further action.  The Study clearly identified the need to address and preserve subsidized rental housing and to continue to sustain the presence of affordable rental housing in the community due a dwindling supply of workforce housing.  Recognizing that the preservation of housing and fostering of new development required a larger community effort, the City of Decatur completed a detailed and community-oriented engagement process to involve the residents in the formation of the new 2010 Strategic Plan to provide Decatur with a road map to implement strategies for the community to address affordable housing and diversity, along with other strategic issues, within the city.  A ground swell of support began for improvements, including enhancements to begin work in the Beacon School Complex and Ebster Park (across the West Trinity Place from the Gateway/Trinity Walk I).  In order to support the revitalization needs of the Beacon School Complex and Ebster Park, while supporting the overall development of housing in the area including the development of the Gateway/Trinity Walk community, it was necessary to develop financing and development approaches that would support revitalization.  On November 5, 2012, two years in advance of the 2014 QAP requirements, the City of Decatur adopted the Beacon Urban Redevelopment District under the Urban Redevelopment Act (O.C.G.A. 36-61-1 et. seq.)  The Beacon Urban Redevelopment District consists of approximately 34 acres of institutional, residential, and commercial properties located in Decatur, Georgia 30030, in DeKalb County.  As DCA is aware, the Urban Redevelopment Act is designed to support local comprehensive planning, revitalize faltering commercial corridors, recruit and nurture small businesses, rehabilitate older homes and neighborhoods, ensure architecturally compatible infill development, and generate new adaptive reuses for old industrial and agricultural facilities.  The Act offers solid support for innovative and thoughtfully crafted development strategies needed to solve the problems of these designated target areas.  The City and DHA focused on the key aspects of the Beacon Urban Redevelopment Area and determined the necessary comprehensive community-driven housing strategy that would support housing efforts, including Gateway, and enhance this new Urban Redevelop District (URD).  The main focus of the URD was the development of necessary storm water infrastructure and municipal facilities.  The URD contains an 83,000 square foot multi-use municipal building (Beacon Complex) owned by the City of Decatur and about 1,700 linear feet of public and private storm drainage facilities.  Other properties in the Redevelopment Area include the Calloway property, an 85,000 square foot governmental building which has been purchased by the Decatur Urban Redevelopment Agency from DeKalb County and will be redeveloped with a commercial office, retail and residential development, the completed Allen Wilson property, a three acre property owned by the DHA to be redeveloped with a mid-rise residential building, and a 1,700 linear foot storm drainage system that will be replaced.  The Gateway community, being renamed Trinity Walk, is included in the boundaries of the URD and is listed specifically by address.  The Beacon Complex Project (across the street from Gateway/Trinity Walk) includes the repurposing and adaptive re-use of two existing historical buildings and one new construction building.  The adaptive re-use of the historic Beacon Elementary and Trinity High School buildings originally constructed in 1955 will include the Police and Municipal Court Facility, Active Living Building, and City Schools of Decatur Administrative Building totaling 84,377 square feet.  This also includes civil infrastructure construction to support site redevelopment and the construction of a plaza to connect the three buildings.  The Active Living Building will have a large multi-purpose space with moveable partitions, rehearsal studio, quiet room, offices, gymnasium, and history museum space to support artists and interested citizens in the discovery of artistic venture in this non-profit wing of the building.  Much of the existing gym, library, and school building would become a “living museum” honoring alumni of the Herring Street, Trinity High, and Beacon Schools.  
An outdoor lawn and plaza area would be available for performances, movies and other community events.  As a part of the revitalization of the Beacon Complex, the adjacent Ebster City Park and pool was rehabilitated.  Ebster Park includes basketball courts, a playground, a small pavilion with picnic tables and grills.  The community swimming pool and bath house features umbrellas and places to relax in the summer.  During the summer, Day Camps are offered to the youth of Decatur.  In addition, the City of Decatur has also designed and developed an innovative 2-acre storm water retention facility under the Ebster Soccer Field at a cost of $10 million.  This facility will serve as a regional storm water facility that will prevent flooding downtown and in other areas in the URD.  Because the facility must be sized to receive storm water that is generated by existing developed properties near the Beacon site, the City also anticipates the opportunity to offer capacity in the facility to developers of Trinity Walk, Trinity Triangle, the Callaway property, and other developed properties that may undergo redevelopment.  Fees from the sale of detention capacity in the vault would be used to offset the cost of the facility.  The overall development investment by the City of Decatur for this major revitalization is $38.3 million.  The URD is the culmination of the Decatur Community-Driven Housing Strategy as it has provided the necessary infrastructure, municipal services, economic development focus, and housing to support the revitalization of the Gateway/Trinity I community.  The Trinity Walk I revitalization will strategically impact five of the 38 acres in the Beacon URD as follows:
• Replace the declining properties of Gateway and Oakview  with vibrant new construction housing.
• Maintain affordability for the 111 units under the federal Section 8 housing subsidy, as well as adding 10 affordable units under the Low Income Housing Tax Credit program.
• Minimize relocation requirements for families.
• Develop amenities on-site that serve families’ needs.
• Create one consolidated community that is sustainable, energy efficient, and meets quality urban design principles.
These positive impacts are in line with the Affordable Housing Study from May 2008, the City of Decatur’s Strategic Plan 2010, and the Beacon Complex Urban Redevelopment District.</t>
  </si>
  <si>
    <t>        (48,455)</t>
  </si>
  <si>
    <t>        (48,086)</t>
  </si>
  <si>
    <t>        (47,618)</t>
  </si>
  <si>
    <t>        (47,046)</t>
  </si>
  <si>
    <t>        (46,367)</t>
  </si>
  <si>
    <t>        (45,573)</t>
  </si>
  <si>
    <t>        (44,661)</t>
  </si>
  <si>
    <t>        (43,626)</t>
  </si>
  <si>
    <t>        (28,627)</t>
  </si>
  <si>
    <t xml:space="preserve">               -   </t>
  </si>
  <si>
    <t xml:space="preserve">       307,276 </t>
  </si>
  <si>
    <t xml:space="preserve">       269,238 </t>
  </si>
  <si>
    <t xml:space="preserve">       230,425 </t>
  </si>
  <si>
    <t xml:space="preserve">       190,913 </t>
  </si>
  <si>
    <t xml:space="preserve">       150,789 </t>
  </si>
  <si>
    <t xml:space="preserve">       110,146 </t>
  </si>
  <si>
    <t xml:space="preserve">         69,087 </t>
  </si>
  <si>
    <t xml:space="preserve">         27,720 </t>
  </si>
  <si>
    <t xml:space="preserve">               -   </t>
  </si>
  <si>
    <t>QAP Threshold</t>
  </si>
  <si>
    <t>Supporting documents for Impact File</t>
  </si>
  <si>
    <t>2014-055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</si>
</sst>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9" fontId="50" fillId="0" borderId="3" xfId="10" applyFont="1" applyBorder="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0" fontId="2" fillId="11" borderId="15" xfId="0" applyFont="1" applyFill="1" applyBorder="1" applyAlignment="1" applyProtection="1">
      <alignment vertical="center"/>
    </xf>
    <xf numFmtId="0" fontId="2" fillId="11" borderId="35" xfId="0" applyFont="1" applyFill="1" applyBorder="1" applyAlignment="1" applyProtection="1">
      <alignment vertical="center"/>
    </xf>
    <xf numFmtId="164" fontId="11" fillId="6" borderId="16" xfId="1" applyNumberFormat="1" applyFont="1" applyFill="1" applyBorder="1" applyProtection="1"/>
    <xf numFmtId="164" fontId="11" fillId="6" borderId="18"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topLeftCell="A181" workbookViewId="0">
      <selection activeCell="A181" sqref="A1:XFD1048576"/>
    </sheetView>
  </sheetViews>
  <sheetFormatPr defaultRowHeight="11.25"/>
  <cols>
    <col min="1" max="1" width="3.28515625" style="1804" customWidth="1"/>
    <col min="2" max="2" width="10.7109375" style="1933" customWidth="1"/>
    <col min="3" max="3" width="4.85546875" style="1933" customWidth="1"/>
    <col min="4" max="4" width="8.5703125" style="1933" customWidth="1"/>
    <col min="5" max="5" width="4.28515625" style="1934" customWidth="1"/>
    <col min="6" max="8" width="33.85546875" style="1804" customWidth="1"/>
    <col min="9" max="9" width="4" style="1932" hidden="1" customWidth="1"/>
    <col min="10" max="10" width="6.42578125" style="1804" hidden="1" customWidth="1"/>
    <col min="11" max="11" width="9.7109375" style="1804" hidden="1" customWidth="1"/>
    <col min="12" max="12" width="3.42578125" style="1804" customWidth="1"/>
    <col min="13" max="16384" width="9.140625" style="1804"/>
  </cols>
  <sheetData>
    <row r="1" spans="1:12" s="1802" customFormat="1" ht="15.75">
      <c r="A1" s="1799" t="str">
        <f>CONCATENATE("2014 Application Tabs Checklist for:  ",'Part I-Project Information'!F23, ",  ",'Part I-Project Information'!F27, ",  ",'Part I-Project Information'!J28, " County")</f>
        <v>2014 Application Tabs Checklist for:  Trinity Walk Phase I,  Decatur,  DeKalb County</v>
      </c>
      <c r="B1" s="1800"/>
      <c r="C1" s="1800"/>
      <c r="D1" s="1800"/>
      <c r="E1" s="1800"/>
      <c r="F1" s="1800"/>
      <c r="G1" s="1800"/>
      <c r="H1" s="1800"/>
      <c r="I1" s="1800"/>
      <c r="J1" s="1800"/>
      <c r="K1" s="1800"/>
      <c r="L1" s="1801"/>
    </row>
    <row r="2" spans="1:12" ht="26.25" customHeight="1">
      <c r="A2" s="1803" t="s">
        <v>3162</v>
      </c>
      <c r="B2" s="1803"/>
      <c r="C2" s="1803"/>
      <c r="D2" s="1803"/>
      <c r="E2" s="1803"/>
      <c r="F2" s="1803"/>
      <c r="G2" s="1803"/>
      <c r="H2" s="1803"/>
      <c r="I2" s="1803"/>
      <c r="J2" s="1803"/>
      <c r="K2" s="1803"/>
      <c r="L2" s="1803"/>
    </row>
    <row r="3" spans="1:12" s="1810" customFormat="1" ht="12" customHeight="1">
      <c r="A3" s="1805" t="s">
        <v>3025</v>
      </c>
      <c r="B3" s="1806"/>
      <c r="C3" s="1806"/>
      <c r="D3" s="1806"/>
      <c r="E3" s="1807" t="s">
        <v>3026</v>
      </c>
      <c r="F3" s="1808"/>
      <c r="G3" s="1808"/>
      <c r="H3" s="1808"/>
      <c r="I3" s="1809"/>
      <c r="J3" s="1808"/>
      <c r="K3" s="1808"/>
      <c r="L3" s="1807" t="s">
        <v>3027</v>
      </c>
    </row>
    <row r="4" spans="1:12" s="1810" customFormat="1" ht="12.75" thickBot="1">
      <c r="A4" s="1811"/>
      <c r="B4" s="1812" t="s">
        <v>3028</v>
      </c>
      <c r="C4" s="1812"/>
      <c r="D4" s="1812"/>
      <c r="E4" s="1813"/>
      <c r="F4" s="1812" t="s">
        <v>3180</v>
      </c>
      <c r="G4" s="1814"/>
      <c r="H4" s="1814"/>
      <c r="I4" s="1812" t="s">
        <v>3029</v>
      </c>
      <c r="J4" s="1814"/>
      <c r="K4" s="1814"/>
      <c r="L4" s="1813"/>
    </row>
    <row r="5" spans="1:12" s="1818" customFormat="1" ht="11.25" customHeight="1">
      <c r="A5" s="1815"/>
      <c r="B5" s="1816"/>
      <c r="C5" s="1816"/>
      <c r="D5" s="1816"/>
      <c r="E5" s="1817"/>
      <c r="F5" s="1818" t="s">
        <v>3030</v>
      </c>
      <c r="I5" s="1819"/>
      <c r="L5" s="1820" t="s">
        <v>3702</v>
      </c>
    </row>
    <row r="6" spans="1:12" s="1818" customFormat="1" ht="11.25" customHeight="1">
      <c r="A6" s="1821" t="s">
        <v>3031</v>
      </c>
      <c r="B6" s="1816" t="s">
        <v>1517</v>
      </c>
      <c r="C6" s="1816"/>
      <c r="D6" s="1816"/>
      <c r="E6" s="1822" t="s">
        <v>3031</v>
      </c>
      <c r="F6" s="1818" t="s">
        <v>3159</v>
      </c>
      <c r="I6" s="1819"/>
      <c r="L6" s="1823" t="s">
        <v>3702</v>
      </c>
    </row>
    <row r="7" spans="1:12" s="1818" customFormat="1" ht="11.25" customHeight="1">
      <c r="A7" s="1815"/>
      <c r="B7" s="1816"/>
      <c r="C7" s="1816"/>
      <c r="D7" s="1816"/>
      <c r="E7" s="1824" t="s">
        <v>2938</v>
      </c>
      <c r="F7" s="1818" t="s">
        <v>3032</v>
      </c>
      <c r="I7" s="1819"/>
      <c r="L7" s="1823" t="s">
        <v>3702</v>
      </c>
    </row>
    <row r="8" spans="1:12" s="1818" customFormat="1" ht="11.25" customHeight="1">
      <c r="A8" s="1815"/>
      <c r="B8" s="1816"/>
      <c r="C8" s="1816"/>
      <c r="D8" s="1816"/>
      <c r="E8" s="1824" t="s">
        <v>2936</v>
      </c>
      <c r="F8" s="1818" t="s">
        <v>452</v>
      </c>
      <c r="I8" s="1819"/>
      <c r="L8" s="1823" t="s">
        <v>3703</v>
      </c>
    </row>
    <row r="9" spans="1:12" s="1818" customFormat="1" ht="11.25" customHeight="1">
      <c r="A9" s="1815"/>
      <c r="B9" s="1816"/>
      <c r="C9" s="1816"/>
      <c r="D9" s="1816"/>
      <c r="E9" s="1824" t="s">
        <v>2937</v>
      </c>
      <c r="F9" s="1818" t="s">
        <v>2913</v>
      </c>
      <c r="I9" s="1819"/>
      <c r="L9" s="1823" t="s">
        <v>3702</v>
      </c>
    </row>
    <row r="10" spans="1:12" s="1818" customFormat="1" ht="11.25" customHeight="1">
      <c r="A10" s="1815"/>
      <c r="B10" s="1816"/>
      <c r="C10" s="1816"/>
      <c r="D10" s="1816"/>
      <c r="E10" s="1824" t="s">
        <v>2939</v>
      </c>
      <c r="F10" s="1818" t="s">
        <v>2926</v>
      </c>
      <c r="I10" s="1819"/>
      <c r="J10" s="1825"/>
      <c r="L10" s="1823" t="s">
        <v>3702</v>
      </c>
    </row>
    <row r="11" spans="1:12" s="1818" customFormat="1" ht="11.25" customHeight="1">
      <c r="A11" s="1815"/>
      <c r="B11" s="1816"/>
      <c r="C11" s="1816"/>
      <c r="D11" s="1816"/>
      <c r="E11" s="1824" t="s">
        <v>2940</v>
      </c>
      <c r="F11" s="1818" t="s">
        <v>3033</v>
      </c>
      <c r="I11" s="1819"/>
      <c r="J11" s="1825"/>
      <c r="L11" s="1826" t="s">
        <v>3703</v>
      </c>
    </row>
    <row r="12" spans="1:12" s="1818" customFormat="1" ht="11.25" customHeight="1">
      <c r="A12" s="1815"/>
      <c r="B12" s="1816"/>
      <c r="C12" s="1816"/>
      <c r="D12" s="1816"/>
      <c r="E12" s="1827" t="s">
        <v>2941</v>
      </c>
      <c r="F12" s="1818" t="s">
        <v>3160</v>
      </c>
      <c r="I12" s="1819"/>
      <c r="J12" s="1825"/>
      <c r="L12" s="1826" t="s">
        <v>3702</v>
      </c>
    </row>
    <row r="13" spans="1:12" s="1818" customFormat="1" ht="11.25" customHeight="1">
      <c r="A13" s="1828" t="s">
        <v>3034</v>
      </c>
      <c r="B13" s="1828"/>
      <c r="C13" s="1828"/>
      <c r="D13" s="1828"/>
      <c r="E13" s="1828"/>
      <c r="F13" s="1828"/>
      <c r="G13" s="1828"/>
      <c r="H13" s="1828"/>
      <c r="I13" s="1828"/>
      <c r="J13" s="1828"/>
      <c r="K13" s="1828"/>
      <c r="L13" s="1828"/>
    </row>
    <row r="14" spans="1:12" s="1818" customFormat="1" ht="11.25" customHeight="1">
      <c r="A14" s="1829" t="s">
        <v>2938</v>
      </c>
      <c r="B14" s="1830" t="s">
        <v>3189</v>
      </c>
      <c r="C14" s="1830"/>
      <c r="D14" s="1831" t="s">
        <v>3190</v>
      </c>
      <c r="E14" s="1822" t="s">
        <v>2938</v>
      </c>
      <c r="F14" s="1832" t="s">
        <v>3035</v>
      </c>
      <c r="G14" s="1832"/>
      <c r="H14" s="1832"/>
      <c r="I14" s="1819"/>
      <c r="J14" s="1825"/>
      <c r="L14" s="1823" t="s">
        <v>3702</v>
      </c>
    </row>
    <row r="15" spans="1:12" s="1818" customFormat="1" ht="11.25" customHeight="1">
      <c r="A15" s="1815"/>
      <c r="C15" s="1833"/>
      <c r="D15" s="1816" t="s">
        <v>3036</v>
      </c>
      <c r="E15" s="1824" t="s">
        <v>2936</v>
      </c>
      <c r="F15" s="1834" t="s">
        <v>3037</v>
      </c>
      <c r="G15" s="1834"/>
      <c r="H15" s="1834"/>
      <c r="I15" s="1835" t="s">
        <v>3132</v>
      </c>
      <c r="J15" s="1836" t="s">
        <v>3133</v>
      </c>
      <c r="K15" s="1836" t="s">
        <v>3134</v>
      </c>
      <c r="L15" s="1823" t="s">
        <v>3702</v>
      </c>
    </row>
    <row r="16" spans="1:12" s="1818" customFormat="1" ht="11.25" customHeight="1">
      <c r="A16" s="1815"/>
      <c r="C16" s="1833"/>
      <c r="D16" s="1816"/>
      <c r="E16" s="1824"/>
      <c r="F16" s="1834"/>
      <c r="G16" s="1834"/>
      <c r="H16" s="1834"/>
      <c r="I16" s="1835" t="s">
        <v>3040</v>
      </c>
      <c r="J16" s="1836" t="s">
        <v>2122</v>
      </c>
      <c r="K16" s="1836" t="s">
        <v>3135</v>
      </c>
    </row>
    <row r="17" spans="1:12" s="1818" customFormat="1" ht="11.25" customHeight="1">
      <c r="A17" s="1815"/>
      <c r="C17" s="1833"/>
      <c r="D17" s="1816" t="s">
        <v>3038</v>
      </c>
      <c r="E17" s="1824" t="s">
        <v>2937</v>
      </c>
      <c r="F17" s="1825" t="s">
        <v>3166</v>
      </c>
      <c r="G17" s="1837"/>
      <c r="H17" s="1837"/>
      <c r="I17" s="1835"/>
      <c r="J17" s="1836"/>
      <c r="K17" s="1838"/>
      <c r="L17" s="1823" t="s">
        <v>3702</v>
      </c>
    </row>
    <row r="18" spans="1:12" s="1818" customFormat="1" ht="11.25" customHeight="1">
      <c r="A18" s="1815"/>
      <c r="C18" s="1833"/>
      <c r="D18" s="1816"/>
      <c r="E18" s="1839"/>
      <c r="F18" s="1818" t="s">
        <v>3167</v>
      </c>
      <c r="I18" s="1840"/>
      <c r="J18" s="1841"/>
      <c r="K18" s="1838"/>
      <c r="L18" s="1823" t="s">
        <v>3702</v>
      </c>
    </row>
    <row r="19" spans="1:12" s="1818" customFormat="1" ht="11.25" customHeight="1">
      <c r="A19" s="1815"/>
      <c r="C19" s="1833"/>
      <c r="D19" s="1816" t="s">
        <v>3039</v>
      </c>
      <c r="E19" s="1824" t="s">
        <v>2939</v>
      </c>
      <c r="F19" s="1818" t="s">
        <v>3168</v>
      </c>
      <c r="I19" s="1835" t="s">
        <v>3609</v>
      </c>
      <c r="J19" s="1836" t="s">
        <v>3045</v>
      </c>
      <c r="K19" s="1836" t="s">
        <v>3046</v>
      </c>
      <c r="L19" s="1823" t="s">
        <v>3702</v>
      </c>
    </row>
    <row r="20" spans="1:12" s="1818" customFormat="1" ht="11.25" customHeight="1">
      <c r="A20" s="1815"/>
      <c r="C20" s="1833"/>
      <c r="D20" s="1816"/>
      <c r="E20" s="1839"/>
      <c r="F20" s="1818" t="s">
        <v>3169</v>
      </c>
      <c r="L20" s="1823" t="s">
        <v>3703</v>
      </c>
    </row>
    <row r="21" spans="1:12" s="1818" customFormat="1" ht="11.25" customHeight="1">
      <c r="A21" s="1815"/>
      <c r="C21" s="1833"/>
      <c r="D21" s="1816"/>
      <c r="E21" s="1839"/>
      <c r="F21" s="1818" t="s">
        <v>3170</v>
      </c>
      <c r="I21" s="1819"/>
      <c r="J21" s="1825"/>
      <c r="L21" s="1823" t="s">
        <v>3703</v>
      </c>
    </row>
    <row r="22" spans="1:12" s="1818" customFormat="1" ht="11.25" customHeight="1">
      <c r="A22" s="1815"/>
      <c r="C22" s="1833"/>
      <c r="D22" s="1816"/>
      <c r="E22" s="1839"/>
      <c r="F22" s="1818" t="s">
        <v>3171</v>
      </c>
      <c r="I22" s="1819"/>
      <c r="J22" s="1825"/>
      <c r="L22" s="1823" t="s">
        <v>3703</v>
      </c>
    </row>
    <row r="23" spans="1:12" s="1818" customFormat="1" ht="11.25" customHeight="1">
      <c r="A23" s="1815"/>
      <c r="C23" s="1833"/>
      <c r="D23" s="1816"/>
      <c r="E23" s="1839"/>
      <c r="F23" s="1818" t="s">
        <v>3607</v>
      </c>
      <c r="I23" s="1819"/>
      <c r="J23" s="1825"/>
      <c r="L23" s="1823" t="s">
        <v>3703</v>
      </c>
    </row>
    <row r="24" spans="1:12" s="1818" customFormat="1" ht="11.25" customHeight="1">
      <c r="A24" s="1815"/>
      <c r="C24" s="1833"/>
      <c r="D24" s="1816" t="s">
        <v>3041</v>
      </c>
      <c r="E24" s="1824" t="s">
        <v>2940</v>
      </c>
      <c r="F24" s="1818" t="s">
        <v>3172</v>
      </c>
      <c r="I24" s="1819"/>
      <c r="J24" s="1825"/>
      <c r="L24" s="1823" t="s">
        <v>3703</v>
      </c>
    </row>
    <row r="25" spans="1:12" s="1818" customFormat="1" ht="11.25" customHeight="1">
      <c r="A25" s="1815"/>
      <c r="B25" s="1842"/>
      <c r="C25" s="1842"/>
      <c r="D25" s="1842"/>
      <c r="E25" s="1839"/>
      <c r="F25" s="1818" t="s">
        <v>3411</v>
      </c>
      <c r="I25" s="1819"/>
      <c r="J25" s="1825"/>
      <c r="L25" s="1823" t="s">
        <v>3703</v>
      </c>
    </row>
    <row r="26" spans="1:12" s="1818" customFormat="1" ht="11.25" customHeight="1">
      <c r="A26" s="1815"/>
      <c r="B26" s="1842"/>
      <c r="C26" s="1842"/>
      <c r="D26" s="1842"/>
      <c r="E26" s="1839"/>
      <c r="F26" s="1818" t="s">
        <v>3412</v>
      </c>
      <c r="I26" s="1819"/>
      <c r="J26" s="1825"/>
      <c r="L26" s="1823" t="s">
        <v>3703</v>
      </c>
    </row>
    <row r="27" spans="1:12" s="1818" customFormat="1" ht="11.25" customHeight="1">
      <c r="A27" s="1815"/>
      <c r="B27" s="1842"/>
      <c r="C27" s="1842"/>
      <c r="D27" s="1842"/>
      <c r="E27" s="1839"/>
      <c r="F27" s="1818" t="s">
        <v>3413</v>
      </c>
      <c r="I27" s="1819"/>
      <c r="J27" s="1825"/>
      <c r="L27" s="1823" t="s">
        <v>3703</v>
      </c>
    </row>
    <row r="28" spans="1:12" s="1818" customFormat="1" ht="11.25" customHeight="1">
      <c r="A28" s="1815"/>
      <c r="B28" s="1842"/>
      <c r="C28" s="1842"/>
      <c r="D28" s="1842"/>
      <c r="E28" s="1824" t="s">
        <v>2941</v>
      </c>
      <c r="F28" s="1818" t="s">
        <v>3042</v>
      </c>
      <c r="I28" s="1819"/>
      <c r="J28" s="1825"/>
      <c r="L28" s="1823" t="s">
        <v>3702</v>
      </c>
    </row>
    <row r="29" spans="1:12" s="1818" customFormat="1" ht="11.25" customHeight="1">
      <c r="A29" s="1815"/>
      <c r="B29" s="1842"/>
      <c r="C29" s="1842"/>
      <c r="D29" s="1842"/>
      <c r="E29" s="1824" t="s">
        <v>2942</v>
      </c>
      <c r="F29" s="1818" t="s">
        <v>3043</v>
      </c>
      <c r="I29" s="1819"/>
      <c r="J29" s="1825"/>
      <c r="L29" s="1823" t="s">
        <v>3702</v>
      </c>
    </row>
    <row r="30" spans="1:12" s="1818" customFormat="1" ht="11.25" customHeight="1">
      <c r="A30" s="1829" t="s">
        <v>2936</v>
      </c>
      <c r="B30" s="1831" t="s">
        <v>3044</v>
      </c>
      <c r="C30" s="1831"/>
      <c r="D30" s="1831"/>
      <c r="E30" s="1822" t="s">
        <v>2938</v>
      </c>
      <c r="F30" s="1843" t="s">
        <v>3047</v>
      </c>
      <c r="G30" s="1843"/>
      <c r="H30" s="1843"/>
      <c r="I30" s="1844" t="s">
        <v>3609</v>
      </c>
      <c r="J30" s="1845" t="s">
        <v>3045</v>
      </c>
      <c r="K30" s="1846" t="s">
        <v>3046</v>
      </c>
      <c r="L30" s="1823" t="s">
        <v>3703</v>
      </c>
    </row>
    <row r="31" spans="1:12" s="1818" customFormat="1" ht="11.25" customHeight="1">
      <c r="A31" s="1829" t="s">
        <v>2937</v>
      </c>
      <c r="B31" s="1831" t="s">
        <v>3191</v>
      </c>
      <c r="C31" s="1831"/>
      <c r="D31" s="1831" t="s">
        <v>3078</v>
      </c>
      <c r="E31" s="1822" t="s">
        <v>2938</v>
      </c>
      <c r="F31" s="1832" t="s">
        <v>3048</v>
      </c>
      <c r="G31" s="1832"/>
      <c r="H31" s="1832"/>
      <c r="I31" s="1844"/>
      <c r="J31" s="1845"/>
      <c r="K31" s="1846"/>
      <c r="L31" s="1823" t="s">
        <v>3703</v>
      </c>
    </row>
    <row r="32" spans="1:12" s="1818" customFormat="1" ht="11.25" customHeight="1">
      <c r="A32" s="1829" t="s">
        <v>2939</v>
      </c>
      <c r="B32" s="1831" t="s">
        <v>3192</v>
      </c>
      <c r="C32" s="1831"/>
      <c r="D32" s="1831" t="s">
        <v>3075</v>
      </c>
      <c r="E32" s="1822" t="s">
        <v>2938</v>
      </c>
      <c r="F32" s="1832" t="s">
        <v>3049</v>
      </c>
      <c r="G32" s="1832"/>
      <c r="H32" s="1832"/>
      <c r="I32" s="1844"/>
      <c r="J32" s="1845"/>
      <c r="K32" s="1846"/>
      <c r="L32" s="1823" t="s">
        <v>3703</v>
      </c>
    </row>
    <row r="33" spans="1:12" s="1818" customFormat="1" ht="11.25" customHeight="1">
      <c r="A33" s="1815"/>
      <c r="B33" s="1833"/>
      <c r="C33" s="1833"/>
      <c r="D33" s="1816" t="s">
        <v>3050</v>
      </c>
      <c r="E33" s="1824" t="s">
        <v>2936</v>
      </c>
      <c r="F33" s="1838" t="s">
        <v>3051</v>
      </c>
      <c r="I33" s="1819"/>
      <c r="J33" s="1825"/>
      <c r="L33" s="1823" t="s">
        <v>3703</v>
      </c>
    </row>
    <row r="34" spans="1:12" s="1818" customFormat="1" ht="11.25" customHeight="1">
      <c r="A34" s="1829" t="s">
        <v>2940</v>
      </c>
      <c r="B34" s="1831" t="s">
        <v>3052</v>
      </c>
      <c r="C34" s="1831"/>
      <c r="D34" s="1831"/>
      <c r="E34" s="1822" t="s">
        <v>2938</v>
      </c>
      <c r="F34" s="1832" t="s">
        <v>481</v>
      </c>
      <c r="G34" s="1832"/>
      <c r="H34" s="1832"/>
      <c r="I34" s="1844" t="s">
        <v>381</v>
      </c>
      <c r="J34" s="1845"/>
      <c r="K34" s="1846" t="s">
        <v>3053</v>
      </c>
      <c r="L34" s="1823" t="s">
        <v>3702</v>
      </c>
    </row>
    <row r="35" spans="1:12" s="1818" customFormat="1" ht="11.25" customHeight="1">
      <c r="A35" s="1829" t="s">
        <v>2941</v>
      </c>
      <c r="B35" s="1831" t="s">
        <v>3193</v>
      </c>
      <c r="C35" s="1831"/>
      <c r="D35" s="1831" t="s">
        <v>3050</v>
      </c>
      <c r="E35" s="1822" t="s">
        <v>2938</v>
      </c>
      <c r="F35" s="1832" t="s">
        <v>3054</v>
      </c>
      <c r="G35" s="1832"/>
      <c r="H35" s="1832"/>
      <c r="I35" s="1844"/>
      <c r="J35" s="1845"/>
      <c r="K35" s="1846"/>
      <c r="L35" s="1823" t="s">
        <v>3703</v>
      </c>
    </row>
    <row r="36" spans="1:12" s="1818" customFormat="1" ht="11.25" customHeight="1">
      <c r="A36" s="1829" t="s">
        <v>2942</v>
      </c>
      <c r="B36" s="1831" t="s">
        <v>3194</v>
      </c>
      <c r="C36" s="1831"/>
      <c r="D36" s="1831" t="s">
        <v>3195</v>
      </c>
      <c r="E36" s="1822" t="s">
        <v>2938</v>
      </c>
      <c r="F36" s="1832" t="s">
        <v>3055</v>
      </c>
      <c r="G36" s="1832"/>
      <c r="H36" s="1832"/>
      <c r="I36" s="1844"/>
      <c r="J36" s="1845"/>
      <c r="K36" s="1846"/>
      <c r="L36" s="1823" t="s">
        <v>3702</v>
      </c>
    </row>
    <row r="37" spans="1:12" s="1818" customFormat="1" ht="11.25" customHeight="1">
      <c r="B37" s="1847" t="s">
        <v>3196</v>
      </c>
      <c r="C37" s="1847"/>
      <c r="D37" s="1848"/>
      <c r="E37" s="1824" t="s">
        <v>2936</v>
      </c>
      <c r="F37" s="1818" t="s">
        <v>3056</v>
      </c>
      <c r="I37" s="1819"/>
      <c r="J37" s="1825"/>
      <c r="L37" s="1823" t="s">
        <v>3702</v>
      </c>
    </row>
    <row r="38" spans="1:12" s="1818" customFormat="1" ht="11.25" customHeight="1">
      <c r="B38" s="1847"/>
      <c r="C38" s="1847"/>
      <c r="D38" s="1848"/>
      <c r="E38" s="1824" t="s">
        <v>2937</v>
      </c>
      <c r="F38" s="1818" t="s">
        <v>3057</v>
      </c>
      <c r="I38" s="1819"/>
      <c r="J38" s="1825"/>
      <c r="L38" s="1823" t="s">
        <v>3703</v>
      </c>
    </row>
    <row r="39" spans="1:12" s="1818" customFormat="1" ht="11.25" customHeight="1">
      <c r="B39" s="1847"/>
      <c r="C39" s="1847"/>
      <c r="D39" s="1815"/>
      <c r="E39" s="1849" t="s">
        <v>2939</v>
      </c>
      <c r="F39" s="1850" t="s">
        <v>3161</v>
      </c>
      <c r="G39" s="1850"/>
      <c r="H39" s="1850"/>
      <c r="I39" s="1850"/>
      <c r="J39" s="1850"/>
      <c r="K39" s="1851"/>
      <c r="L39" s="1823"/>
    </row>
    <row r="40" spans="1:12" s="1818" customFormat="1" ht="11.25" customHeight="1">
      <c r="A40" s="1829" t="s">
        <v>3143</v>
      </c>
      <c r="B40" s="1852" t="s">
        <v>3058</v>
      </c>
      <c r="C40" s="1852"/>
      <c r="D40" s="1852"/>
      <c r="E40" s="1822" t="s">
        <v>2938</v>
      </c>
      <c r="F40" s="1853" t="s">
        <v>3608</v>
      </c>
      <c r="G40" s="1853"/>
      <c r="H40" s="1853"/>
      <c r="I40" s="1844"/>
      <c r="J40" s="1845"/>
      <c r="K40" s="1846"/>
      <c r="L40" s="1823" t="s">
        <v>3702</v>
      </c>
    </row>
    <row r="41" spans="1:12" s="1818" customFormat="1" ht="11.25" customHeight="1">
      <c r="A41" s="1815"/>
      <c r="B41" s="1816"/>
      <c r="C41" s="1816"/>
      <c r="D41" s="1816"/>
      <c r="E41" s="1824" t="s">
        <v>2936</v>
      </c>
      <c r="F41" s="1818" t="s">
        <v>3627</v>
      </c>
      <c r="I41" s="1835" t="s">
        <v>3609</v>
      </c>
      <c r="J41" s="1836" t="s">
        <v>3610</v>
      </c>
      <c r="K41" s="1836" t="s">
        <v>3046</v>
      </c>
      <c r="L41" s="1823" t="s">
        <v>3702</v>
      </c>
    </row>
    <row r="42" spans="1:12" s="1818" customFormat="1" ht="11.25" customHeight="1">
      <c r="A42" s="1815"/>
      <c r="B42" s="1816"/>
      <c r="C42" s="1816"/>
      <c r="D42" s="1816"/>
      <c r="E42" s="1824" t="s">
        <v>2937</v>
      </c>
      <c r="F42" s="1818" t="s">
        <v>3414</v>
      </c>
      <c r="I42" s="1819"/>
      <c r="J42" s="1825"/>
      <c r="L42" s="1823" t="s">
        <v>3702</v>
      </c>
    </row>
    <row r="43" spans="1:12" s="1818" customFormat="1" ht="11.25" customHeight="1">
      <c r="A43" s="1854"/>
      <c r="B43" s="1855"/>
      <c r="C43" s="1855"/>
      <c r="D43" s="1855"/>
      <c r="E43" s="1849" t="s">
        <v>2939</v>
      </c>
      <c r="F43" s="1856" t="s">
        <v>3059</v>
      </c>
      <c r="G43" s="1856"/>
      <c r="H43" s="1856"/>
      <c r="I43" s="1819"/>
      <c r="J43" s="1825"/>
      <c r="L43" s="1823" t="s">
        <v>3703</v>
      </c>
    </row>
    <row r="44" spans="1:12" s="1818" customFormat="1" ht="11.25" customHeight="1">
      <c r="A44" s="1857" t="s">
        <v>3144</v>
      </c>
      <c r="B44" s="1858" t="s">
        <v>3060</v>
      </c>
      <c r="C44" s="1858"/>
      <c r="D44" s="1858"/>
      <c r="E44" s="1824" t="s">
        <v>2938</v>
      </c>
      <c r="F44" s="1859" t="s">
        <v>3061</v>
      </c>
      <c r="G44" s="1859"/>
      <c r="H44" s="1859"/>
      <c r="I44" s="1844"/>
      <c r="J44" s="1845"/>
      <c r="K44" s="1846"/>
      <c r="L44" s="1823" t="s">
        <v>3702</v>
      </c>
    </row>
    <row r="45" spans="1:12" s="1818" customFormat="1" ht="11.25" customHeight="1">
      <c r="A45" s="1857"/>
      <c r="B45" s="1858"/>
      <c r="C45" s="1858"/>
      <c r="D45" s="1858"/>
      <c r="E45" s="1824" t="s">
        <v>2936</v>
      </c>
      <c r="F45" s="1859" t="s">
        <v>3415</v>
      </c>
      <c r="G45" s="1859"/>
      <c r="H45" s="1859"/>
      <c r="I45" s="1860"/>
      <c r="J45" s="1861"/>
      <c r="K45" s="1862"/>
      <c r="L45" s="1823" t="s">
        <v>3703</v>
      </c>
    </row>
    <row r="46" spans="1:12" s="1818" customFormat="1" ht="11.25" customHeight="1">
      <c r="A46" s="1863"/>
      <c r="B46" s="1855"/>
      <c r="C46" s="1855"/>
      <c r="D46" s="1855"/>
      <c r="E46" s="1824" t="s">
        <v>2937</v>
      </c>
      <c r="F46" s="1856" t="s">
        <v>3416</v>
      </c>
      <c r="G46" s="1856"/>
      <c r="H46" s="1856"/>
      <c r="I46" s="1864"/>
      <c r="J46" s="1865"/>
      <c r="K46" s="1866"/>
      <c r="L46" s="1823" t="s">
        <v>3703</v>
      </c>
    </row>
    <row r="47" spans="1:12" s="1818" customFormat="1" ht="11.25" customHeight="1">
      <c r="A47" s="1830">
        <v>10</v>
      </c>
      <c r="B47" s="1831" t="s">
        <v>3062</v>
      </c>
      <c r="C47" s="1831"/>
      <c r="D47" s="1831"/>
      <c r="E47" s="1822" t="s">
        <v>2938</v>
      </c>
      <c r="F47" s="1832" t="s">
        <v>3628</v>
      </c>
      <c r="G47" s="1832"/>
      <c r="H47" s="1832"/>
      <c r="I47" s="1844"/>
      <c r="J47" s="1845"/>
      <c r="K47" s="1846"/>
      <c r="L47" s="1823" t="s">
        <v>3702</v>
      </c>
    </row>
    <row r="48" spans="1:12" s="1818" customFormat="1" ht="11.25" customHeight="1">
      <c r="A48" s="1815"/>
      <c r="B48" s="1816"/>
      <c r="C48" s="1816"/>
      <c r="D48" s="1816"/>
      <c r="E48" s="1824" t="s">
        <v>2936</v>
      </c>
      <c r="F48" s="1818" t="s">
        <v>3417</v>
      </c>
      <c r="I48" s="1819"/>
      <c r="J48" s="1825"/>
      <c r="L48" s="1823" t="s">
        <v>3702</v>
      </c>
    </row>
    <row r="49" spans="1:12" s="1818" customFormat="1" ht="11.25" customHeight="1">
      <c r="A49" s="1815"/>
      <c r="B49" s="1816"/>
      <c r="C49" s="1816"/>
      <c r="D49" s="1816"/>
      <c r="E49" s="1824" t="s">
        <v>2937</v>
      </c>
      <c r="F49" s="1818" t="s">
        <v>3418</v>
      </c>
      <c r="I49" s="1819"/>
      <c r="J49" s="1825"/>
      <c r="L49" s="1823" t="s">
        <v>3703</v>
      </c>
    </row>
    <row r="50" spans="1:12" s="1818" customFormat="1" ht="11.25" customHeight="1">
      <c r="A50" s="1815"/>
      <c r="B50" s="1816"/>
      <c r="C50" s="1816"/>
      <c r="D50" s="1816"/>
      <c r="E50" s="1824" t="s">
        <v>2939</v>
      </c>
      <c r="F50" s="1818" t="s">
        <v>3063</v>
      </c>
      <c r="I50" s="1819"/>
      <c r="J50" s="1825"/>
      <c r="L50" s="1823" t="s">
        <v>3702</v>
      </c>
    </row>
    <row r="51" spans="1:12" s="1818" customFormat="1" ht="11.25" customHeight="1">
      <c r="A51" s="1830">
        <v>11</v>
      </c>
      <c r="B51" s="1831" t="s">
        <v>3064</v>
      </c>
      <c r="C51" s="1831"/>
      <c r="D51" s="1831"/>
      <c r="E51" s="1822" t="s">
        <v>2938</v>
      </c>
      <c r="F51" s="1832" t="s">
        <v>3065</v>
      </c>
      <c r="G51" s="1832"/>
      <c r="H51" s="1832"/>
      <c r="I51" s="1844"/>
      <c r="J51" s="1845"/>
      <c r="K51" s="1846"/>
      <c r="L51" s="1823" t="s">
        <v>3702</v>
      </c>
    </row>
    <row r="52" spans="1:12" s="1818" customFormat="1" ht="11.25" customHeight="1">
      <c r="A52" s="1830">
        <v>12</v>
      </c>
      <c r="B52" s="1831" t="s">
        <v>3066</v>
      </c>
      <c r="C52" s="1831"/>
      <c r="D52" s="1831"/>
      <c r="E52" s="1822" t="s">
        <v>2938</v>
      </c>
      <c r="F52" s="1832" t="s">
        <v>3067</v>
      </c>
      <c r="G52" s="1832"/>
      <c r="H52" s="1832"/>
      <c r="I52" s="1844"/>
      <c r="J52" s="1845"/>
      <c r="K52" s="1846"/>
      <c r="L52" s="1823" t="s">
        <v>3702</v>
      </c>
    </row>
    <row r="53" spans="1:12" s="1818" customFormat="1" ht="11.25" customHeight="1">
      <c r="A53" s="1815"/>
      <c r="B53" s="1816"/>
      <c r="C53" s="1816"/>
      <c r="D53" s="1816"/>
      <c r="E53" s="1824" t="s">
        <v>2936</v>
      </c>
      <c r="F53" s="1818" t="s">
        <v>3068</v>
      </c>
      <c r="I53" s="1819"/>
      <c r="J53" s="1825"/>
      <c r="L53" s="1823" t="s">
        <v>3703</v>
      </c>
    </row>
    <row r="54" spans="1:12" s="1818" customFormat="1" ht="11.25" customHeight="1">
      <c r="A54" s="1815"/>
      <c r="B54" s="1816"/>
      <c r="C54" s="1816"/>
      <c r="D54" s="1816"/>
      <c r="E54" s="1824" t="s">
        <v>2937</v>
      </c>
      <c r="F54" s="1818" t="s">
        <v>3069</v>
      </c>
      <c r="I54" s="1819"/>
      <c r="J54" s="1825"/>
      <c r="L54" s="1823" t="s">
        <v>3703</v>
      </c>
    </row>
    <row r="55" spans="1:12" s="1818" customFormat="1" ht="11.25" customHeight="1">
      <c r="A55" s="1830">
        <v>13</v>
      </c>
      <c r="B55" s="1831" t="s">
        <v>3070</v>
      </c>
      <c r="C55" s="1831"/>
      <c r="D55" s="1831"/>
      <c r="E55" s="1822" t="s">
        <v>2938</v>
      </c>
      <c r="F55" s="1832" t="s">
        <v>3419</v>
      </c>
      <c r="G55" s="1832"/>
      <c r="H55" s="1832"/>
      <c r="I55" s="1844"/>
      <c r="J55" s="1845"/>
      <c r="K55" s="1846"/>
      <c r="L55" s="1823" t="s">
        <v>3702</v>
      </c>
    </row>
    <row r="56" spans="1:12" s="1818" customFormat="1" ht="11.25" customHeight="1">
      <c r="A56" s="1815"/>
      <c r="B56" s="1816"/>
      <c r="C56" s="1816"/>
      <c r="D56" s="1816"/>
      <c r="E56" s="1824" t="s">
        <v>2936</v>
      </c>
      <c r="F56" s="1818" t="s">
        <v>3420</v>
      </c>
      <c r="I56" s="1819"/>
      <c r="J56" s="1825"/>
      <c r="L56" s="1823" t="s">
        <v>3702</v>
      </c>
    </row>
    <row r="57" spans="1:12" s="1818" customFormat="1" ht="11.25" customHeight="1">
      <c r="A57" s="1815"/>
      <c r="B57" s="1816"/>
      <c r="C57" s="1816"/>
      <c r="D57" s="1816"/>
      <c r="E57" s="1824" t="s">
        <v>2937</v>
      </c>
      <c r="F57" s="1818" t="s">
        <v>3071</v>
      </c>
      <c r="I57" s="1819"/>
      <c r="J57" s="1825"/>
      <c r="L57" s="1823" t="s">
        <v>3702</v>
      </c>
    </row>
    <row r="58" spans="1:12" s="1818" customFormat="1" ht="11.25" customHeight="1">
      <c r="A58" s="1830">
        <v>14</v>
      </c>
      <c r="B58" s="1831" t="s">
        <v>3072</v>
      </c>
      <c r="C58" s="1831"/>
      <c r="D58" s="1831"/>
      <c r="E58" s="1822" t="s">
        <v>2938</v>
      </c>
      <c r="F58" s="1832" t="s">
        <v>3073</v>
      </c>
      <c r="G58" s="1832"/>
      <c r="H58" s="1832"/>
      <c r="I58" s="1844"/>
      <c r="J58" s="1845"/>
      <c r="K58" s="1846"/>
      <c r="L58" s="1823" t="s">
        <v>3702</v>
      </c>
    </row>
    <row r="59" spans="1:12" s="1818" customFormat="1" ht="11.25" customHeight="1">
      <c r="A59" s="1830">
        <v>15</v>
      </c>
      <c r="B59" s="1831" t="s">
        <v>3074</v>
      </c>
      <c r="C59" s="1831"/>
      <c r="D59" s="1831" t="s">
        <v>3075</v>
      </c>
      <c r="E59" s="1822" t="s">
        <v>2938</v>
      </c>
      <c r="F59" s="1832" t="s">
        <v>3076</v>
      </c>
      <c r="G59" s="1832"/>
      <c r="H59" s="1832"/>
      <c r="I59" s="1844"/>
      <c r="J59" s="1845"/>
      <c r="K59" s="1846"/>
      <c r="L59" s="1823" t="s">
        <v>3703</v>
      </c>
    </row>
    <row r="60" spans="1:12" s="1818" customFormat="1" ht="11.25" customHeight="1">
      <c r="A60" s="1815"/>
      <c r="B60" s="1833"/>
      <c r="C60" s="1833"/>
      <c r="D60" s="1816" t="s">
        <v>3050</v>
      </c>
      <c r="E60" s="1824" t="s">
        <v>2936</v>
      </c>
      <c r="F60" s="1818" t="s">
        <v>3077</v>
      </c>
      <c r="I60" s="1819"/>
      <c r="J60" s="1825"/>
      <c r="L60" s="1823" t="s">
        <v>3703</v>
      </c>
    </row>
    <row r="61" spans="1:12" s="1818" customFormat="1" ht="11.25" customHeight="1">
      <c r="A61" s="1815"/>
      <c r="B61" s="1833"/>
      <c r="C61" s="1833"/>
      <c r="D61" s="1816" t="s">
        <v>3078</v>
      </c>
      <c r="E61" s="1824" t="s">
        <v>2937</v>
      </c>
      <c r="F61" s="1818" t="s">
        <v>3079</v>
      </c>
      <c r="I61" s="1819"/>
      <c r="J61" s="1825"/>
      <c r="L61" s="1823" t="s">
        <v>3703</v>
      </c>
    </row>
    <row r="62" spans="1:12" s="1818" customFormat="1" ht="11.25" customHeight="1">
      <c r="A62" s="1830">
        <v>16</v>
      </c>
      <c r="B62" s="1867" t="s">
        <v>3080</v>
      </c>
      <c r="C62" s="1867"/>
      <c r="D62" s="1831"/>
      <c r="E62" s="1822" t="s">
        <v>2938</v>
      </c>
      <c r="F62" s="1832" t="s">
        <v>3081</v>
      </c>
      <c r="G62" s="1832"/>
      <c r="H62" s="1832"/>
      <c r="I62" s="1844"/>
      <c r="J62" s="1845"/>
      <c r="K62" s="1846"/>
      <c r="L62" s="1823" t="s">
        <v>3702</v>
      </c>
    </row>
    <row r="63" spans="1:12" s="1818" customFormat="1" ht="11.25" customHeight="1">
      <c r="A63" s="1815"/>
      <c r="B63" s="1868"/>
      <c r="C63" s="1868"/>
      <c r="D63" s="1816"/>
      <c r="E63" s="1824" t="s">
        <v>2936</v>
      </c>
      <c r="F63" s="1818" t="s">
        <v>3082</v>
      </c>
      <c r="I63" s="1819"/>
      <c r="J63" s="1825"/>
      <c r="L63" s="1823" t="s">
        <v>3702</v>
      </c>
    </row>
    <row r="64" spans="1:12" s="1818" customFormat="1" ht="11.25" customHeight="1">
      <c r="A64" s="1815"/>
      <c r="B64" s="1868"/>
      <c r="C64" s="1868"/>
      <c r="D64" s="1816"/>
      <c r="E64" s="1824" t="s">
        <v>2937</v>
      </c>
      <c r="F64" s="1818" t="s">
        <v>3083</v>
      </c>
      <c r="I64" s="1819"/>
      <c r="J64" s="1825"/>
      <c r="L64" s="1823" t="s">
        <v>3702</v>
      </c>
    </row>
    <row r="65" spans="1:12" s="1818" customFormat="1" ht="11.25" customHeight="1">
      <c r="A65" s="1815"/>
      <c r="B65" s="1816"/>
      <c r="C65" s="1816"/>
      <c r="D65" s="1816"/>
      <c r="E65" s="1824" t="s">
        <v>2939</v>
      </c>
      <c r="F65" s="1818" t="s">
        <v>3084</v>
      </c>
      <c r="I65" s="1819"/>
      <c r="J65" s="1825"/>
      <c r="L65" s="1823" t="s">
        <v>3702</v>
      </c>
    </row>
    <row r="66" spans="1:12" s="1818" customFormat="1" ht="11.25" customHeight="1">
      <c r="A66" s="1830" t="s">
        <v>3145</v>
      </c>
      <c r="B66" s="1867" t="s">
        <v>3197</v>
      </c>
      <c r="C66" s="1867"/>
      <c r="D66" s="1831" t="s">
        <v>3195</v>
      </c>
      <c r="E66" s="1822" t="s">
        <v>2938</v>
      </c>
      <c r="F66" s="1869" t="s">
        <v>3085</v>
      </c>
      <c r="G66" s="1870"/>
      <c r="H66" s="1832"/>
      <c r="I66" s="1844"/>
      <c r="J66" s="1845"/>
      <c r="K66" s="1846"/>
      <c r="L66" s="1823" t="s">
        <v>3703</v>
      </c>
    </row>
    <row r="67" spans="1:12" s="1818" customFormat="1" ht="11.25" customHeight="1">
      <c r="A67" s="1815"/>
      <c r="B67" s="1871"/>
      <c r="C67" s="1871"/>
      <c r="D67" s="1816"/>
      <c r="E67" s="1839" t="s">
        <v>2936</v>
      </c>
      <c r="F67" s="1818" t="s">
        <v>3086</v>
      </c>
      <c r="I67" s="1819"/>
      <c r="J67" s="1825"/>
      <c r="L67" s="1823" t="s">
        <v>3703</v>
      </c>
    </row>
    <row r="68" spans="1:12" s="1818" customFormat="1" ht="11.25" customHeight="1">
      <c r="A68" s="1830" t="s">
        <v>3146</v>
      </c>
      <c r="B68" s="1867" t="s">
        <v>3207</v>
      </c>
      <c r="C68" s="1867"/>
      <c r="D68" s="1831"/>
      <c r="E68" s="1822" t="s">
        <v>2938</v>
      </c>
      <c r="F68" s="1832" t="s">
        <v>3131</v>
      </c>
      <c r="G68" s="1832"/>
      <c r="H68" s="1832"/>
      <c r="I68" s="1844"/>
      <c r="J68" s="1845"/>
      <c r="K68" s="1846"/>
      <c r="L68" s="1823" t="s">
        <v>3702</v>
      </c>
    </row>
    <row r="69" spans="1:12" s="1818" customFormat="1" ht="11.25" customHeight="1">
      <c r="A69" s="1872"/>
      <c r="B69" s="1868"/>
      <c r="C69" s="1868"/>
      <c r="D69" s="1858"/>
      <c r="E69" s="1824" t="s">
        <v>2936</v>
      </c>
      <c r="F69" s="1859" t="s">
        <v>3088</v>
      </c>
      <c r="G69" s="1859"/>
      <c r="H69" s="1859"/>
      <c r="I69" s="1860"/>
      <c r="J69" s="1859"/>
      <c r="K69" s="1862"/>
      <c r="L69" s="1823" t="s">
        <v>3702</v>
      </c>
    </row>
    <row r="70" spans="1:12" s="1818" customFormat="1" ht="11.25" customHeight="1">
      <c r="A70" s="1815"/>
      <c r="B70" s="1816" t="s">
        <v>3208</v>
      </c>
      <c r="C70" s="1816"/>
      <c r="D70" s="1816"/>
      <c r="E70" s="1824" t="s">
        <v>2937</v>
      </c>
      <c r="F70" s="1818" t="s">
        <v>3089</v>
      </c>
      <c r="I70" s="1819"/>
      <c r="L70" s="1823" t="s">
        <v>3702</v>
      </c>
    </row>
    <row r="71" spans="1:12" s="1818" customFormat="1" ht="11.25" customHeight="1">
      <c r="A71" s="1815"/>
      <c r="B71" s="1816"/>
      <c r="C71" s="1816"/>
      <c r="D71" s="1816"/>
      <c r="E71" s="1824" t="s">
        <v>2939</v>
      </c>
      <c r="F71" s="1818" t="s">
        <v>3090</v>
      </c>
      <c r="I71" s="1819"/>
      <c r="L71" s="1823" t="s">
        <v>3703</v>
      </c>
    </row>
    <row r="72" spans="1:12" s="1818" customFormat="1" ht="11.25" customHeight="1">
      <c r="A72" s="1815"/>
      <c r="B72" s="1873" t="s">
        <v>3611</v>
      </c>
      <c r="C72" s="1833"/>
      <c r="D72" s="1816" t="s">
        <v>3075</v>
      </c>
      <c r="E72" s="1824" t="s">
        <v>2940</v>
      </c>
      <c r="F72" s="1874" t="s">
        <v>3612</v>
      </c>
      <c r="G72" s="1874"/>
      <c r="H72" s="1874"/>
      <c r="I72" s="1819"/>
      <c r="J72" s="1825"/>
      <c r="L72" s="1823" t="s">
        <v>3702</v>
      </c>
    </row>
    <row r="73" spans="1:12" s="1818" customFormat="1" ht="11.25" customHeight="1">
      <c r="A73" s="1815"/>
      <c r="C73" s="1833"/>
      <c r="D73" s="1816" t="s">
        <v>3050</v>
      </c>
      <c r="E73" s="1824" t="s">
        <v>2941</v>
      </c>
      <c r="F73" s="1818" t="s">
        <v>3613</v>
      </c>
      <c r="I73" s="1819"/>
      <c r="J73" s="1825"/>
      <c r="L73" s="1823" t="s">
        <v>3702</v>
      </c>
    </row>
    <row r="74" spans="1:12" s="1818" customFormat="1" ht="11.25" customHeight="1">
      <c r="A74" s="1815"/>
      <c r="B74" s="1816"/>
      <c r="C74" s="1816"/>
      <c r="D74" s="1816"/>
      <c r="E74" s="1824" t="s">
        <v>2942</v>
      </c>
      <c r="F74" s="1818" t="s">
        <v>3614</v>
      </c>
      <c r="I74" s="1819"/>
      <c r="J74" s="1825"/>
      <c r="L74" s="1823" t="s">
        <v>3702</v>
      </c>
    </row>
    <row r="75" spans="1:12" s="1818" customFormat="1" ht="11.25" customHeight="1">
      <c r="A75" s="1815"/>
      <c r="C75" s="1816"/>
      <c r="D75" s="1816"/>
      <c r="E75" s="1824" t="s">
        <v>3143</v>
      </c>
      <c r="F75" s="1875" t="s">
        <v>3615</v>
      </c>
      <c r="G75" s="1875"/>
      <c r="H75" s="1875"/>
      <c r="I75" s="1819"/>
      <c r="J75" s="1825"/>
      <c r="L75" s="1823" t="s">
        <v>3703</v>
      </c>
    </row>
    <row r="76" spans="1:12" s="1818" customFormat="1" ht="11.25" customHeight="1">
      <c r="A76" s="1815"/>
      <c r="B76" s="1816"/>
      <c r="C76" s="1816"/>
      <c r="D76" s="1816"/>
      <c r="E76" s="1824" t="s">
        <v>3144</v>
      </c>
      <c r="F76" s="1875" t="s">
        <v>3616</v>
      </c>
      <c r="G76" s="1875"/>
      <c r="H76" s="1875"/>
      <c r="I76" s="1819"/>
      <c r="J76" s="1825"/>
      <c r="L76" s="1823" t="s">
        <v>3703</v>
      </c>
    </row>
    <row r="77" spans="1:12" s="1818" customFormat="1" ht="11.25" customHeight="1">
      <c r="A77" s="1815"/>
      <c r="B77" s="1816"/>
      <c r="C77" s="1816"/>
      <c r="D77" s="1816"/>
      <c r="E77" s="1824" t="s">
        <v>3202</v>
      </c>
      <c r="F77" s="1850" t="s">
        <v>3161</v>
      </c>
      <c r="G77" s="1850"/>
      <c r="H77" s="1850"/>
      <c r="I77" s="1850"/>
      <c r="J77" s="1850"/>
      <c r="K77" s="1851"/>
      <c r="L77" s="1823"/>
    </row>
    <row r="78" spans="1:12" s="1818" customFormat="1" ht="11.25" customHeight="1">
      <c r="A78" s="1830">
        <v>19</v>
      </c>
      <c r="B78" s="1831" t="s">
        <v>3198</v>
      </c>
      <c r="C78" s="1831"/>
      <c r="D78" s="1831" t="s">
        <v>3075</v>
      </c>
      <c r="E78" s="1822" t="s">
        <v>2938</v>
      </c>
      <c r="F78" s="1832" t="s">
        <v>3091</v>
      </c>
      <c r="G78" s="1832"/>
      <c r="H78" s="1832"/>
      <c r="I78" s="1844"/>
      <c r="J78" s="1845"/>
      <c r="K78" s="1832"/>
      <c r="L78" s="1823" t="s">
        <v>3702</v>
      </c>
    </row>
    <row r="79" spans="1:12" s="1818" customFormat="1" ht="11.25" customHeight="1">
      <c r="A79" s="1815"/>
      <c r="B79" s="1816"/>
      <c r="C79" s="1816"/>
      <c r="D79" s="1816"/>
      <c r="E79" s="1824" t="s">
        <v>2936</v>
      </c>
      <c r="F79" s="1818" t="s">
        <v>3092</v>
      </c>
      <c r="I79" s="1819"/>
      <c r="J79" s="1825"/>
      <c r="L79" s="1823" t="s">
        <v>3702</v>
      </c>
    </row>
    <row r="80" spans="1:12" s="1818" customFormat="1" ht="11.25" customHeight="1">
      <c r="A80" s="1815"/>
      <c r="C80" s="1833"/>
      <c r="D80" s="1816" t="s">
        <v>3093</v>
      </c>
      <c r="E80" s="1824" t="s">
        <v>2937</v>
      </c>
      <c r="F80" s="1818" t="s">
        <v>3094</v>
      </c>
      <c r="I80" s="1819"/>
      <c r="J80" s="1825"/>
      <c r="L80" s="1823" t="s">
        <v>3703</v>
      </c>
    </row>
    <row r="81" spans="1:12" s="1818" customFormat="1" ht="21" customHeight="1">
      <c r="A81" s="1854"/>
      <c r="B81" s="1855"/>
      <c r="C81" s="1855"/>
      <c r="D81" s="1855"/>
      <c r="E81" s="1849" t="s">
        <v>2939</v>
      </c>
      <c r="F81" s="1876" t="s">
        <v>3421</v>
      </c>
      <c r="G81" s="1877"/>
      <c r="H81" s="1877"/>
      <c r="I81" s="1877"/>
      <c r="J81" s="1877"/>
      <c r="K81" s="1878"/>
      <c r="L81" s="1823" t="s">
        <v>3702</v>
      </c>
    </row>
    <row r="82" spans="1:12" s="1818" customFormat="1" ht="11.25" customHeight="1">
      <c r="A82" s="1872">
        <v>20</v>
      </c>
      <c r="B82" s="1858" t="s">
        <v>3423</v>
      </c>
      <c r="C82" s="1858"/>
      <c r="D82" s="1858"/>
      <c r="E82" s="1824" t="s">
        <v>2938</v>
      </c>
      <c r="F82" s="1859" t="s">
        <v>3095</v>
      </c>
      <c r="G82" s="1859"/>
      <c r="H82" s="1859"/>
      <c r="I82" s="1860"/>
      <c r="J82" s="1861"/>
      <c r="K82" s="1859"/>
      <c r="L82" s="1823" t="s">
        <v>3703</v>
      </c>
    </row>
    <row r="83" spans="1:12" s="1818" customFormat="1" ht="11.25" customHeight="1">
      <c r="B83" s="1858"/>
      <c r="C83" s="1858"/>
      <c r="D83" s="1858"/>
      <c r="E83" s="1824" t="s">
        <v>2936</v>
      </c>
      <c r="F83" s="1859" t="s">
        <v>3422</v>
      </c>
      <c r="G83" s="1859"/>
      <c r="H83" s="1859"/>
      <c r="I83" s="1860"/>
      <c r="J83" s="1861"/>
      <c r="K83" s="1859"/>
      <c r="L83" s="1823" t="s">
        <v>3703</v>
      </c>
    </row>
    <row r="84" spans="1:12" s="1818" customFormat="1" ht="11.25" customHeight="1">
      <c r="A84" s="1854"/>
      <c r="B84" s="1855"/>
      <c r="C84" s="1855"/>
      <c r="D84" s="1855"/>
      <c r="E84" s="1849" t="s">
        <v>2937</v>
      </c>
      <c r="F84" s="1856" t="s">
        <v>3096</v>
      </c>
      <c r="G84" s="1856"/>
      <c r="H84" s="1856"/>
      <c r="I84" s="1819"/>
      <c r="J84" s="1825"/>
      <c r="L84" s="1823" t="s">
        <v>3703</v>
      </c>
    </row>
    <row r="85" spans="1:12" s="1818" customFormat="1" ht="11.25" customHeight="1">
      <c r="A85" s="1830">
        <v>21</v>
      </c>
      <c r="B85" s="1867" t="s">
        <v>3424</v>
      </c>
      <c r="C85" s="1867"/>
      <c r="D85" s="1831"/>
      <c r="E85" s="1822" t="s">
        <v>2938</v>
      </c>
      <c r="F85" s="1832" t="s">
        <v>3163</v>
      </c>
      <c r="G85" s="1832"/>
      <c r="H85" s="1832"/>
      <c r="I85" s="1844"/>
      <c r="J85" s="1845"/>
      <c r="K85" s="1846"/>
      <c r="L85" s="1823" t="s">
        <v>3703</v>
      </c>
    </row>
    <row r="86" spans="1:12" s="1818" customFormat="1" ht="11.25" customHeight="1">
      <c r="A86" s="1815"/>
      <c r="B86" s="1868"/>
      <c r="C86" s="1868"/>
      <c r="D86" s="1816"/>
      <c r="E86" s="1824" t="s">
        <v>2936</v>
      </c>
      <c r="F86" s="1818" t="s">
        <v>2583</v>
      </c>
      <c r="I86" s="1819"/>
      <c r="J86" s="1825"/>
      <c r="L86" s="1823" t="s">
        <v>3702</v>
      </c>
    </row>
    <row r="87" spans="1:12" s="1818" customFormat="1" ht="11.25" customHeight="1">
      <c r="B87" s="1816"/>
      <c r="C87" s="1816"/>
      <c r="D87" s="1816"/>
      <c r="E87" s="1824" t="s">
        <v>2937</v>
      </c>
      <c r="F87" s="1818" t="s">
        <v>3097</v>
      </c>
      <c r="I87" s="1819"/>
      <c r="J87" s="1825"/>
      <c r="L87" s="1823" t="s">
        <v>3702</v>
      </c>
    </row>
    <row r="88" spans="1:12" s="1818" customFormat="1" ht="11.25" customHeight="1">
      <c r="A88" s="1815"/>
      <c r="B88" s="1816"/>
      <c r="C88" s="1816"/>
      <c r="D88" s="1816"/>
      <c r="E88" s="1824" t="s">
        <v>2939</v>
      </c>
      <c r="F88" s="1818" t="s">
        <v>521</v>
      </c>
      <c r="I88" s="1819"/>
      <c r="J88" s="1825"/>
      <c r="L88" s="1823" t="s">
        <v>3703</v>
      </c>
    </row>
    <row r="89" spans="1:12" s="1818" customFormat="1" ht="11.25" customHeight="1">
      <c r="A89" s="1815"/>
      <c r="B89" s="1816"/>
      <c r="C89" s="1816"/>
      <c r="D89" s="1816"/>
      <c r="E89" s="1824" t="s">
        <v>2940</v>
      </c>
      <c r="F89" s="1818" t="s">
        <v>691</v>
      </c>
      <c r="I89" s="1819"/>
      <c r="J89" s="1825"/>
      <c r="L89" s="1823" t="s">
        <v>3703</v>
      </c>
    </row>
    <row r="90" spans="1:12" s="1818" customFormat="1" ht="11.25" customHeight="1">
      <c r="B90" s="1816"/>
      <c r="C90" s="1816"/>
      <c r="D90" s="1816"/>
      <c r="E90" s="1824" t="s">
        <v>2941</v>
      </c>
      <c r="F90" s="1818" t="s">
        <v>1646</v>
      </c>
      <c r="I90" s="1819"/>
      <c r="J90" s="1825"/>
      <c r="L90" s="1823" t="s">
        <v>3702</v>
      </c>
    </row>
    <row r="91" spans="1:12" s="1818" customFormat="1" ht="11.25" customHeight="1">
      <c r="A91" s="1815"/>
      <c r="B91" s="1816"/>
      <c r="C91" s="1816"/>
      <c r="D91" s="1816"/>
      <c r="E91" s="1824" t="s">
        <v>2942</v>
      </c>
      <c r="F91" s="1818" t="s">
        <v>3429</v>
      </c>
      <c r="I91" s="1819"/>
      <c r="J91" s="1825"/>
      <c r="L91" s="1823" t="s">
        <v>3703</v>
      </c>
    </row>
    <row r="92" spans="1:12" s="1818" customFormat="1" ht="11.25" customHeight="1">
      <c r="A92" s="1815"/>
      <c r="B92" s="1816"/>
      <c r="C92" s="1816"/>
      <c r="D92" s="1816"/>
      <c r="E92" s="1824" t="s">
        <v>3143</v>
      </c>
      <c r="F92" s="1818" t="s">
        <v>3426</v>
      </c>
      <c r="I92" s="1819"/>
      <c r="J92" s="1825"/>
      <c r="L92" s="1823" t="s">
        <v>3702</v>
      </c>
    </row>
    <row r="93" spans="1:12" s="1818" customFormat="1" ht="11.25" customHeight="1">
      <c r="A93" s="1879">
        <v>22</v>
      </c>
      <c r="B93" s="1831" t="s">
        <v>3425</v>
      </c>
      <c r="C93" s="1831"/>
      <c r="D93" s="1831" t="s">
        <v>3075</v>
      </c>
      <c r="E93" s="1822" t="s">
        <v>2938</v>
      </c>
      <c r="F93" s="1832" t="s">
        <v>3629</v>
      </c>
      <c r="G93" s="1832"/>
      <c r="H93" s="1832"/>
      <c r="I93" s="1844"/>
      <c r="J93" s="1845"/>
      <c r="K93" s="1832"/>
      <c r="L93" s="1823" t="s">
        <v>3703</v>
      </c>
    </row>
    <row r="94" spans="1:12" s="1818" customFormat="1" ht="11.25" customHeight="1">
      <c r="A94" s="1815"/>
      <c r="C94" s="1833"/>
      <c r="D94" s="1816" t="s">
        <v>3050</v>
      </c>
      <c r="E94" s="1824" t="s">
        <v>2936</v>
      </c>
      <c r="F94" s="1818" t="s">
        <v>3098</v>
      </c>
      <c r="I94" s="1819"/>
      <c r="J94" s="1825"/>
      <c r="L94" s="1823" t="s">
        <v>3703</v>
      </c>
    </row>
    <row r="95" spans="1:12" s="1818" customFormat="1" ht="11.25" customHeight="1">
      <c r="C95" s="1833"/>
      <c r="D95" s="1816" t="s">
        <v>3078</v>
      </c>
      <c r="E95" s="1824" t="s">
        <v>2937</v>
      </c>
      <c r="F95" s="1818" t="s">
        <v>3099</v>
      </c>
      <c r="I95" s="1819"/>
      <c r="J95" s="1825"/>
      <c r="L95" s="1823" t="s">
        <v>3702</v>
      </c>
    </row>
    <row r="96" spans="1:12" s="1818" customFormat="1" ht="11.25" customHeight="1">
      <c r="A96" s="1815"/>
      <c r="C96" s="1833"/>
      <c r="D96" s="1816" t="s">
        <v>3087</v>
      </c>
      <c r="E96" s="1824" t="s">
        <v>2939</v>
      </c>
      <c r="F96" s="1818" t="s">
        <v>3100</v>
      </c>
      <c r="I96" s="1819"/>
      <c r="J96" s="1825"/>
      <c r="L96" s="1823" t="s">
        <v>3703</v>
      </c>
    </row>
    <row r="97" spans="1:12" s="1818" customFormat="1" ht="11.25" customHeight="1">
      <c r="A97" s="1830">
        <v>23</v>
      </c>
      <c r="B97" s="1880" t="s">
        <v>3427</v>
      </c>
      <c r="C97" s="1880"/>
      <c r="D97" s="1881"/>
      <c r="E97" s="1822" t="s">
        <v>2938</v>
      </c>
      <c r="F97" s="1882" t="s">
        <v>3101</v>
      </c>
      <c r="G97" s="1882"/>
      <c r="H97" s="1882"/>
      <c r="I97" s="1844"/>
      <c r="J97" s="1845"/>
      <c r="K97" s="1832"/>
      <c r="L97" s="1823" t="s">
        <v>3702</v>
      </c>
    </row>
    <row r="98" spans="1:12" s="1818" customFormat="1" ht="11.25" customHeight="1">
      <c r="A98" s="1883"/>
      <c r="B98" s="1884"/>
      <c r="C98" s="1884"/>
      <c r="D98" s="1885"/>
      <c r="E98" s="1824" t="s">
        <v>2936</v>
      </c>
      <c r="F98" s="1838" t="s">
        <v>1564</v>
      </c>
      <c r="G98" s="1838"/>
      <c r="H98" s="1838"/>
      <c r="I98" s="1819"/>
      <c r="J98" s="1825"/>
      <c r="L98" s="1823" t="s">
        <v>3702</v>
      </c>
    </row>
    <row r="99" spans="1:12" s="1818" customFormat="1" ht="11.25" customHeight="1">
      <c r="A99" s="1883"/>
      <c r="B99" s="1886"/>
      <c r="C99" s="1886"/>
      <c r="D99" s="1886"/>
      <c r="E99" s="1824" t="s">
        <v>2937</v>
      </c>
      <c r="F99" s="1838" t="s">
        <v>3428</v>
      </c>
      <c r="G99" s="1838"/>
      <c r="H99" s="1838"/>
      <c r="I99" s="1819"/>
      <c r="J99" s="1825"/>
      <c r="L99" s="1823" t="s">
        <v>3702</v>
      </c>
    </row>
    <row r="100" spans="1:12" s="1818" customFormat="1" ht="11.25" customHeight="1">
      <c r="B100" s="1886"/>
      <c r="C100" s="1886"/>
      <c r="D100" s="1886"/>
      <c r="E100" s="1824" t="s">
        <v>2939</v>
      </c>
      <c r="F100" s="1838" t="s">
        <v>2366</v>
      </c>
      <c r="G100" s="1838"/>
      <c r="H100" s="1838"/>
      <c r="I100" s="1819"/>
      <c r="J100" s="1825"/>
      <c r="L100" s="1823" t="s">
        <v>3702</v>
      </c>
    </row>
    <row r="101" spans="1:12" s="1818" customFormat="1" ht="11.25" customHeight="1">
      <c r="A101" s="1883"/>
      <c r="B101" s="1886"/>
      <c r="C101" s="1886"/>
      <c r="D101" s="1886"/>
      <c r="E101" s="1824" t="s">
        <v>2940</v>
      </c>
      <c r="F101" s="1838" t="s">
        <v>3102</v>
      </c>
      <c r="G101" s="1838"/>
      <c r="H101" s="1838"/>
      <c r="I101" s="1819"/>
      <c r="J101" s="1825"/>
      <c r="L101" s="1823" t="s">
        <v>3702</v>
      </c>
    </row>
    <row r="102" spans="1:12" s="1818" customFormat="1" ht="11.25" customHeight="1">
      <c r="A102" s="1883"/>
      <c r="B102" s="1883"/>
      <c r="C102" s="1883"/>
      <c r="D102" s="1883"/>
      <c r="E102" s="1824" t="s">
        <v>2941</v>
      </c>
      <c r="F102" s="1838" t="s">
        <v>3103</v>
      </c>
      <c r="G102" s="1838"/>
      <c r="H102" s="1838"/>
      <c r="I102" s="1819"/>
      <c r="J102" s="1825"/>
      <c r="L102" s="1823" t="s">
        <v>3702</v>
      </c>
    </row>
    <row r="103" spans="1:12" s="1818" customFormat="1" ht="11.25" customHeight="1">
      <c r="A103" s="1883"/>
      <c r="B103" s="1883"/>
      <c r="C103" s="1883"/>
      <c r="D103" s="1883"/>
      <c r="E103" s="1824" t="s">
        <v>2942</v>
      </c>
      <c r="F103" s="1838" t="s">
        <v>3104</v>
      </c>
      <c r="G103" s="1838"/>
      <c r="H103" s="1838"/>
      <c r="I103" s="1819"/>
      <c r="J103" s="1825"/>
      <c r="L103" s="1826" t="s">
        <v>3703</v>
      </c>
    </row>
    <row r="104" spans="1:12" s="1818" customFormat="1" ht="11.25" customHeight="1">
      <c r="A104" s="1883"/>
      <c r="B104" s="1883"/>
      <c r="C104" s="1883"/>
      <c r="D104" s="1883"/>
      <c r="E104" s="1827" t="s">
        <v>3143</v>
      </c>
      <c r="F104" s="1838" t="s">
        <v>3164</v>
      </c>
      <c r="G104" s="1838"/>
      <c r="H104" s="1838"/>
      <c r="I104" s="1819"/>
      <c r="J104" s="1825"/>
      <c r="L104" s="1826" t="s">
        <v>3703</v>
      </c>
    </row>
    <row r="105" spans="1:12" s="1859" customFormat="1" ht="11.25" customHeight="1">
      <c r="A105" s="1828" t="s">
        <v>3105</v>
      </c>
      <c r="B105" s="1828"/>
      <c r="C105" s="1828"/>
      <c r="D105" s="1828"/>
      <c r="E105" s="1828"/>
      <c r="F105" s="1828"/>
      <c r="G105" s="1828"/>
      <c r="H105" s="1828"/>
      <c r="I105" s="1828"/>
      <c r="J105" s="1828"/>
      <c r="K105" s="1828"/>
      <c r="L105" s="1828"/>
    </row>
    <row r="106" spans="1:12" s="1818" customFormat="1" ht="11.25" customHeight="1">
      <c r="A106" s="1830">
        <v>24</v>
      </c>
      <c r="B106" s="1867" t="s">
        <v>3199</v>
      </c>
      <c r="C106" s="1867"/>
      <c r="D106" s="1887"/>
      <c r="E106" s="1822" t="s">
        <v>2938</v>
      </c>
      <c r="F106" s="1888" t="s">
        <v>3106</v>
      </c>
      <c r="G106" s="1832"/>
      <c r="H106" s="1832"/>
      <c r="I106" s="1844"/>
      <c r="J106" s="1845"/>
      <c r="K106" s="1846"/>
      <c r="L106" s="1823" t="s">
        <v>3702</v>
      </c>
    </row>
    <row r="107" spans="1:12" s="1818" customFormat="1" ht="11.25" customHeight="1">
      <c r="A107" s="1815"/>
      <c r="B107" s="1868"/>
      <c r="C107" s="1868"/>
      <c r="D107" s="1889"/>
      <c r="E107" s="1824" t="s">
        <v>2936</v>
      </c>
      <c r="F107" s="1818" t="s">
        <v>3617</v>
      </c>
      <c r="I107" s="1819"/>
      <c r="J107" s="1825"/>
      <c r="L107" s="1823" t="s">
        <v>3702</v>
      </c>
    </row>
    <row r="108" spans="1:12" s="1818" customFormat="1" ht="11.25" customHeight="1">
      <c r="A108" s="1815"/>
      <c r="B108" s="1816"/>
      <c r="C108" s="1816"/>
      <c r="D108" s="1816"/>
      <c r="E108" s="1824" t="s">
        <v>2937</v>
      </c>
      <c r="F108" s="1818" t="s">
        <v>3107</v>
      </c>
      <c r="I108" s="1819"/>
      <c r="J108" s="1825"/>
      <c r="L108" s="1823" t="s">
        <v>3702</v>
      </c>
    </row>
    <row r="109" spans="1:12" s="1818" customFormat="1" ht="11.25" customHeight="1">
      <c r="B109" s="1816"/>
      <c r="C109" s="1816"/>
      <c r="D109" s="1816"/>
      <c r="E109" s="1824" t="s">
        <v>2939</v>
      </c>
      <c r="F109" s="1874" t="s">
        <v>3165</v>
      </c>
      <c r="G109" s="1874"/>
      <c r="H109" s="1874"/>
      <c r="I109" s="1874"/>
      <c r="J109" s="1874"/>
      <c r="K109" s="1890"/>
      <c r="L109" s="1823" t="s">
        <v>3702</v>
      </c>
    </row>
    <row r="110" spans="1:12" s="1818" customFormat="1" ht="11.25" customHeight="1">
      <c r="A110" s="1815"/>
      <c r="B110" s="1816"/>
      <c r="C110" s="1816"/>
      <c r="D110" s="1816"/>
      <c r="E110" s="1824" t="s">
        <v>2940</v>
      </c>
      <c r="F110" s="1818" t="s">
        <v>3108</v>
      </c>
      <c r="I110" s="1819"/>
      <c r="J110" s="1825"/>
      <c r="L110" s="1823" t="s">
        <v>3703</v>
      </c>
    </row>
    <row r="111" spans="1:12" s="1818" customFormat="1" ht="11.25" customHeight="1">
      <c r="A111" s="1830">
        <v>25</v>
      </c>
      <c r="B111" s="1831" t="s">
        <v>3109</v>
      </c>
      <c r="C111" s="1831"/>
      <c r="D111" s="1831" t="s">
        <v>3075</v>
      </c>
      <c r="E111" s="1822" t="s">
        <v>2938</v>
      </c>
      <c r="F111" s="1832" t="s">
        <v>3445</v>
      </c>
      <c r="G111" s="1832"/>
      <c r="H111" s="1832"/>
      <c r="I111" s="1844"/>
      <c r="J111" s="1845"/>
      <c r="K111" s="1832"/>
      <c r="L111" s="1823" t="s">
        <v>3703</v>
      </c>
    </row>
    <row r="112" spans="1:12" s="1818" customFormat="1" ht="11.25" customHeight="1">
      <c r="A112" s="1815"/>
      <c r="B112" s="1858"/>
      <c r="C112" s="1858"/>
      <c r="D112" s="1889"/>
      <c r="E112" s="1824"/>
      <c r="F112" s="1818" t="s">
        <v>3446</v>
      </c>
      <c r="I112" s="1819"/>
      <c r="J112" s="1825"/>
      <c r="L112" s="1823" t="s">
        <v>3703</v>
      </c>
    </row>
    <row r="113" spans="1:12" s="1818" customFormat="1" ht="11.25" customHeight="1">
      <c r="A113" s="1815"/>
      <c r="B113" s="1816"/>
      <c r="C113" s="1816"/>
      <c r="D113" s="1816"/>
      <c r="E113" s="1824"/>
      <c r="F113" s="1818" t="s">
        <v>3447</v>
      </c>
      <c r="I113" s="1819"/>
      <c r="J113" s="1825"/>
      <c r="L113" s="1823" t="s">
        <v>3703</v>
      </c>
    </row>
    <row r="114" spans="1:12" s="1818" customFormat="1" ht="11.25" customHeight="1">
      <c r="B114" s="1816"/>
      <c r="C114" s="1816"/>
      <c r="D114" s="1816"/>
      <c r="E114" s="1824"/>
      <c r="F114" s="1891" t="s">
        <v>3448</v>
      </c>
      <c r="K114" s="1862"/>
      <c r="L114" s="1823" t="s">
        <v>3703</v>
      </c>
    </row>
    <row r="115" spans="1:12" s="1818" customFormat="1" ht="11.25" customHeight="1">
      <c r="B115" s="1816"/>
      <c r="C115" s="1816"/>
      <c r="D115" s="1816"/>
      <c r="E115" s="1824"/>
      <c r="F115" s="1859" t="s">
        <v>3449</v>
      </c>
      <c r="K115" s="1859"/>
      <c r="L115" s="1823" t="s">
        <v>3703</v>
      </c>
    </row>
    <row r="116" spans="1:12" s="1818" customFormat="1" ht="11.25" customHeight="1">
      <c r="B116" s="1816"/>
      <c r="C116" s="1816"/>
      <c r="D116" s="1833" t="s">
        <v>3443</v>
      </c>
      <c r="E116" s="1824" t="s">
        <v>2936</v>
      </c>
      <c r="F116" s="1859" t="s">
        <v>3450</v>
      </c>
      <c r="K116" s="1859"/>
      <c r="L116" s="1823" t="s">
        <v>3702</v>
      </c>
    </row>
    <row r="117" spans="1:12" s="1818" customFormat="1" ht="11.25" customHeight="1">
      <c r="B117" s="1816"/>
      <c r="C117" s="1816"/>
      <c r="D117" s="1833"/>
      <c r="E117" s="1824"/>
      <c r="F117" s="1891" t="s">
        <v>3451</v>
      </c>
      <c r="K117" s="1859"/>
      <c r="L117" s="1823" t="s">
        <v>3702</v>
      </c>
    </row>
    <row r="118" spans="1:12" s="1818" customFormat="1" ht="11.25" customHeight="1">
      <c r="B118" s="1816"/>
      <c r="C118" s="1816"/>
      <c r="D118" s="1833"/>
      <c r="E118" s="1824"/>
      <c r="F118" s="1859" t="s">
        <v>3452</v>
      </c>
      <c r="K118" s="1859"/>
      <c r="L118" s="1823" t="s">
        <v>3702</v>
      </c>
    </row>
    <row r="119" spans="1:12" s="1818" customFormat="1" ht="11.25" customHeight="1">
      <c r="A119" s="1815"/>
      <c r="B119" s="1816"/>
      <c r="C119" s="1816"/>
      <c r="D119" s="1816" t="s">
        <v>3444</v>
      </c>
      <c r="E119" s="1824" t="s">
        <v>2937</v>
      </c>
      <c r="F119" s="1818" t="s">
        <v>3453</v>
      </c>
      <c r="I119" s="1819"/>
      <c r="J119" s="1825"/>
      <c r="L119" s="1823" t="s">
        <v>3702</v>
      </c>
    </row>
    <row r="120" spans="1:12" s="1818" customFormat="1" ht="11.25" customHeight="1">
      <c r="A120" s="1815"/>
      <c r="B120" s="1816"/>
      <c r="C120" s="1816"/>
      <c r="D120" s="1816"/>
      <c r="E120" s="1824"/>
      <c r="F120" s="1891" t="s">
        <v>3451</v>
      </c>
      <c r="I120" s="1819"/>
      <c r="J120" s="1825"/>
      <c r="L120" s="1823" t="s">
        <v>3702</v>
      </c>
    </row>
    <row r="121" spans="1:12" s="1818" customFormat="1" ht="11.25" customHeight="1">
      <c r="A121" s="1872"/>
      <c r="B121" s="1816"/>
      <c r="C121" s="1816"/>
      <c r="D121" s="1816"/>
      <c r="E121" s="1824"/>
      <c r="F121" s="1818" t="s">
        <v>3454</v>
      </c>
      <c r="I121" s="1819"/>
      <c r="J121" s="1825"/>
      <c r="L121" s="1823" t="s">
        <v>3702</v>
      </c>
    </row>
    <row r="122" spans="1:12" s="1818" customFormat="1" ht="11.25" customHeight="1">
      <c r="A122" s="1854"/>
      <c r="B122" s="1855"/>
      <c r="C122" s="1855"/>
      <c r="D122" s="1855"/>
      <c r="E122" s="1849"/>
      <c r="F122" s="1856" t="s">
        <v>3455</v>
      </c>
      <c r="G122" s="1856"/>
      <c r="H122" s="1856"/>
      <c r="I122" s="1819"/>
      <c r="J122" s="1825"/>
      <c r="L122" s="1823" t="s">
        <v>3702</v>
      </c>
    </row>
    <row r="123" spans="1:12" s="1818" customFormat="1" ht="11.25" customHeight="1">
      <c r="A123" s="1872">
        <v>26</v>
      </c>
      <c r="B123" s="1858" t="s">
        <v>3110</v>
      </c>
      <c r="C123" s="1858"/>
      <c r="D123" s="1858"/>
      <c r="E123" s="1824" t="s">
        <v>2938</v>
      </c>
      <c r="F123" s="1859" t="s">
        <v>495</v>
      </c>
      <c r="G123" s="1859"/>
      <c r="H123" s="1859"/>
      <c r="I123" s="1844"/>
      <c r="J123" s="1845"/>
      <c r="K123" s="1832"/>
      <c r="L123" s="1823" t="s">
        <v>3703</v>
      </c>
    </row>
    <row r="124" spans="1:12" s="1818" customFormat="1" ht="21.75" customHeight="1">
      <c r="A124" s="1815"/>
      <c r="B124" s="1816"/>
      <c r="C124" s="1816"/>
      <c r="D124" s="1816"/>
      <c r="E124" s="1824" t="s">
        <v>2936</v>
      </c>
      <c r="F124" s="1874" t="s">
        <v>3111</v>
      </c>
      <c r="G124" s="1874"/>
      <c r="H124" s="1874"/>
      <c r="I124" s="1874"/>
      <c r="J124" s="1874"/>
      <c r="K124" s="1890"/>
      <c r="L124" s="1823" t="s">
        <v>3703</v>
      </c>
    </row>
    <row r="125" spans="1:12" s="1818" customFormat="1" ht="11.25" customHeight="1">
      <c r="A125" s="1815"/>
      <c r="B125" s="1816"/>
      <c r="C125" s="1816"/>
      <c r="D125" s="1816"/>
      <c r="E125" s="1824" t="s">
        <v>2937</v>
      </c>
      <c r="F125" s="1818" t="s">
        <v>3112</v>
      </c>
      <c r="I125" s="1819"/>
      <c r="J125" s="1825"/>
      <c r="L125" s="1823" t="s">
        <v>3703</v>
      </c>
    </row>
    <row r="126" spans="1:12" s="1818" customFormat="1" ht="11.25" customHeight="1">
      <c r="B126" s="1816"/>
      <c r="C126" s="1816"/>
      <c r="D126" s="1816"/>
      <c r="E126" s="1824" t="s">
        <v>2939</v>
      </c>
      <c r="F126" s="1818" t="s">
        <v>3113</v>
      </c>
      <c r="I126" s="1819"/>
      <c r="J126" s="1825"/>
      <c r="L126" s="1823" t="s">
        <v>3703</v>
      </c>
    </row>
    <row r="127" spans="1:12" s="1818" customFormat="1" ht="11.25" customHeight="1">
      <c r="A127" s="1854"/>
      <c r="B127" s="1855"/>
      <c r="C127" s="1855"/>
      <c r="D127" s="1855"/>
      <c r="E127" s="1849" t="s">
        <v>2940</v>
      </c>
      <c r="F127" s="1856" t="s">
        <v>3114</v>
      </c>
      <c r="G127" s="1856"/>
      <c r="H127" s="1856"/>
      <c r="I127" s="1819"/>
      <c r="J127" s="1825"/>
      <c r="L127" s="1823" t="s">
        <v>3703</v>
      </c>
    </row>
    <row r="128" spans="1:12" s="1818" customFormat="1" ht="12" customHeight="1">
      <c r="A128" s="1879">
        <v>27</v>
      </c>
      <c r="B128" s="1867" t="s">
        <v>3115</v>
      </c>
      <c r="C128" s="1867"/>
      <c r="D128" s="1831" t="s">
        <v>3203</v>
      </c>
      <c r="E128" s="1822" t="s">
        <v>2938</v>
      </c>
      <c r="F128" s="1832" t="s">
        <v>3430</v>
      </c>
      <c r="G128" s="1832"/>
      <c r="H128" s="1832"/>
      <c r="I128" s="1844"/>
      <c r="J128" s="1845"/>
      <c r="K128" s="1846"/>
      <c r="L128" s="1823" t="s">
        <v>3702</v>
      </c>
    </row>
    <row r="129" spans="1:12" s="1818" customFormat="1" ht="12" customHeight="1">
      <c r="B129" s="1868"/>
      <c r="C129" s="1868"/>
      <c r="D129" s="1816"/>
      <c r="E129" s="1824"/>
      <c r="F129" s="1818" t="s">
        <v>3173</v>
      </c>
      <c r="I129" s="1819"/>
      <c r="J129" s="1825"/>
      <c r="L129" s="1823" t="s">
        <v>3703</v>
      </c>
    </row>
    <row r="130" spans="1:12" s="1818" customFormat="1" ht="12" customHeight="1">
      <c r="A130" s="1815"/>
      <c r="C130" s="1816"/>
      <c r="D130" s="1816"/>
      <c r="E130" s="1824"/>
      <c r="F130" s="1818" t="s">
        <v>3174</v>
      </c>
      <c r="I130" s="1819"/>
      <c r="J130" s="1825"/>
      <c r="L130" s="1823" t="s">
        <v>3702</v>
      </c>
    </row>
    <row r="131" spans="1:12" s="1818" customFormat="1" ht="12" customHeight="1">
      <c r="A131" s="1815"/>
      <c r="C131" s="1816"/>
      <c r="D131" s="1816"/>
      <c r="E131" s="1824"/>
      <c r="F131" s="1892" t="s">
        <v>3175</v>
      </c>
      <c r="I131" s="1819"/>
      <c r="J131" s="1825"/>
      <c r="L131" s="1893"/>
    </row>
    <row r="132" spans="1:12" s="1818" customFormat="1" ht="12" customHeight="1">
      <c r="A132" s="1815"/>
      <c r="C132" s="1833"/>
      <c r="D132" s="1816" t="s">
        <v>3201</v>
      </c>
      <c r="E132" s="1824" t="s">
        <v>2936</v>
      </c>
      <c r="F132" s="1818" t="s">
        <v>3176</v>
      </c>
      <c r="I132" s="1819"/>
      <c r="J132" s="1825"/>
      <c r="L132" s="1823" t="s">
        <v>3703</v>
      </c>
    </row>
    <row r="133" spans="1:12" s="1818" customFormat="1" ht="12" customHeight="1">
      <c r="D133" s="1816"/>
      <c r="E133" s="1839"/>
      <c r="F133" s="1818" t="s">
        <v>3177</v>
      </c>
      <c r="I133" s="1819"/>
      <c r="J133" s="1825"/>
      <c r="L133" s="1823" t="s">
        <v>3703</v>
      </c>
    </row>
    <row r="134" spans="1:12" s="1818" customFormat="1" ht="12" customHeight="1">
      <c r="D134" s="1816"/>
      <c r="E134" s="1839"/>
      <c r="F134" s="1892" t="s">
        <v>3178</v>
      </c>
      <c r="I134" s="1819"/>
      <c r="J134" s="1825"/>
    </row>
    <row r="135" spans="1:12" s="1818" customFormat="1" ht="12" customHeight="1">
      <c r="C135" s="1833"/>
      <c r="D135" s="1816" t="s">
        <v>3050</v>
      </c>
      <c r="E135" s="1824" t="s">
        <v>2937</v>
      </c>
      <c r="F135" s="1818" t="s">
        <v>3179</v>
      </c>
      <c r="I135" s="1819"/>
      <c r="J135" s="1825"/>
      <c r="L135" s="1823" t="s">
        <v>3703</v>
      </c>
    </row>
    <row r="136" spans="1:12" s="1818" customFormat="1" ht="21.75" customHeight="1">
      <c r="A136" s="1815"/>
      <c r="B136" s="1816"/>
      <c r="C136" s="1816"/>
      <c r="D136" s="1816"/>
      <c r="E136" s="1839"/>
      <c r="F136" s="1834" t="s">
        <v>3431</v>
      </c>
      <c r="G136" s="1834"/>
      <c r="H136" s="1834"/>
      <c r="I136" s="1819"/>
      <c r="J136" s="1825"/>
      <c r="L136" s="1823" t="s">
        <v>3702</v>
      </c>
    </row>
    <row r="137" spans="1:12" s="1818" customFormat="1" ht="12" customHeight="1">
      <c r="A137" s="1830">
        <v>28</v>
      </c>
      <c r="B137" s="1867" t="s">
        <v>3200</v>
      </c>
      <c r="C137" s="1867"/>
      <c r="D137" s="1894"/>
      <c r="E137" s="1822" t="s">
        <v>2938</v>
      </c>
      <c r="F137" s="1832" t="s">
        <v>3116</v>
      </c>
      <c r="G137" s="1832"/>
      <c r="H137" s="1832"/>
      <c r="I137" s="1844"/>
      <c r="J137" s="1845"/>
      <c r="K137" s="1846"/>
      <c r="L137" s="1823" t="s">
        <v>3703</v>
      </c>
    </row>
    <row r="138" spans="1:12" s="1818" customFormat="1" ht="12" customHeight="1">
      <c r="A138" s="1872"/>
      <c r="B138" s="1868"/>
      <c r="C138" s="1868"/>
      <c r="D138" s="1858"/>
      <c r="E138" s="1824" t="s">
        <v>2936</v>
      </c>
      <c r="F138" s="1859" t="s">
        <v>3433</v>
      </c>
      <c r="G138" s="1859"/>
      <c r="H138" s="1859"/>
      <c r="I138" s="1860"/>
      <c r="J138" s="1861"/>
      <c r="K138" s="1859"/>
      <c r="L138" s="1823" t="s">
        <v>3703</v>
      </c>
    </row>
    <row r="139" spans="1:12" s="1818" customFormat="1" ht="12" customHeight="1">
      <c r="A139" s="1830">
        <v>29</v>
      </c>
      <c r="B139" s="1867" t="s">
        <v>3432</v>
      </c>
      <c r="C139" s="1867"/>
      <c r="D139" s="1831" t="s">
        <v>3075</v>
      </c>
      <c r="E139" s="1822" t="s">
        <v>2938</v>
      </c>
      <c r="F139" s="1888" t="s">
        <v>3618</v>
      </c>
      <c r="G139" s="1832"/>
      <c r="H139" s="1832"/>
      <c r="I139" s="1844"/>
      <c r="J139" s="1845"/>
      <c r="K139" s="1846"/>
      <c r="L139" s="1823" t="s">
        <v>3703</v>
      </c>
    </row>
    <row r="140" spans="1:12" s="1818" customFormat="1" ht="12" customHeight="1">
      <c r="A140" s="1815"/>
      <c r="B140" s="1868"/>
      <c r="C140" s="1868"/>
      <c r="E140" s="1839"/>
      <c r="F140" s="1818" t="s">
        <v>3434</v>
      </c>
      <c r="I140" s="1819"/>
      <c r="J140" s="1825"/>
      <c r="L140" s="1823" t="s">
        <v>3703</v>
      </c>
    </row>
    <row r="141" spans="1:12" s="1818" customFormat="1" ht="12" customHeight="1">
      <c r="A141" s="1815"/>
      <c r="B141" s="1895"/>
      <c r="C141" s="1895"/>
      <c r="E141" s="1839"/>
      <c r="F141" s="1818" t="s">
        <v>3435</v>
      </c>
      <c r="I141" s="1819"/>
      <c r="J141" s="1825"/>
      <c r="L141" s="1823" t="s">
        <v>3703</v>
      </c>
    </row>
    <row r="142" spans="1:12" s="1818" customFormat="1" ht="12" customHeight="1">
      <c r="A142" s="1815"/>
      <c r="B142" s="1895"/>
      <c r="E142" s="1839"/>
      <c r="F142" s="1818" t="s">
        <v>3436</v>
      </c>
      <c r="I142" s="1819"/>
      <c r="J142" s="1825"/>
      <c r="L142" s="1823" t="s">
        <v>3703</v>
      </c>
    </row>
    <row r="143" spans="1:12" s="1818" customFormat="1" ht="12" customHeight="1">
      <c r="A143" s="1815"/>
      <c r="B143" s="1895"/>
      <c r="C143" s="1816"/>
      <c r="D143" s="1815"/>
      <c r="E143" s="1839"/>
      <c r="F143" s="1818" t="s">
        <v>3437</v>
      </c>
      <c r="I143" s="1819"/>
      <c r="J143" s="1825"/>
      <c r="L143" s="1823" t="s">
        <v>3703</v>
      </c>
    </row>
    <row r="144" spans="1:12" s="1818" customFormat="1" ht="12" customHeight="1">
      <c r="A144" s="1815"/>
      <c r="C144" s="1833"/>
      <c r="E144" s="1839"/>
      <c r="F144" s="1818" t="s">
        <v>3438</v>
      </c>
      <c r="I144" s="1819"/>
      <c r="J144" s="1825"/>
      <c r="L144" s="1823" t="s">
        <v>3703</v>
      </c>
    </row>
    <row r="145" spans="1:12" s="1818" customFormat="1" ht="12" customHeight="1">
      <c r="A145" s="1815"/>
      <c r="C145" s="1816"/>
      <c r="D145" s="1815"/>
      <c r="E145" s="1839"/>
      <c r="F145" s="1818" t="s">
        <v>3439</v>
      </c>
      <c r="I145" s="1819"/>
      <c r="J145" s="1825"/>
      <c r="L145" s="1823" t="s">
        <v>3703</v>
      </c>
    </row>
    <row r="146" spans="1:12" s="1818" customFormat="1" ht="12" customHeight="1">
      <c r="A146" s="1815"/>
      <c r="D146" s="1816" t="s">
        <v>3050</v>
      </c>
      <c r="E146" s="1824" t="s">
        <v>2936</v>
      </c>
      <c r="F146" s="1818" t="s">
        <v>3440</v>
      </c>
      <c r="I146" s="1819"/>
      <c r="J146" s="1825"/>
      <c r="L146" s="1823" t="s">
        <v>3703</v>
      </c>
    </row>
    <row r="147" spans="1:12" s="1818" customFormat="1" ht="12" customHeight="1">
      <c r="A147" s="1815"/>
      <c r="B147" s="1816"/>
      <c r="C147" s="1816"/>
      <c r="D147" s="1815" t="s">
        <v>3078</v>
      </c>
      <c r="E147" s="1824" t="s">
        <v>2937</v>
      </c>
      <c r="F147" s="1818" t="s">
        <v>3441</v>
      </c>
      <c r="I147" s="1819"/>
      <c r="J147" s="1825"/>
      <c r="L147" s="1823" t="s">
        <v>3703</v>
      </c>
    </row>
    <row r="148" spans="1:12" s="1818" customFormat="1" ht="12" customHeight="1">
      <c r="A148" s="1815"/>
      <c r="B148" s="1816"/>
      <c r="C148" s="1816"/>
      <c r="D148" s="1816"/>
      <c r="E148" s="1839"/>
      <c r="F148" s="1818" t="s">
        <v>3442</v>
      </c>
      <c r="I148" s="1819"/>
      <c r="J148" s="1825"/>
      <c r="L148" s="1823" t="s">
        <v>3703</v>
      </c>
    </row>
    <row r="149" spans="1:12" s="1818" customFormat="1" ht="12" customHeight="1">
      <c r="A149" s="1830">
        <v>30</v>
      </c>
      <c r="B149" s="1867" t="s">
        <v>3458</v>
      </c>
      <c r="C149" s="1867"/>
      <c r="D149" s="1831" t="s">
        <v>3075</v>
      </c>
      <c r="E149" s="1822" t="s">
        <v>2938</v>
      </c>
      <c r="F149" s="1832" t="s">
        <v>3456</v>
      </c>
      <c r="G149" s="1832"/>
      <c r="H149" s="1832"/>
      <c r="I149" s="1844"/>
      <c r="J149" s="1845"/>
      <c r="K149" s="1846"/>
      <c r="L149" s="1823" t="s">
        <v>3703</v>
      </c>
    </row>
    <row r="150" spans="1:12" s="1818" customFormat="1">
      <c r="A150" s="1815"/>
      <c r="B150" s="1868"/>
      <c r="C150" s="1868"/>
      <c r="D150" s="1816"/>
      <c r="E150" s="1824"/>
      <c r="F150" s="1874" t="s">
        <v>3457</v>
      </c>
      <c r="G150" s="1874"/>
      <c r="H150" s="1874"/>
      <c r="I150" s="1874"/>
      <c r="J150" s="1874"/>
      <c r="K150" s="1890"/>
      <c r="L150" s="1823" t="s">
        <v>3703</v>
      </c>
    </row>
    <row r="151" spans="1:12" s="1818" customFormat="1">
      <c r="A151" s="1815"/>
      <c r="C151" s="1833"/>
      <c r="D151" s="1816" t="s">
        <v>3050</v>
      </c>
      <c r="E151" s="1824" t="s">
        <v>2936</v>
      </c>
      <c r="F151" s="1876" t="s">
        <v>3459</v>
      </c>
      <c r="G151" s="1877"/>
      <c r="H151" s="1877"/>
      <c r="I151" s="1877"/>
      <c r="J151" s="1877"/>
      <c r="K151" s="1878"/>
      <c r="L151" s="1823" t="s">
        <v>3703</v>
      </c>
    </row>
    <row r="152" spans="1:12" s="1818" customFormat="1" ht="12" customHeight="1">
      <c r="A152" s="1830">
        <v>31</v>
      </c>
      <c r="B152" s="1831" t="s">
        <v>3465</v>
      </c>
      <c r="C152" s="1831"/>
      <c r="D152" s="1831"/>
      <c r="E152" s="1822" t="s">
        <v>2938</v>
      </c>
      <c r="F152" s="1832" t="s">
        <v>3117</v>
      </c>
      <c r="G152" s="1832"/>
      <c r="H152" s="1832"/>
      <c r="I152" s="1844"/>
      <c r="J152" s="1845"/>
      <c r="K152" s="1846"/>
      <c r="L152" s="1823" t="s">
        <v>3703</v>
      </c>
    </row>
    <row r="153" spans="1:12" s="1818" customFormat="1" ht="12" customHeight="1">
      <c r="A153" s="1830">
        <v>32</v>
      </c>
      <c r="B153" s="1831" t="s">
        <v>3464</v>
      </c>
      <c r="C153" s="1831"/>
      <c r="D153" s="1831"/>
      <c r="E153" s="1822" t="s">
        <v>2938</v>
      </c>
      <c r="F153" s="1832" t="s">
        <v>3118</v>
      </c>
      <c r="G153" s="1832"/>
      <c r="H153" s="1832"/>
      <c r="I153" s="1844"/>
      <c r="J153" s="1845"/>
      <c r="K153" s="1846"/>
      <c r="L153" s="1823" t="s">
        <v>3703</v>
      </c>
    </row>
    <row r="154" spans="1:12" s="1818" customFormat="1" ht="12" customHeight="1">
      <c r="A154" s="1815"/>
      <c r="B154" s="1816"/>
      <c r="C154" s="1816"/>
      <c r="D154" s="1816"/>
      <c r="E154" s="1824" t="s">
        <v>2936</v>
      </c>
      <c r="F154" s="1818" t="s">
        <v>3460</v>
      </c>
      <c r="I154" s="1819"/>
      <c r="J154" s="1825"/>
      <c r="L154" s="1823" t="s">
        <v>3703</v>
      </c>
    </row>
    <row r="155" spans="1:12" s="1818" customFormat="1" ht="12" customHeight="1">
      <c r="A155" s="1815"/>
      <c r="B155" s="1816"/>
      <c r="C155" s="1816"/>
      <c r="D155" s="1816"/>
      <c r="E155" s="1824" t="s">
        <v>2937</v>
      </c>
      <c r="F155" s="1818" t="s">
        <v>3461</v>
      </c>
      <c r="I155" s="1819"/>
      <c r="J155" s="1825"/>
      <c r="L155" s="1823" t="s">
        <v>3703</v>
      </c>
    </row>
    <row r="156" spans="1:12" s="1818" customFormat="1" ht="12" customHeight="1">
      <c r="A156" s="1815"/>
      <c r="B156" s="1816"/>
      <c r="C156" s="1816"/>
      <c r="D156" s="1816"/>
      <c r="E156" s="1824" t="s">
        <v>2939</v>
      </c>
      <c r="F156" s="1818" t="s">
        <v>3462</v>
      </c>
      <c r="I156" s="1819"/>
      <c r="J156" s="1825"/>
      <c r="L156" s="1823" t="s">
        <v>3703</v>
      </c>
    </row>
    <row r="157" spans="1:12" s="1818" customFormat="1" ht="12" customHeight="1">
      <c r="A157" s="1815"/>
      <c r="B157" s="1816"/>
      <c r="C157" s="1816"/>
      <c r="D157" s="1816"/>
      <c r="E157" s="1824" t="s">
        <v>2940</v>
      </c>
      <c r="F157" s="1818" t="s">
        <v>3463</v>
      </c>
      <c r="I157" s="1819"/>
      <c r="J157" s="1825"/>
      <c r="L157" s="1823" t="s">
        <v>3703</v>
      </c>
    </row>
    <row r="158" spans="1:12" s="1818" customFormat="1" ht="12" customHeight="1">
      <c r="A158" s="1830">
        <v>33</v>
      </c>
      <c r="B158" s="1831" t="s">
        <v>3466</v>
      </c>
      <c r="C158" s="1831"/>
      <c r="D158" s="1831"/>
      <c r="E158" s="1896" t="s">
        <v>2938</v>
      </c>
      <c r="F158" s="1832" t="s">
        <v>3467</v>
      </c>
      <c r="G158" s="1832"/>
      <c r="H158" s="1832"/>
      <c r="I158" s="1844"/>
      <c r="J158" s="1845"/>
      <c r="K158" s="1846"/>
      <c r="L158" s="1823" t="s">
        <v>3703</v>
      </c>
    </row>
    <row r="159" spans="1:12" s="1818" customFormat="1" ht="11.25" customHeight="1">
      <c r="A159" s="1830">
        <v>34</v>
      </c>
      <c r="B159" s="1867" t="s">
        <v>3468</v>
      </c>
      <c r="C159" s="1867"/>
      <c r="D159" s="1831" t="s">
        <v>3078</v>
      </c>
      <c r="E159" s="1822" t="s">
        <v>2938</v>
      </c>
      <c r="F159" s="1818" t="s">
        <v>3619</v>
      </c>
      <c r="G159" s="1832"/>
      <c r="H159" s="1832"/>
      <c r="I159" s="1844"/>
      <c r="J159" s="1845"/>
      <c r="K159" s="1846"/>
      <c r="L159" s="1823" t="s">
        <v>3702</v>
      </c>
    </row>
    <row r="160" spans="1:12" s="1818" customFormat="1" ht="11.25" customHeight="1">
      <c r="A160" s="1815"/>
      <c r="B160" s="1868"/>
      <c r="C160" s="1868"/>
      <c r="D160" s="1816"/>
      <c r="E160" s="1824" t="s">
        <v>2936</v>
      </c>
      <c r="F160" s="1818" t="s">
        <v>3620</v>
      </c>
      <c r="I160" s="1819"/>
      <c r="J160" s="1825"/>
      <c r="L160" s="1823" t="s">
        <v>3702</v>
      </c>
    </row>
    <row r="161" spans="1:12" s="1818" customFormat="1" ht="11.25" customHeight="1">
      <c r="A161" s="1815"/>
      <c r="B161" s="1897"/>
      <c r="C161" s="1897"/>
      <c r="D161" s="1815"/>
      <c r="E161" s="1824" t="s">
        <v>2937</v>
      </c>
      <c r="F161" s="1818" t="s">
        <v>3621</v>
      </c>
      <c r="I161" s="1819"/>
      <c r="J161" s="1825"/>
      <c r="L161" s="1823" t="s">
        <v>3702</v>
      </c>
    </row>
    <row r="162" spans="1:12" s="1818" customFormat="1" ht="11.25" customHeight="1">
      <c r="A162" s="1815"/>
      <c r="B162" s="1816"/>
      <c r="C162" s="1816"/>
      <c r="D162" s="1816"/>
      <c r="E162" s="1824" t="s">
        <v>2939</v>
      </c>
      <c r="F162" s="1818" t="s">
        <v>3622</v>
      </c>
      <c r="I162" s="1819"/>
      <c r="J162" s="1825"/>
      <c r="L162" s="1823" t="s">
        <v>3702</v>
      </c>
    </row>
    <row r="163" spans="1:12" s="1818" customFormat="1" ht="11.25" customHeight="1">
      <c r="A163" s="1815"/>
      <c r="B163" s="1816"/>
      <c r="C163" s="1816"/>
      <c r="D163" s="1816"/>
      <c r="E163" s="1824" t="s">
        <v>2940</v>
      </c>
      <c r="F163" s="1818" t="s">
        <v>3623</v>
      </c>
      <c r="I163" s="1819"/>
      <c r="J163" s="1825"/>
      <c r="L163" s="1823" t="s">
        <v>3702</v>
      </c>
    </row>
    <row r="164" spans="1:12" s="1818" customFormat="1" ht="11.25" customHeight="1">
      <c r="A164" s="1854"/>
      <c r="B164" s="1855"/>
      <c r="C164" s="1855"/>
      <c r="D164" s="1856"/>
      <c r="E164" s="1849" t="s">
        <v>2941</v>
      </c>
      <c r="F164" s="1856" t="s">
        <v>3624</v>
      </c>
      <c r="G164" s="1856"/>
      <c r="H164" s="1856"/>
      <c r="I164" s="1819"/>
      <c r="J164" s="1825"/>
      <c r="L164" s="1823" t="s">
        <v>3703</v>
      </c>
    </row>
    <row r="165" spans="1:12" s="1818" customFormat="1" ht="11.25" customHeight="1">
      <c r="A165" s="1830">
        <v>35</v>
      </c>
      <c r="B165" s="1867" t="s">
        <v>3469</v>
      </c>
      <c r="C165" s="1831"/>
      <c r="D165" s="1831" t="s">
        <v>3075</v>
      </c>
      <c r="E165" s="1822" t="s">
        <v>2938</v>
      </c>
      <c r="F165" s="1832" t="s">
        <v>3181</v>
      </c>
      <c r="G165" s="1832"/>
      <c r="H165" s="1832"/>
      <c r="I165" s="1844"/>
      <c r="J165" s="1832"/>
      <c r="K165" s="1846"/>
      <c r="L165" s="1823" t="s">
        <v>3703</v>
      </c>
    </row>
    <row r="166" spans="1:12" s="1818" customFormat="1" ht="11.25" customHeight="1">
      <c r="A166" s="1815"/>
      <c r="B166" s="1868"/>
      <c r="C166" s="1816"/>
      <c r="D166" s="1816"/>
      <c r="E166" s="1839"/>
      <c r="F166" s="1818" t="s">
        <v>3182</v>
      </c>
      <c r="I166" s="1819"/>
      <c r="J166" s="1825"/>
      <c r="L166" s="1823" t="s">
        <v>3703</v>
      </c>
    </row>
    <row r="167" spans="1:12" s="1818" customFormat="1" ht="11.25" customHeight="1">
      <c r="A167" s="1815"/>
      <c r="B167" s="1868"/>
      <c r="C167" s="1816"/>
      <c r="D167" s="1816"/>
      <c r="E167" s="1839"/>
      <c r="F167" s="1818" t="s">
        <v>3183</v>
      </c>
      <c r="I167" s="1819"/>
      <c r="J167" s="1825"/>
      <c r="L167" s="1823" t="s">
        <v>3703</v>
      </c>
    </row>
    <row r="168" spans="1:12" s="1818" customFormat="1" ht="11.25" customHeight="1">
      <c r="A168" s="1815"/>
      <c r="B168" s="1816"/>
      <c r="C168" s="1816"/>
      <c r="D168" s="1816"/>
      <c r="E168" s="1839"/>
      <c r="F168" s="1818" t="s">
        <v>3184</v>
      </c>
      <c r="I168" s="1819"/>
      <c r="J168" s="1825"/>
      <c r="L168" s="1823" t="s">
        <v>3703</v>
      </c>
    </row>
    <row r="169" spans="1:12" s="1818" customFormat="1" ht="11.25" customHeight="1">
      <c r="A169" s="1815"/>
      <c r="B169" s="1816"/>
      <c r="C169" s="1816"/>
      <c r="D169" s="1816"/>
      <c r="E169" s="1839"/>
      <c r="F169" s="1818" t="s">
        <v>3185</v>
      </c>
      <c r="I169" s="1819"/>
      <c r="J169" s="1825"/>
      <c r="L169" s="1823" t="s">
        <v>3703</v>
      </c>
    </row>
    <row r="170" spans="1:12" s="1818" customFormat="1" ht="11.25" customHeight="1">
      <c r="A170" s="1815"/>
      <c r="B170" s="1816"/>
      <c r="C170" s="1816"/>
      <c r="D170" s="1816"/>
      <c r="E170" s="1839"/>
      <c r="F170" s="1818" t="s">
        <v>3186</v>
      </c>
      <c r="I170" s="1819"/>
      <c r="J170" s="1825"/>
      <c r="L170" s="1823" t="s">
        <v>3703</v>
      </c>
    </row>
    <row r="171" spans="1:12" s="1818" customFormat="1" ht="11.25" customHeight="1">
      <c r="A171" s="1815"/>
      <c r="C171" s="1833"/>
      <c r="D171" s="1816" t="s">
        <v>3050</v>
      </c>
      <c r="E171" s="1824" t="s">
        <v>2936</v>
      </c>
      <c r="F171" s="1818" t="s">
        <v>3187</v>
      </c>
      <c r="I171" s="1819"/>
      <c r="J171" s="1825"/>
      <c r="L171" s="1823" t="s">
        <v>3703</v>
      </c>
    </row>
    <row r="172" spans="1:12" s="1818" customFormat="1" ht="11.25" customHeight="1">
      <c r="A172" s="1815"/>
      <c r="B172" s="1816"/>
      <c r="C172" s="1816"/>
      <c r="D172" s="1816"/>
      <c r="E172" s="1839"/>
      <c r="F172" s="1818" t="s">
        <v>3188</v>
      </c>
      <c r="I172" s="1819"/>
      <c r="J172" s="1825"/>
      <c r="L172" s="1823" t="s">
        <v>3703</v>
      </c>
    </row>
    <row r="173" spans="1:12" s="1818" customFormat="1" ht="21.75" customHeight="1">
      <c r="A173" s="1830">
        <v>36</v>
      </c>
      <c r="B173" s="1867" t="s">
        <v>3470</v>
      </c>
      <c r="C173" s="1867"/>
      <c r="D173" s="1831" t="s">
        <v>3075</v>
      </c>
      <c r="E173" s="1822" t="s">
        <v>2938</v>
      </c>
      <c r="F173" s="1898" t="s">
        <v>3625</v>
      </c>
      <c r="G173" s="1899"/>
      <c r="H173" s="1899"/>
      <c r="I173" s="1899"/>
      <c r="J173" s="1899"/>
      <c r="K173" s="1900"/>
      <c r="L173" s="1823" t="s">
        <v>3703</v>
      </c>
    </row>
    <row r="174" spans="1:12" s="1818" customFormat="1" ht="11.25" customHeight="1">
      <c r="A174" s="1815"/>
      <c r="B174" s="1868"/>
      <c r="C174" s="1868"/>
      <c r="D174" s="1816"/>
      <c r="E174" s="1824" t="s">
        <v>2936</v>
      </c>
      <c r="F174" s="1901" t="s">
        <v>3626</v>
      </c>
      <c r="G174" s="1901"/>
      <c r="H174" s="1901"/>
      <c r="I174" s="1819"/>
      <c r="J174" s="1825"/>
      <c r="L174" s="1823" t="s">
        <v>3703</v>
      </c>
    </row>
    <row r="175" spans="1:12" s="1818" customFormat="1" ht="11.25" customHeight="1">
      <c r="A175" s="1830">
        <v>37</v>
      </c>
      <c r="B175" s="1867" t="s">
        <v>3471</v>
      </c>
      <c r="C175" s="1867"/>
      <c r="D175" s="1831" t="s">
        <v>3075</v>
      </c>
      <c r="E175" s="1822" t="s">
        <v>2938</v>
      </c>
      <c r="F175" s="1832" t="s">
        <v>494</v>
      </c>
      <c r="G175" s="1832"/>
      <c r="H175" s="1832"/>
      <c r="I175" s="1844"/>
      <c r="J175" s="1845"/>
      <c r="K175" s="1846"/>
      <c r="L175" s="1823" t="s">
        <v>3703</v>
      </c>
    </row>
    <row r="176" spans="1:12" s="1818" customFormat="1" ht="11.25" customHeight="1">
      <c r="A176" s="1815"/>
      <c r="B176" s="1868"/>
      <c r="C176" s="1868"/>
      <c r="D176" s="1816"/>
      <c r="E176" s="1824" t="s">
        <v>2936</v>
      </c>
      <c r="F176" s="1818" t="s">
        <v>448</v>
      </c>
      <c r="I176" s="1819"/>
      <c r="J176" s="1825"/>
      <c r="L176" s="1823" t="s">
        <v>3703</v>
      </c>
    </row>
    <row r="177" spans="1:12" s="1818" customFormat="1" ht="11.25" customHeight="1">
      <c r="A177" s="1815"/>
      <c r="B177" s="1816"/>
      <c r="C177" s="1816"/>
      <c r="D177" s="1816"/>
      <c r="E177" s="1824" t="s">
        <v>2937</v>
      </c>
      <c r="F177" s="1818" t="s">
        <v>3119</v>
      </c>
      <c r="I177" s="1819"/>
      <c r="J177" s="1825"/>
      <c r="L177" s="1823" t="s">
        <v>3703</v>
      </c>
    </row>
    <row r="178" spans="1:12" s="1818" customFormat="1" ht="11.25" customHeight="1">
      <c r="A178" s="1815"/>
      <c r="B178" s="1816"/>
      <c r="C178" s="1816"/>
      <c r="D178" s="1816"/>
      <c r="E178" s="1824" t="s">
        <v>2939</v>
      </c>
      <c r="F178" s="1818" t="s">
        <v>3472</v>
      </c>
      <c r="I178" s="1819"/>
      <c r="J178" s="1825"/>
      <c r="L178" s="1823" t="s">
        <v>3703</v>
      </c>
    </row>
    <row r="179" spans="1:12" s="1818" customFormat="1" ht="11.25" customHeight="1">
      <c r="A179" s="1815"/>
      <c r="C179" s="1833"/>
      <c r="D179" s="1833" t="s">
        <v>3473</v>
      </c>
      <c r="E179" s="1824" t="s">
        <v>2940</v>
      </c>
      <c r="F179" s="1818" t="s">
        <v>3120</v>
      </c>
      <c r="I179" s="1819"/>
      <c r="J179" s="1825"/>
      <c r="L179" s="1823" t="s">
        <v>3703</v>
      </c>
    </row>
    <row r="180" spans="1:12" s="1818" customFormat="1" ht="11.25" customHeight="1">
      <c r="A180" s="1830">
        <v>38</v>
      </c>
      <c r="B180" s="1831" t="s">
        <v>3474</v>
      </c>
      <c r="C180" s="1831"/>
      <c r="D180" s="1902" t="s">
        <v>3473</v>
      </c>
      <c r="E180" s="1822" t="s">
        <v>2938</v>
      </c>
      <c r="F180" s="1832" t="s">
        <v>3475</v>
      </c>
      <c r="G180" s="1832"/>
      <c r="H180" s="1832"/>
      <c r="I180" s="1844"/>
      <c r="J180" s="1845"/>
      <c r="K180" s="1846"/>
      <c r="L180" s="1823" t="s">
        <v>3703</v>
      </c>
    </row>
    <row r="181" spans="1:12" s="1818" customFormat="1" ht="11.25" customHeight="1">
      <c r="A181" s="1815"/>
      <c r="C181" s="1833"/>
      <c r="D181" s="1816" t="s">
        <v>3444</v>
      </c>
      <c r="E181" s="1824" t="s">
        <v>2937</v>
      </c>
      <c r="F181" s="1818" t="s">
        <v>3476</v>
      </c>
      <c r="I181" s="1819"/>
      <c r="J181" s="1825"/>
      <c r="L181" s="1823" t="s">
        <v>3702</v>
      </c>
    </row>
    <row r="182" spans="1:12" s="1818" customFormat="1" ht="11.25" customHeight="1">
      <c r="A182" s="1815"/>
      <c r="C182" s="1833"/>
      <c r="D182" s="1816" t="s">
        <v>3093</v>
      </c>
      <c r="E182" s="1824" t="s">
        <v>2939</v>
      </c>
      <c r="F182" s="1818" t="s">
        <v>3632</v>
      </c>
      <c r="I182" s="1819"/>
      <c r="J182" s="1825"/>
      <c r="L182" s="1823" t="s">
        <v>3703</v>
      </c>
    </row>
    <row r="183" spans="1:12" s="1818" customFormat="1" ht="11.25" customHeight="1">
      <c r="A183" s="1830" t="s">
        <v>3477</v>
      </c>
      <c r="B183" s="1831" t="s">
        <v>3478</v>
      </c>
      <c r="C183" s="1831"/>
      <c r="D183" s="1831"/>
      <c r="E183" s="1822" t="s">
        <v>2938</v>
      </c>
      <c r="F183" s="1832" t="s">
        <v>3630</v>
      </c>
      <c r="G183" s="1832"/>
      <c r="H183" s="1832"/>
      <c r="I183" s="1844"/>
      <c r="J183" s="1845"/>
      <c r="K183" s="1846"/>
      <c r="L183" s="1823" t="s">
        <v>3702</v>
      </c>
    </row>
    <row r="184" spans="1:12" s="1818" customFormat="1" ht="11.25" customHeight="1">
      <c r="A184" s="1872"/>
      <c r="B184" s="1858"/>
      <c r="C184" s="1858"/>
      <c r="D184" s="1816"/>
      <c r="E184" s="1824" t="s">
        <v>2936</v>
      </c>
      <c r="F184" s="1818" t="s">
        <v>3631</v>
      </c>
      <c r="I184" s="1819"/>
      <c r="J184" s="1825"/>
      <c r="L184" s="1823" t="s">
        <v>3702</v>
      </c>
    </row>
    <row r="185" spans="1:12" s="1818" customFormat="1" ht="11.25" customHeight="1">
      <c r="A185" s="1815"/>
      <c r="B185" s="1816"/>
      <c r="C185" s="1816"/>
      <c r="D185" s="1816"/>
      <c r="E185" s="1824" t="s">
        <v>2937</v>
      </c>
      <c r="F185" s="1818" t="s">
        <v>3479</v>
      </c>
      <c r="I185" s="1819"/>
      <c r="L185" s="1823" t="s">
        <v>3702</v>
      </c>
    </row>
    <row r="186" spans="1:12" s="1818" customFormat="1" ht="11.25" customHeight="1">
      <c r="A186" s="1830" t="s">
        <v>3480</v>
      </c>
      <c r="B186" s="1831" t="s">
        <v>3481</v>
      </c>
      <c r="C186" s="1831"/>
      <c r="D186" s="1831"/>
      <c r="E186" s="1896" t="s">
        <v>2938</v>
      </c>
      <c r="F186" s="1832" t="s">
        <v>3482</v>
      </c>
      <c r="G186" s="1832"/>
      <c r="H186" s="1832"/>
      <c r="I186" s="1844"/>
      <c r="J186" s="1845"/>
      <c r="K186" s="1846"/>
      <c r="L186" s="1823" t="s">
        <v>3702</v>
      </c>
    </row>
    <row r="187" spans="1:12" s="1818" customFormat="1" ht="11.25" customHeight="1">
      <c r="A187" s="1830" t="s">
        <v>3483</v>
      </c>
      <c r="B187" s="1831" t="s">
        <v>3484</v>
      </c>
      <c r="C187" s="1831"/>
      <c r="D187" s="1831"/>
      <c r="E187" s="1896" t="s">
        <v>2938</v>
      </c>
      <c r="F187" s="1832" t="s">
        <v>3485</v>
      </c>
      <c r="G187" s="1832"/>
      <c r="H187" s="1832"/>
      <c r="I187" s="1844"/>
      <c r="J187" s="1845"/>
      <c r="K187" s="1846"/>
      <c r="L187" s="1823" t="s">
        <v>3703</v>
      </c>
    </row>
    <row r="188" spans="1:12" s="1818" customFormat="1" ht="11.25" customHeight="1">
      <c r="A188" s="1903" t="s">
        <v>3486</v>
      </c>
      <c r="B188" s="1904" t="s">
        <v>3218</v>
      </c>
      <c r="C188" s="1904"/>
      <c r="D188" s="1904"/>
      <c r="E188" s="1905" t="s">
        <v>3026</v>
      </c>
      <c r="F188" s="1906"/>
      <c r="G188" s="1907" t="s">
        <v>3219</v>
      </c>
      <c r="H188" s="1906"/>
      <c r="I188" s="1906"/>
      <c r="J188" s="1906"/>
      <c r="K188" s="1906"/>
    </row>
    <row r="189" spans="1:12" s="1818" customFormat="1" ht="11.25" customHeight="1">
      <c r="A189" s="1872"/>
      <c r="B189" s="1908" t="s">
        <v>3204</v>
      </c>
      <c r="C189" s="1908"/>
      <c r="D189" s="1909" t="s">
        <v>3205</v>
      </c>
      <c r="E189" s="1910"/>
      <c r="F189" s="1911" t="s">
        <v>3217</v>
      </c>
      <c r="G189" s="1912"/>
      <c r="H189" s="1912"/>
      <c r="I189" s="1912"/>
      <c r="J189" s="1912"/>
      <c r="K189" s="1912"/>
    </row>
    <row r="190" spans="1:12" s="1818" customFormat="1" ht="11.25" customHeight="1">
      <c r="A190" s="1872"/>
      <c r="B190" s="1913" t="s">
        <v>3870</v>
      </c>
      <c r="C190" s="1914"/>
      <c r="D190" s="1915"/>
      <c r="E190" s="1916" t="s">
        <v>2938</v>
      </c>
      <c r="F190" s="1917" t="s">
        <v>3871</v>
      </c>
      <c r="G190" s="1917"/>
      <c r="H190" s="1917"/>
      <c r="I190" s="1917"/>
      <c r="J190" s="1917"/>
      <c r="K190" s="1917"/>
      <c r="L190" s="1823" t="s">
        <v>3702</v>
      </c>
    </row>
    <row r="191" spans="1:12" s="1818" customFormat="1" ht="11.25" customHeight="1">
      <c r="A191" s="1815"/>
      <c r="B191" s="1918"/>
      <c r="C191" s="1919"/>
      <c r="D191" s="1920"/>
      <c r="E191" s="1921" t="s">
        <v>2936</v>
      </c>
      <c r="F191" s="1922"/>
      <c r="G191" s="1922"/>
      <c r="H191" s="1922"/>
      <c r="I191" s="1922"/>
      <c r="J191" s="1922"/>
      <c r="K191" s="1922"/>
      <c r="L191" s="1823"/>
    </row>
    <row r="192" spans="1:12" s="1818" customFormat="1" ht="11.25" customHeight="1">
      <c r="A192" s="1815"/>
      <c r="B192" s="1918"/>
      <c r="C192" s="1919"/>
      <c r="D192" s="1920"/>
      <c r="E192" s="1921" t="s">
        <v>2937</v>
      </c>
      <c r="F192" s="1922"/>
      <c r="G192" s="1922"/>
      <c r="H192" s="1922"/>
      <c r="I192" s="1922"/>
      <c r="J192" s="1922"/>
      <c r="K192" s="1922"/>
      <c r="L192" s="1823"/>
    </row>
    <row r="193" spans="1:12" s="1818" customFormat="1" ht="11.25" customHeight="1">
      <c r="A193" s="1815"/>
      <c r="B193" s="1918"/>
      <c r="C193" s="1919"/>
      <c r="D193" s="1920"/>
      <c r="E193" s="1921" t="s">
        <v>2939</v>
      </c>
      <c r="F193" s="1922"/>
      <c r="G193" s="1922"/>
      <c r="H193" s="1922"/>
      <c r="I193" s="1922"/>
      <c r="J193" s="1922"/>
      <c r="K193" s="1922"/>
      <c r="L193" s="1823"/>
    </row>
    <row r="194" spans="1:12" s="1818" customFormat="1" ht="11.25" customHeight="1">
      <c r="A194" s="1815"/>
      <c r="B194" s="1918"/>
      <c r="C194" s="1919"/>
      <c r="D194" s="1920"/>
      <c r="E194" s="1921" t="s">
        <v>2940</v>
      </c>
      <c r="F194" s="1922"/>
      <c r="G194" s="1922"/>
      <c r="H194" s="1922"/>
      <c r="I194" s="1922"/>
      <c r="J194" s="1922"/>
      <c r="K194" s="1922"/>
      <c r="L194" s="1823"/>
    </row>
    <row r="195" spans="1:12" s="1818" customFormat="1" ht="11.25" customHeight="1">
      <c r="A195" s="1815"/>
      <c r="B195" s="1918"/>
      <c r="C195" s="1919"/>
      <c r="D195" s="1920"/>
      <c r="E195" s="1921" t="s">
        <v>2941</v>
      </c>
      <c r="F195" s="1922"/>
      <c r="G195" s="1922"/>
      <c r="H195" s="1922"/>
      <c r="I195" s="1922"/>
      <c r="J195" s="1922"/>
      <c r="K195" s="1922"/>
      <c r="L195" s="1823"/>
    </row>
    <row r="196" spans="1:12" s="1818" customFormat="1" ht="11.25" customHeight="1">
      <c r="A196" s="1815"/>
      <c r="B196" s="1918"/>
      <c r="C196" s="1919"/>
      <c r="D196" s="1920"/>
      <c r="E196" s="1921" t="s">
        <v>2942</v>
      </c>
      <c r="F196" s="1922"/>
      <c r="G196" s="1922"/>
      <c r="H196" s="1922"/>
      <c r="I196" s="1922"/>
      <c r="J196" s="1922"/>
      <c r="K196" s="1922"/>
      <c r="L196" s="1823"/>
    </row>
    <row r="197" spans="1:12" s="1818" customFormat="1" ht="11.25" customHeight="1">
      <c r="A197" s="1815"/>
      <c r="B197" s="1918"/>
      <c r="C197" s="1919"/>
      <c r="D197" s="1920"/>
      <c r="E197" s="1921" t="s">
        <v>3143</v>
      </c>
      <c r="F197" s="1922"/>
      <c r="G197" s="1922"/>
      <c r="H197" s="1922"/>
      <c r="I197" s="1922"/>
      <c r="J197" s="1922"/>
      <c r="K197" s="1922"/>
      <c r="L197" s="1823"/>
    </row>
    <row r="198" spans="1:12" s="1818" customFormat="1" ht="11.25" customHeight="1">
      <c r="A198" s="1815"/>
      <c r="B198" s="1918"/>
      <c r="C198" s="1919"/>
      <c r="D198" s="1920"/>
      <c r="E198" s="1921" t="s">
        <v>3144</v>
      </c>
      <c r="F198" s="1922"/>
      <c r="G198" s="1922"/>
      <c r="H198" s="1922"/>
      <c r="I198" s="1922"/>
      <c r="J198" s="1922"/>
      <c r="K198" s="1922"/>
      <c r="L198" s="1823"/>
    </row>
    <row r="199" spans="1:12" s="1818" customFormat="1" ht="11.25" customHeight="1">
      <c r="A199" s="1815"/>
      <c r="B199" s="1923"/>
      <c r="C199" s="1924"/>
      <c r="D199" s="1925"/>
      <c r="E199" s="1926" t="s">
        <v>3202</v>
      </c>
      <c r="F199" s="1927"/>
      <c r="G199" s="1927"/>
      <c r="H199" s="1927"/>
      <c r="I199" s="1927"/>
      <c r="J199" s="1927"/>
      <c r="K199" s="1927"/>
      <c r="L199" s="1823"/>
    </row>
    <row r="200" spans="1:12" s="1818" customFormat="1" ht="39" customHeight="1">
      <c r="A200" s="1928" t="s">
        <v>3220</v>
      </c>
      <c r="B200" s="1928"/>
      <c r="C200" s="1928"/>
      <c r="D200" s="1928"/>
      <c r="E200" s="1928"/>
      <c r="F200" s="1928"/>
      <c r="G200" s="1928"/>
      <c r="H200" s="1928"/>
      <c r="I200" s="1928"/>
      <c r="J200" s="1928"/>
      <c r="K200" s="1928"/>
      <c r="L200" s="1928"/>
    </row>
    <row r="201" spans="1:12" s="1818" customFormat="1">
      <c r="A201" s="1815"/>
      <c r="B201" s="1816"/>
      <c r="C201" s="1816"/>
      <c r="D201" s="1816"/>
      <c r="E201" s="1842"/>
      <c r="I201" s="1819"/>
    </row>
    <row r="202" spans="1:12" s="1818" customFormat="1">
      <c r="A202" s="1815"/>
      <c r="B202" s="1816"/>
      <c r="C202" s="1816"/>
      <c r="D202" s="1816"/>
      <c r="E202" s="1842"/>
      <c r="I202" s="1819"/>
    </row>
    <row r="203" spans="1:12" s="1818" customFormat="1">
      <c r="A203" s="1815"/>
      <c r="B203" s="1816"/>
      <c r="C203" s="1816"/>
      <c r="D203" s="1816"/>
      <c r="E203" s="1842"/>
      <c r="I203" s="1819"/>
    </row>
    <row r="204" spans="1:12" s="1818" customFormat="1">
      <c r="A204" s="1815"/>
      <c r="B204" s="1816"/>
      <c r="C204" s="1816"/>
      <c r="D204" s="1816"/>
      <c r="E204" s="1842"/>
      <c r="I204" s="1819"/>
    </row>
    <row r="205" spans="1:12" s="1818" customFormat="1">
      <c r="A205" s="1815"/>
      <c r="B205" s="1816"/>
      <c r="C205" s="1816"/>
      <c r="D205" s="1816"/>
      <c r="E205" s="1842"/>
      <c r="I205" s="1819"/>
    </row>
    <row r="206" spans="1:12" s="1818" customFormat="1">
      <c r="A206" s="1815"/>
      <c r="B206" s="1816"/>
      <c r="C206" s="1816"/>
      <c r="D206" s="1816"/>
      <c r="E206" s="1842"/>
      <c r="I206" s="1819"/>
    </row>
    <row r="207" spans="1:12" s="1818" customFormat="1">
      <c r="A207" s="1815"/>
      <c r="B207" s="1816"/>
      <c r="C207" s="1816"/>
      <c r="D207" s="1816"/>
      <c r="E207" s="1842"/>
      <c r="I207" s="1819"/>
    </row>
    <row r="208" spans="1:12" s="1818" customFormat="1">
      <c r="A208" s="1815"/>
      <c r="B208" s="1816"/>
      <c r="C208" s="1816"/>
      <c r="D208" s="1816"/>
      <c r="E208" s="1842"/>
      <c r="I208" s="1819"/>
    </row>
    <row r="209" spans="1:9" s="1818" customFormat="1">
      <c r="A209" s="1815"/>
      <c r="B209" s="1816"/>
      <c r="C209" s="1816"/>
      <c r="D209" s="1816"/>
      <c r="E209" s="1842"/>
      <c r="I209" s="1819"/>
    </row>
    <row r="210" spans="1:9" s="1818" customFormat="1">
      <c r="A210" s="1815"/>
      <c r="B210" s="1816"/>
      <c r="C210" s="1816"/>
      <c r="D210" s="1816"/>
      <c r="E210" s="1842"/>
      <c r="I210" s="1819"/>
    </row>
    <row r="211" spans="1:9" s="1818" customFormat="1">
      <c r="A211" s="1815"/>
      <c r="B211" s="1816"/>
      <c r="C211" s="1816"/>
      <c r="D211" s="1816"/>
      <c r="E211" s="1842"/>
      <c r="I211" s="1819"/>
    </row>
    <row r="212" spans="1:9" s="1818" customFormat="1">
      <c r="A212" s="1815"/>
      <c r="B212" s="1816"/>
      <c r="C212" s="1816"/>
      <c r="D212" s="1816"/>
      <c r="E212" s="1842"/>
      <c r="I212" s="1819"/>
    </row>
    <row r="213" spans="1:9" s="1818" customFormat="1">
      <c r="A213" s="1815"/>
      <c r="B213" s="1816"/>
      <c r="C213" s="1816"/>
      <c r="D213" s="1816"/>
      <c r="E213" s="1842"/>
      <c r="I213" s="1819"/>
    </row>
    <row r="214" spans="1:9" s="1818" customFormat="1">
      <c r="A214" s="1815"/>
      <c r="B214" s="1816"/>
      <c r="C214" s="1816"/>
      <c r="D214" s="1816"/>
      <c r="E214" s="1842"/>
      <c r="I214" s="1819"/>
    </row>
    <row r="215" spans="1:9" s="1818" customFormat="1">
      <c r="A215" s="1815"/>
      <c r="B215" s="1816"/>
      <c r="C215" s="1816"/>
      <c r="D215" s="1816"/>
      <c r="E215" s="1842"/>
      <c r="I215" s="1819"/>
    </row>
    <row r="216" spans="1:9" s="1818" customFormat="1">
      <c r="A216" s="1815"/>
      <c r="B216" s="1816"/>
      <c r="C216" s="1816"/>
      <c r="D216" s="1816"/>
      <c r="E216" s="1842"/>
      <c r="I216" s="1819"/>
    </row>
    <row r="217" spans="1:9" s="1818" customFormat="1">
      <c r="A217" s="1815"/>
      <c r="B217" s="1816"/>
      <c r="C217" s="1816"/>
      <c r="D217" s="1816"/>
      <c r="E217" s="1842"/>
      <c r="I217" s="1819"/>
    </row>
    <row r="218" spans="1:9" s="1818" customFormat="1">
      <c r="A218" s="1815"/>
      <c r="B218" s="1816"/>
      <c r="C218" s="1816"/>
      <c r="D218" s="1816"/>
      <c r="E218" s="1842"/>
      <c r="I218" s="1819"/>
    </row>
    <row r="219" spans="1:9" s="1818" customFormat="1">
      <c r="A219" s="1815"/>
      <c r="B219" s="1816"/>
      <c r="C219" s="1816"/>
      <c r="D219" s="1816"/>
      <c r="E219" s="1842"/>
      <c r="I219" s="1819"/>
    </row>
    <row r="220" spans="1:9" s="1818" customFormat="1">
      <c r="A220" s="1815"/>
      <c r="B220" s="1816"/>
      <c r="C220" s="1816"/>
      <c r="D220" s="1816"/>
      <c r="E220" s="1842"/>
      <c r="I220" s="1819"/>
    </row>
    <row r="221" spans="1:9" s="1818" customFormat="1">
      <c r="A221" s="1815"/>
      <c r="B221" s="1816"/>
      <c r="C221" s="1816"/>
      <c r="D221" s="1816"/>
      <c r="E221" s="1842"/>
      <c r="I221" s="1819"/>
    </row>
    <row r="222" spans="1:9" s="1818" customFormat="1">
      <c r="A222" s="1815"/>
      <c r="B222" s="1816"/>
      <c r="C222" s="1816"/>
      <c r="D222" s="1816"/>
      <c r="E222" s="1842"/>
      <c r="I222" s="1819"/>
    </row>
    <row r="223" spans="1:9" s="1818" customFormat="1">
      <c r="A223" s="1815"/>
      <c r="B223" s="1816"/>
      <c r="C223" s="1816"/>
      <c r="D223" s="1816"/>
      <c r="E223" s="1842"/>
      <c r="I223" s="1819"/>
    </row>
    <row r="224" spans="1:9" s="1818" customFormat="1">
      <c r="A224" s="1815"/>
      <c r="B224" s="1816"/>
      <c r="C224" s="1816"/>
      <c r="D224" s="1816"/>
      <c r="E224" s="1842"/>
      <c r="I224" s="1819"/>
    </row>
    <row r="225" spans="1:9" s="1818" customFormat="1">
      <c r="A225" s="1815"/>
      <c r="B225" s="1816"/>
      <c r="C225" s="1816"/>
      <c r="D225" s="1816"/>
      <c r="E225" s="1842"/>
      <c r="I225" s="1819"/>
    </row>
    <row r="226" spans="1:9" s="1818" customFormat="1">
      <c r="A226" s="1815"/>
      <c r="B226" s="1816"/>
      <c r="C226" s="1816"/>
      <c r="D226" s="1816"/>
      <c r="E226" s="1842"/>
      <c r="I226" s="1819"/>
    </row>
    <row r="227" spans="1:9" s="1818" customFormat="1">
      <c r="A227" s="1815"/>
      <c r="B227" s="1816"/>
      <c r="C227" s="1816"/>
      <c r="D227" s="1816"/>
      <c r="E227" s="1842"/>
      <c r="I227" s="1819"/>
    </row>
    <row r="228" spans="1:9" s="1818" customFormat="1">
      <c r="A228" s="1815"/>
      <c r="B228" s="1816"/>
      <c r="C228" s="1816"/>
      <c r="D228" s="1816"/>
      <c r="E228" s="1842"/>
      <c r="I228" s="1819"/>
    </row>
    <row r="229" spans="1:9" s="1818" customFormat="1">
      <c r="A229" s="1815"/>
      <c r="B229" s="1816"/>
      <c r="C229" s="1816"/>
      <c r="D229" s="1816"/>
      <c r="E229" s="1842"/>
      <c r="I229" s="1819"/>
    </row>
    <row r="230" spans="1:9" s="1818" customFormat="1">
      <c r="A230" s="1815"/>
      <c r="B230" s="1816"/>
      <c r="C230" s="1816"/>
      <c r="D230" s="1816"/>
      <c r="E230" s="1842"/>
      <c r="I230" s="1819"/>
    </row>
    <row r="231" spans="1:9" s="1818" customFormat="1">
      <c r="A231" s="1815"/>
      <c r="B231" s="1816"/>
      <c r="C231" s="1816"/>
      <c r="D231" s="1816"/>
      <c r="E231" s="1842"/>
      <c r="I231" s="1819"/>
    </row>
    <row r="232" spans="1:9" s="1818" customFormat="1">
      <c r="A232" s="1815"/>
      <c r="B232" s="1816"/>
      <c r="C232" s="1816"/>
      <c r="D232" s="1816"/>
      <c r="E232" s="1842"/>
      <c r="I232" s="1819"/>
    </row>
    <row r="233" spans="1:9" s="1818" customFormat="1">
      <c r="A233" s="1815"/>
      <c r="B233" s="1816"/>
      <c r="C233" s="1816"/>
      <c r="D233" s="1816"/>
      <c r="E233" s="1842"/>
      <c r="I233" s="1819"/>
    </row>
    <row r="234" spans="1:9" s="1818" customFormat="1">
      <c r="A234" s="1815"/>
      <c r="B234" s="1816"/>
      <c r="C234" s="1816"/>
      <c r="D234" s="1816"/>
      <c r="E234" s="1842"/>
      <c r="I234" s="1819"/>
    </row>
    <row r="235" spans="1:9" s="1818" customFormat="1">
      <c r="A235" s="1815"/>
      <c r="B235" s="1816"/>
      <c r="C235" s="1816"/>
      <c r="D235" s="1816"/>
      <c r="E235" s="1842"/>
      <c r="I235" s="1819"/>
    </row>
    <row r="236" spans="1:9" s="1818" customFormat="1">
      <c r="A236" s="1815"/>
      <c r="B236" s="1816"/>
      <c r="C236" s="1816"/>
      <c r="D236" s="1816"/>
      <c r="E236" s="1842"/>
      <c r="I236" s="1819"/>
    </row>
    <row r="237" spans="1:9" s="1818" customFormat="1">
      <c r="A237" s="1815"/>
      <c r="B237" s="1816"/>
      <c r="C237" s="1816"/>
      <c r="D237" s="1816"/>
      <c r="E237" s="1842"/>
      <c r="I237" s="1819"/>
    </row>
    <row r="238" spans="1:9" s="1818" customFormat="1">
      <c r="A238" s="1815"/>
      <c r="B238" s="1816"/>
      <c r="C238" s="1816"/>
      <c r="D238" s="1816"/>
      <c r="E238" s="1842"/>
      <c r="I238" s="1819"/>
    </row>
    <row r="239" spans="1:9" s="1818" customFormat="1">
      <c r="A239" s="1815"/>
      <c r="B239" s="1816"/>
      <c r="C239" s="1816"/>
      <c r="D239" s="1816"/>
      <c r="E239" s="1842"/>
      <c r="I239" s="1819"/>
    </row>
    <row r="240" spans="1:9" s="1818" customFormat="1">
      <c r="A240" s="1815"/>
      <c r="B240" s="1816"/>
      <c r="C240" s="1816"/>
      <c r="D240" s="1816"/>
      <c r="E240" s="1842"/>
      <c r="I240" s="1819"/>
    </row>
    <row r="241" spans="1:9" s="1818" customFormat="1">
      <c r="A241" s="1815"/>
      <c r="B241" s="1816"/>
      <c r="C241" s="1816"/>
      <c r="D241" s="1816"/>
      <c r="E241" s="1842"/>
      <c r="I241" s="1819"/>
    </row>
    <row r="242" spans="1:9" s="1818" customFormat="1">
      <c r="A242" s="1815"/>
      <c r="B242" s="1816"/>
      <c r="C242" s="1816"/>
      <c r="D242" s="1816"/>
      <c r="E242" s="1842"/>
      <c r="I242" s="1819"/>
    </row>
    <row r="243" spans="1:9" s="1818" customFormat="1">
      <c r="A243" s="1815"/>
      <c r="B243" s="1816"/>
      <c r="C243" s="1816"/>
      <c r="D243" s="1816"/>
      <c r="E243" s="1842"/>
      <c r="I243" s="1819"/>
    </row>
    <row r="244" spans="1:9" s="1818" customFormat="1">
      <c r="A244" s="1815"/>
      <c r="B244" s="1816"/>
      <c r="C244" s="1816"/>
      <c r="D244" s="1816"/>
      <c r="E244" s="1842"/>
      <c r="I244" s="1819"/>
    </row>
    <row r="245" spans="1:9" s="1818" customFormat="1">
      <c r="A245" s="1815"/>
      <c r="B245" s="1816"/>
      <c r="C245" s="1816"/>
      <c r="D245" s="1816"/>
      <c r="E245" s="1842"/>
      <c r="I245" s="1819"/>
    </row>
    <row r="246" spans="1:9" s="1818" customFormat="1">
      <c r="A246" s="1815"/>
      <c r="B246" s="1816"/>
      <c r="C246" s="1816"/>
      <c r="D246" s="1816"/>
      <c r="E246" s="1842"/>
      <c r="I246" s="1819"/>
    </row>
    <row r="247" spans="1:9" s="1818" customFormat="1">
      <c r="A247" s="1815"/>
      <c r="B247" s="1816"/>
      <c r="C247" s="1816"/>
      <c r="D247" s="1816"/>
      <c r="E247" s="1842"/>
      <c r="I247" s="1819"/>
    </row>
    <row r="248" spans="1:9" s="1818" customFormat="1">
      <c r="A248" s="1815"/>
      <c r="B248" s="1816"/>
      <c r="C248" s="1816"/>
      <c r="D248" s="1816"/>
      <c r="E248" s="1842"/>
      <c r="I248" s="1819"/>
    </row>
    <row r="249" spans="1:9" s="1818" customFormat="1">
      <c r="A249" s="1815"/>
      <c r="B249" s="1816"/>
      <c r="C249" s="1816"/>
      <c r="D249" s="1816"/>
      <c r="E249" s="1842"/>
      <c r="I249" s="1819"/>
    </row>
    <row r="250" spans="1:9" s="1818" customFormat="1">
      <c r="A250" s="1815"/>
      <c r="B250" s="1816"/>
      <c r="C250" s="1816"/>
      <c r="D250" s="1816"/>
      <c r="E250" s="1842"/>
      <c r="I250" s="1819"/>
    </row>
    <row r="251" spans="1:9" s="1818" customFormat="1">
      <c r="A251" s="1815"/>
      <c r="B251" s="1816"/>
      <c r="C251" s="1816"/>
      <c r="D251" s="1816"/>
      <c r="E251" s="1842"/>
      <c r="I251" s="1819"/>
    </row>
    <row r="252" spans="1:9" s="1818" customFormat="1">
      <c r="A252" s="1815"/>
      <c r="B252" s="1816"/>
      <c r="C252" s="1816"/>
      <c r="D252" s="1816"/>
      <c r="E252" s="1842"/>
      <c r="I252" s="1819"/>
    </row>
    <row r="253" spans="1:9" s="1818" customFormat="1">
      <c r="A253" s="1815"/>
      <c r="B253" s="1816"/>
      <c r="C253" s="1816"/>
      <c r="D253" s="1816"/>
      <c r="E253" s="1842"/>
      <c r="I253" s="1819"/>
    </row>
    <row r="254" spans="1:9" s="1818" customFormat="1">
      <c r="A254" s="1815"/>
      <c r="B254" s="1816"/>
      <c r="C254" s="1816"/>
      <c r="D254" s="1816"/>
      <c r="E254" s="1842"/>
      <c r="I254" s="1819"/>
    </row>
    <row r="255" spans="1:9" s="1818" customFormat="1">
      <c r="A255" s="1815"/>
      <c r="B255" s="1816"/>
      <c r="C255" s="1816"/>
      <c r="D255" s="1816"/>
      <c r="E255" s="1842"/>
      <c r="I255" s="1819"/>
    </row>
    <row r="256" spans="1:9" s="1818" customFormat="1">
      <c r="A256" s="1815"/>
      <c r="B256" s="1816"/>
      <c r="C256" s="1816"/>
      <c r="D256" s="1816"/>
      <c r="E256" s="1842"/>
      <c r="I256" s="1819"/>
    </row>
    <row r="257" spans="1:9" s="1818" customFormat="1">
      <c r="A257" s="1815"/>
      <c r="B257" s="1816"/>
      <c r="C257" s="1816"/>
      <c r="D257" s="1816"/>
      <c r="E257" s="1842"/>
      <c r="I257" s="1819"/>
    </row>
    <row r="258" spans="1:9" s="1818" customFormat="1">
      <c r="A258" s="1815"/>
      <c r="B258" s="1816"/>
      <c r="C258" s="1816"/>
      <c r="D258" s="1816"/>
      <c r="E258" s="1842"/>
      <c r="I258" s="1819"/>
    </row>
    <row r="259" spans="1:9">
      <c r="A259" s="1929"/>
      <c r="B259" s="1930"/>
      <c r="C259" s="1930"/>
      <c r="D259" s="1930"/>
      <c r="E259" s="1931"/>
    </row>
    <row r="260" spans="1:9">
      <c r="A260" s="1929"/>
      <c r="B260" s="1930"/>
      <c r="C260" s="1930"/>
      <c r="D260" s="1930"/>
      <c r="E260" s="1931"/>
    </row>
    <row r="261" spans="1:9">
      <c r="A261" s="1929"/>
      <c r="B261" s="1930"/>
      <c r="C261" s="1930"/>
      <c r="D261" s="1930"/>
      <c r="E261" s="1931"/>
    </row>
    <row r="262" spans="1:9">
      <c r="A262" s="1929"/>
      <c r="B262" s="1930"/>
      <c r="C262" s="1930"/>
      <c r="D262" s="1930"/>
      <c r="E262" s="1931"/>
    </row>
    <row r="263" spans="1:9">
      <c r="A263" s="1929"/>
      <c r="B263" s="1930"/>
      <c r="C263" s="1930"/>
      <c r="D263" s="1930"/>
      <c r="E263" s="1931"/>
    </row>
    <row r="264" spans="1:9">
      <c r="A264" s="1929"/>
      <c r="B264" s="1930"/>
      <c r="C264" s="1930"/>
      <c r="D264" s="1930"/>
      <c r="E264" s="1931"/>
    </row>
  </sheetData>
  <sheetProtection password="B388"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82" zoomScaleNormal="100" workbookViewId="0">
      <selection activeCell="A82"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5"/>
    <col min="256" max="16384" width="9.140625" style="96"/>
  </cols>
  <sheetData>
    <row r="1" spans="1:255" s="105" customFormat="1" ht="13.9" customHeight="1">
      <c r="A1" s="1296" t="str">
        <f>CONCATENATE("PART SIX - PROJECTED REVENUES &amp; EXPENSES","  -  ",'Part I-Project Information'!$O$4," ",'Part I-Project Information'!$F$23,", ",'Part I-Project Information'!F27,", ",'Part I-Project Information'!J28," County")</f>
        <v>PART SIX - PROJECTED REVENUES &amp; EXPENSES  -  2014-055 Trinity Walk Phase I, Decatur, DeKalb County</v>
      </c>
      <c r="B1" s="1297"/>
      <c r="C1" s="1297"/>
      <c r="D1" s="1297"/>
      <c r="E1" s="1297"/>
      <c r="F1" s="1297"/>
      <c r="G1" s="1297"/>
      <c r="H1" s="1297"/>
      <c r="I1" s="1297"/>
      <c r="J1" s="1297"/>
      <c r="K1" s="1297"/>
      <c r="L1" s="1297"/>
      <c r="M1" s="1297"/>
      <c r="N1" s="1297"/>
      <c r="O1" s="1297"/>
      <c r="P1" s="1298"/>
      <c r="T1" s="1385" t="str">
        <f>A1</f>
        <v>PART SIX - PROJECTED REVENUES &amp; EXPENSES  -  2014-055 Trinity Walk Phase I, Decatur, DeKalb County</v>
      </c>
      <c r="U1" s="1385"/>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657</v>
      </c>
      <c r="B3" s="5" t="s">
        <v>2522</v>
      </c>
      <c r="C3" s="1"/>
      <c r="E3" s="162" t="s">
        <v>2905</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516</v>
      </c>
      <c r="FB3" s="572" t="s">
        <v>2606</v>
      </c>
      <c r="FC3" s="572" t="s">
        <v>2607</v>
      </c>
      <c r="FD3" s="572" t="s">
        <v>2608</v>
      </c>
      <c r="FE3" s="572" t="s">
        <v>2609</v>
      </c>
      <c r="FF3" s="574"/>
      <c r="FG3" s="574"/>
      <c r="FH3" s="574"/>
      <c r="FI3" s="574"/>
      <c r="FJ3" s="574"/>
      <c r="FK3" s="572" t="s">
        <v>516</v>
      </c>
      <c r="FL3" s="572" t="s">
        <v>2606</v>
      </c>
      <c r="FM3" s="572" t="s">
        <v>2607</v>
      </c>
      <c r="FN3" s="572" t="s">
        <v>2608</v>
      </c>
      <c r="FO3" s="572" t="s">
        <v>2609</v>
      </c>
      <c r="FP3" s="572" t="s">
        <v>516</v>
      </c>
      <c r="FQ3" s="572" t="s">
        <v>2606</v>
      </c>
      <c r="FR3" s="572" t="s">
        <v>2607</v>
      </c>
      <c r="FS3" s="572" t="s">
        <v>2608</v>
      </c>
      <c r="FT3" s="572" t="s">
        <v>2609</v>
      </c>
      <c r="FU3" s="572" t="s">
        <v>516</v>
      </c>
      <c r="FV3" s="572" t="s">
        <v>2606</v>
      </c>
      <c r="FW3" s="572" t="s">
        <v>2607</v>
      </c>
      <c r="FX3" s="572" t="s">
        <v>2608</v>
      </c>
      <c r="FY3" s="572" t="s">
        <v>2609</v>
      </c>
      <c r="FZ3" s="572" t="s">
        <v>516</v>
      </c>
      <c r="GA3" s="572" t="s">
        <v>2606</v>
      </c>
      <c r="GB3" s="572" t="s">
        <v>2607</v>
      </c>
      <c r="GC3" s="572" t="s">
        <v>2608</v>
      </c>
      <c r="GD3" s="572" t="s">
        <v>2609</v>
      </c>
      <c r="GE3" s="572" t="s">
        <v>516</v>
      </c>
      <c r="GF3" s="572" t="s">
        <v>2606</v>
      </c>
      <c r="GG3" s="572" t="s">
        <v>2607</v>
      </c>
      <c r="GH3" s="572" t="s">
        <v>2608</v>
      </c>
      <c r="GI3" s="572" t="s">
        <v>2609</v>
      </c>
      <c r="GJ3" s="572" t="s">
        <v>516</v>
      </c>
      <c r="GK3" s="572" t="s">
        <v>2606</v>
      </c>
      <c r="GL3" s="572" t="s">
        <v>2607</v>
      </c>
      <c r="GM3" s="572" t="s">
        <v>2608</v>
      </c>
      <c r="GN3" s="572" t="s">
        <v>2609</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8" t="s">
        <v>975</v>
      </c>
      <c r="W4" s="1388" t="s">
        <v>806</v>
      </c>
      <c r="X4" s="1388" t="s">
        <v>807</v>
      </c>
      <c r="Y4" s="1388" t="s">
        <v>808</v>
      </c>
      <c r="Z4" s="1388" t="s">
        <v>809</v>
      </c>
      <c r="AA4" s="1388" t="s">
        <v>976</v>
      </c>
      <c r="AB4" s="1388" t="s">
        <v>2461</v>
      </c>
      <c r="AC4" s="1388" t="s">
        <v>2462</v>
      </c>
      <c r="AD4" s="1388" t="s">
        <v>2463</v>
      </c>
      <c r="AE4" s="1388" t="s">
        <v>2464</v>
      </c>
      <c r="AF4" s="1388" t="s">
        <v>977</v>
      </c>
      <c r="AG4" s="1388" t="s">
        <v>2465</v>
      </c>
      <c r="AH4" s="1388" t="s">
        <v>2466</v>
      </c>
      <c r="AI4" s="1388" t="s">
        <v>2467</v>
      </c>
      <c r="AJ4" s="1388" t="s">
        <v>2468</v>
      </c>
      <c r="AK4" s="1388" t="s">
        <v>132</v>
      </c>
      <c r="AL4" s="1388" t="s">
        <v>2469</v>
      </c>
      <c r="AM4" s="1388" t="s">
        <v>2470</v>
      </c>
      <c r="AN4" s="1388" t="s">
        <v>2471</v>
      </c>
      <c r="AO4" s="1388" t="s">
        <v>1217</v>
      </c>
      <c r="AP4" s="1388" t="s">
        <v>589</v>
      </c>
      <c r="AQ4" s="1388" t="s">
        <v>590</v>
      </c>
      <c r="AR4" s="1388" t="s">
        <v>614</v>
      </c>
      <c r="AS4" s="1388" t="s">
        <v>615</v>
      </c>
      <c r="AT4" s="1388" t="s">
        <v>616</v>
      </c>
      <c r="AU4" s="1388" t="s">
        <v>617</v>
      </c>
      <c r="AV4" s="1388" t="s">
        <v>618</v>
      </c>
      <c r="AW4" s="1388" t="s">
        <v>619</v>
      </c>
      <c r="AX4" s="1388" t="s">
        <v>620</v>
      </c>
      <c r="AY4" s="1388" t="s">
        <v>621</v>
      </c>
      <c r="AZ4" s="1388" t="s">
        <v>622</v>
      </c>
      <c r="BA4" s="1388" t="s">
        <v>623</v>
      </c>
      <c r="BB4" s="1388" t="s">
        <v>987</v>
      </c>
      <c r="BC4" s="1388" t="s">
        <v>988</v>
      </c>
      <c r="BD4" s="1388" t="s">
        <v>989</v>
      </c>
      <c r="BE4" s="1388" t="s">
        <v>528</v>
      </c>
      <c r="BF4" s="1388" t="s">
        <v>529</v>
      </c>
      <c r="BG4" s="1388" t="s">
        <v>530</v>
      </c>
      <c r="BH4" s="1388" t="s">
        <v>531</v>
      </c>
      <c r="BI4" s="1388" t="s">
        <v>532</v>
      </c>
      <c r="BJ4" s="1388" t="s">
        <v>935</v>
      </c>
      <c r="BK4" s="1388" t="s">
        <v>936</v>
      </c>
      <c r="BL4" s="1388" t="s">
        <v>937</v>
      </c>
      <c r="BM4" s="1388" t="s">
        <v>938</v>
      </c>
      <c r="BN4" s="1388" t="s">
        <v>939</v>
      </c>
      <c r="BO4" s="1388" t="s">
        <v>940</v>
      </c>
      <c r="BP4" s="1388" t="s">
        <v>941</v>
      </c>
      <c r="BQ4" s="1388" t="s">
        <v>942</v>
      </c>
      <c r="BR4" s="1388" t="s">
        <v>943</v>
      </c>
      <c r="BS4" s="1388" t="s">
        <v>944</v>
      </c>
      <c r="BT4" s="1388" t="s">
        <v>2596</v>
      </c>
      <c r="BU4" s="1388" t="s">
        <v>2597</v>
      </c>
      <c r="BV4" s="1388" t="s">
        <v>2598</v>
      </c>
      <c r="BW4" s="1388" t="s">
        <v>2599</v>
      </c>
      <c r="BX4" s="1388" t="s">
        <v>2600</v>
      </c>
      <c r="BY4" s="1388" t="s">
        <v>120</v>
      </c>
      <c r="BZ4" s="1388" t="s">
        <v>1220</v>
      </c>
      <c r="CA4" s="1388" t="s">
        <v>1221</v>
      </c>
      <c r="CB4" s="1388" t="s">
        <v>1290</v>
      </c>
      <c r="CC4" s="1388" t="s">
        <v>1291</v>
      </c>
      <c r="CD4" s="1387" t="s">
        <v>135</v>
      </c>
      <c r="CE4" s="1387" t="s">
        <v>1292</v>
      </c>
      <c r="CF4" s="1387" t="s">
        <v>1293</v>
      </c>
      <c r="CG4" s="1387" t="s">
        <v>1294</v>
      </c>
      <c r="CH4" s="1387" t="s">
        <v>1295</v>
      </c>
      <c r="CI4" s="1387" t="s">
        <v>134</v>
      </c>
      <c r="CJ4" s="1387" t="s">
        <v>967</v>
      </c>
      <c r="CK4" s="1387" t="s">
        <v>968</v>
      </c>
      <c r="CL4" s="1387" t="s">
        <v>969</v>
      </c>
      <c r="CM4" s="1387" t="s">
        <v>970</v>
      </c>
      <c r="CN4" s="1387" t="s">
        <v>133</v>
      </c>
      <c r="CO4" s="1387" t="s">
        <v>971</v>
      </c>
      <c r="CP4" s="1387" t="s">
        <v>972</v>
      </c>
      <c r="CQ4" s="1387" t="s">
        <v>973</v>
      </c>
      <c r="CR4" s="1387" t="s">
        <v>974</v>
      </c>
      <c r="CS4" s="1387" t="s">
        <v>863</v>
      </c>
      <c r="CT4" s="1387" t="s">
        <v>864</v>
      </c>
      <c r="CU4" s="1387" t="s">
        <v>865</v>
      </c>
      <c r="CV4" s="1387" t="s">
        <v>866</v>
      </c>
      <c r="CW4" s="1387" t="s">
        <v>867</v>
      </c>
      <c r="CX4" s="1387" t="s">
        <v>1014</v>
      </c>
      <c r="CY4" s="1387" t="s">
        <v>1015</v>
      </c>
      <c r="CZ4" s="1387" t="s">
        <v>1016</v>
      </c>
      <c r="DA4" s="1387" t="s">
        <v>1017</v>
      </c>
      <c r="DB4" s="1387" t="s">
        <v>2595</v>
      </c>
      <c r="DC4" s="1387" t="s">
        <v>1527</v>
      </c>
      <c r="DD4" s="1387" t="s">
        <v>1528</v>
      </c>
      <c r="DE4" s="1387" t="s">
        <v>1529</v>
      </c>
      <c r="DF4" s="1387" t="s">
        <v>1530</v>
      </c>
      <c r="DG4" s="1387" t="s">
        <v>1531</v>
      </c>
      <c r="DH4" s="1387" t="s">
        <v>458</v>
      </c>
      <c r="DI4" s="1387" t="s">
        <v>459</v>
      </c>
      <c r="DJ4" s="1387" t="s">
        <v>460</v>
      </c>
      <c r="DK4" s="1387" t="s">
        <v>461</v>
      </c>
      <c r="DL4" s="1387" t="s">
        <v>462</v>
      </c>
      <c r="DM4" s="1387" t="s">
        <v>18</v>
      </c>
      <c r="DN4" s="1387" t="s">
        <v>19</v>
      </c>
      <c r="DO4" s="1387" t="s">
        <v>20</v>
      </c>
      <c r="DP4" s="1387" t="s">
        <v>21</v>
      </c>
      <c r="DQ4" s="1387" t="s">
        <v>22</v>
      </c>
      <c r="DR4" s="1387" t="s">
        <v>233</v>
      </c>
      <c r="DS4" s="1387" t="s">
        <v>234</v>
      </c>
      <c r="DT4" s="1387" t="s">
        <v>235</v>
      </c>
      <c r="DU4" s="1387" t="s">
        <v>1938</v>
      </c>
      <c r="DV4" s="1387" t="s">
        <v>1939</v>
      </c>
      <c r="DW4" s="1387" t="s">
        <v>1940</v>
      </c>
      <c r="DX4" s="1387" t="s">
        <v>630</v>
      </c>
      <c r="DY4" s="1387" t="s">
        <v>631</v>
      </c>
      <c r="DZ4" s="1387" t="s">
        <v>632</v>
      </c>
      <c r="EA4" s="1387" t="s">
        <v>633</v>
      </c>
      <c r="EB4" s="1387" t="s">
        <v>23</v>
      </c>
      <c r="EC4" s="1387" t="s">
        <v>24</v>
      </c>
      <c r="ED4" s="1387" t="s">
        <v>25</v>
      </c>
      <c r="EE4" s="1387" t="s">
        <v>26</v>
      </c>
      <c r="EF4" s="1387" t="s">
        <v>27</v>
      </c>
      <c r="EG4" s="1387" t="s">
        <v>527</v>
      </c>
      <c r="EH4" s="1387" t="s">
        <v>454</v>
      </c>
      <c r="EI4" s="1387" t="s">
        <v>455</v>
      </c>
      <c r="EJ4" s="1387" t="s">
        <v>456</v>
      </c>
      <c r="EK4" s="1387" t="s">
        <v>457</v>
      </c>
      <c r="EL4" s="1387" t="s">
        <v>2353</v>
      </c>
      <c r="EM4" s="1387" t="s">
        <v>2354</v>
      </c>
      <c r="EN4" s="1387" t="s">
        <v>2355</v>
      </c>
      <c r="EO4" s="1387" t="s">
        <v>1578</v>
      </c>
      <c r="EP4" s="1387" t="s">
        <v>1579</v>
      </c>
      <c r="EQ4" s="1387" t="s">
        <v>28</v>
      </c>
      <c r="ER4" s="1387" t="s">
        <v>29</v>
      </c>
      <c r="ES4" s="1387" t="s">
        <v>30</v>
      </c>
      <c r="ET4" s="1387" t="s">
        <v>31</v>
      </c>
      <c r="EU4" s="1387"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7" t="s">
        <v>1735</v>
      </c>
      <c r="GP4" s="1387" t="s">
        <v>2698</v>
      </c>
      <c r="GQ4" s="1387" t="s">
        <v>2699</v>
      </c>
      <c r="GR4" s="1387" t="s">
        <v>405</v>
      </c>
      <c r="GS4" s="1387" t="s">
        <v>406</v>
      </c>
      <c r="GT4" s="1387" t="s">
        <v>407</v>
      </c>
      <c r="GU4" s="1387" t="s">
        <v>408</v>
      </c>
      <c r="GV4" s="1387" t="s">
        <v>409</v>
      </c>
      <c r="GW4" s="1387" t="s">
        <v>410</v>
      </c>
      <c r="GX4" s="1387" t="s">
        <v>411</v>
      </c>
      <c r="GY4" s="1387" t="s">
        <v>210</v>
      </c>
      <c r="GZ4" s="1387" t="s">
        <v>211</v>
      </c>
      <c r="HA4" s="1387" t="s">
        <v>212</v>
      </c>
      <c r="HB4" s="1387" t="s">
        <v>213</v>
      </c>
      <c r="HC4" s="1387" t="s">
        <v>214</v>
      </c>
      <c r="HD4" s="1387" t="s">
        <v>215</v>
      </c>
      <c r="HE4" s="1387" t="s">
        <v>216</v>
      </c>
      <c r="HF4" s="1387" t="s">
        <v>217</v>
      </c>
      <c r="HG4" s="1387" t="s">
        <v>218</v>
      </c>
      <c r="HH4" s="1387" t="s">
        <v>219</v>
      </c>
      <c r="HI4" s="1387" t="s">
        <v>220</v>
      </c>
      <c r="HJ4" s="1387" t="s">
        <v>221</v>
      </c>
      <c r="HK4" s="1387" t="s">
        <v>222</v>
      </c>
      <c r="HL4" s="1387" t="s">
        <v>223</v>
      </c>
      <c r="HM4" s="1387" t="s">
        <v>224</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737"/>
      <c r="N5" s="1166" t="s">
        <v>613</v>
      </c>
      <c r="P5" s="1159" t="s">
        <v>1097</v>
      </c>
      <c r="Q5" s="513"/>
      <c r="R5" s="513"/>
      <c r="S5" s="513"/>
      <c r="V5" s="1388"/>
      <c r="W5" s="1388"/>
      <c r="X5" s="1388"/>
      <c r="Y5" s="1388"/>
      <c r="Z5" s="1388"/>
      <c r="AA5" s="1388"/>
      <c r="AB5" s="1388"/>
      <c r="AC5" s="1388"/>
      <c r="AD5" s="1388"/>
      <c r="AE5" s="1388"/>
      <c r="AF5" s="1388"/>
      <c r="AG5" s="1388"/>
      <c r="AH5" s="1388"/>
      <c r="AI5" s="1388"/>
      <c r="AJ5" s="1388"/>
      <c r="AK5" s="1388"/>
      <c r="AL5" s="1388"/>
      <c r="AM5" s="1388"/>
      <c r="AN5" s="1388"/>
      <c r="AO5" s="1388"/>
      <c r="AP5" s="1388"/>
      <c r="AQ5" s="1388"/>
      <c r="AR5" s="1388"/>
      <c r="AS5" s="1388"/>
      <c r="AT5" s="1388"/>
      <c r="AU5" s="1388"/>
      <c r="AV5" s="1388"/>
      <c r="AW5" s="1388"/>
      <c r="AX5" s="1388"/>
      <c r="AY5" s="1388"/>
      <c r="AZ5" s="1388"/>
      <c r="BA5" s="1388"/>
      <c r="BB5" s="1388"/>
      <c r="BC5" s="1388"/>
      <c r="BD5" s="1388"/>
      <c r="BE5" s="1388"/>
      <c r="BF5" s="1388"/>
      <c r="BG5" s="1388"/>
      <c r="BH5" s="1388"/>
      <c r="BI5" s="1388"/>
      <c r="BJ5" s="1388"/>
      <c r="BK5" s="1388"/>
      <c r="BL5" s="1388"/>
      <c r="BM5" s="1388"/>
      <c r="BN5" s="1388"/>
      <c r="BO5" s="1388"/>
      <c r="BP5" s="1388"/>
      <c r="BQ5" s="1388"/>
      <c r="BR5" s="1388"/>
      <c r="BS5" s="1388"/>
      <c r="BT5" s="1388"/>
      <c r="BU5" s="1388"/>
      <c r="BV5" s="1388"/>
      <c r="BW5" s="1388"/>
      <c r="BX5" s="1388"/>
      <c r="BY5" s="1388"/>
      <c r="BZ5" s="1388"/>
      <c r="CA5" s="1388"/>
      <c r="CB5" s="1388"/>
      <c r="CC5" s="1388"/>
      <c r="CD5" s="1387"/>
      <c r="CE5" s="1387"/>
      <c r="CF5" s="1387"/>
      <c r="CG5" s="1387"/>
      <c r="CH5" s="1387"/>
      <c r="CI5" s="1387"/>
      <c r="CJ5" s="1387"/>
      <c r="CK5" s="1387"/>
      <c r="CL5" s="1387"/>
      <c r="CM5" s="1387"/>
      <c r="CN5" s="1387"/>
      <c r="CO5" s="1387"/>
      <c r="CP5" s="1387"/>
      <c r="CQ5" s="1387"/>
      <c r="CR5" s="1387"/>
      <c r="CS5" s="1387"/>
      <c r="CT5" s="1387"/>
      <c r="CU5" s="1387"/>
      <c r="CV5" s="1387"/>
      <c r="CW5" s="1387"/>
      <c r="CX5" s="1387"/>
      <c r="CY5" s="1387"/>
      <c r="CZ5" s="1387"/>
      <c r="DA5" s="1387"/>
      <c r="DB5" s="1387"/>
      <c r="DC5" s="1387"/>
      <c r="DD5" s="1387"/>
      <c r="DE5" s="1387"/>
      <c r="DF5" s="1387"/>
      <c r="DG5" s="1387"/>
      <c r="DH5" s="1387"/>
      <c r="DI5" s="1387"/>
      <c r="DJ5" s="1387"/>
      <c r="DK5" s="1387"/>
      <c r="DL5" s="1387"/>
      <c r="DM5" s="1387"/>
      <c r="DN5" s="1387"/>
      <c r="DO5" s="1387"/>
      <c r="DP5" s="1387"/>
      <c r="DQ5" s="1387"/>
      <c r="DR5" s="1387"/>
      <c r="DS5" s="1387"/>
      <c r="DT5" s="1387"/>
      <c r="DU5" s="1387"/>
      <c r="DV5" s="1387"/>
      <c r="DW5" s="1387"/>
      <c r="DX5" s="1387"/>
      <c r="DY5" s="1387"/>
      <c r="DZ5" s="1387"/>
      <c r="EA5" s="1387"/>
      <c r="EB5" s="1387"/>
      <c r="EC5" s="1387"/>
      <c r="ED5" s="1387"/>
      <c r="EE5" s="1387"/>
      <c r="EF5" s="1387"/>
      <c r="EG5" s="1387"/>
      <c r="EH5" s="1387"/>
      <c r="EI5" s="1387"/>
      <c r="EJ5" s="1387"/>
      <c r="EK5" s="1387"/>
      <c r="EL5" s="1387"/>
      <c r="EM5" s="1387"/>
      <c r="EN5" s="1387"/>
      <c r="EO5" s="1387"/>
      <c r="EP5" s="1387"/>
      <c r="EQ5" s="1387"/>
      <c r="ER5" s="1387"/>
      <c r="ES5" s="1387"/>
      <c r="ET5" s="1387"/>
      <c r="EU5" s="1387"/>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7"/>
      <c r="GP5" s="1387"/>
      <c r="GQ5" s="1387"/>
      <c r="GR5" s="1387"/>
      <c r="GS5" s="1387"/>
      <c r="GT5" s="1387"/>
      <c r="GU5" s="1387"/>
      <c r="GV5" s="1387"/>
      <c r="GW5" s="1387"/>
      <c r="GX5" s="1387"/>
      <c r="GY5" s="1387"/>
      <c r="GZ5" s="1387"/>
      <c r="HA5" s="1387"/>
      <c r="HB5" s="1387"/>
      <c r="HC5" s="1387"/>
      <c r="HD5" s="1387"/>
      <c r="HE5" s="1387"/>
      <c r="HF5" s="1387"/>
      <c r="HG5" s="1387"/>
      <c r="HH5" s="1387"/>
      <c r="HI5" s="1387"/>
      <c r="HJ5" s="1387"/>
      <c r="HK5" s="1387"/>
      <c r="HL5" s="1387"/>
      <c r="HM5" s="1387"/>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38" t="s">
        <v>3702</v>
      </c>
      <c r="J6" s="1157" t="s">
        <v>2569</v>
      </c>
      <c r="N6" s="1391" t="str">
        <f>'Part I-Project Information'!$O$29</f>
        <v>Atlanta-Sandy Springs-Marietta</v>
      </c>
      <c r="O6" s="1391"/>
      <c r="P6" s="516">
        <f>VLOOKUP('Part I-Project Information'!$O$29,'DCA Underwriting Assumptions'!$C$82:$D$192,2)</f>
        <v>64400</v>
      </c>
      <c r="Q6" s="568"/>
      <c r="R6" s="1393" t="s">
        <v>2931</v>
      </c>
      <c r="S6" s="1393"/>
      <c r="V6" s="1388"/>
      <c r="W6" s="1388"/>
      <c r="X6" s="1388"/>
      <c r="Y6" s="1388"/>
      <c r="Z6" s="1388"/>
      <c r="AA6" s="1388"/>
      <c r="AB6" s="1388"/>
      <c r="AC6" s="1388"/>
      <c r="AD6" s="1388"/>
      <c r="AE6" s="1388"/>
      <c r="AF6" s="1388"/>
      <c r="AG6" s="1388"/>
      <c r="AH6" s="1388"/>
      <c r="AI6" s="1388"/>
      <c r="AJ6" s="1388"/>
      <c r="AK6" s="1388"/>
      <c r="AL6" s="1388"/>
      <c r="AM6" s="1388"/>
      <c r="AN6" s="1388"/>
      <c r="AO6" s="1388"/>
      <c r="AP6" s="1388"/>
      <c r="AQ6" s="1388"/>
      <c r="AR6" s="1388"/>
      <c r="AS6" s="1388"/>
      <c r="AT6" s="1388"/>
      <c r="AU6" s="1388"/>
      <c r="AV6" s="1388"/>
      <c r="AW6" s="1388"/>
      <c r="AX6" s="1388"/>
      <c r="AY6" s="1388"/>
      <c r="AZ6" s="1388"/>
      <c r="BA6" s="1388"/>
      <c r="BB6" s="1388"/>
      <c r="BC6" s="1388"/>
      <c r="BD6" s="1388"/>
      <c r="BE6" s="1388"/>
      <c r="BF6" s="1388"/>
      <c r="BG6" s="1388"/>
      <c r="BH6" s="1388"/>
      <c r="BI6" s="1388"/>
      <c r="BJ6" s="1388"/>
      <c r="BK6" s="1388"/>
      <c r="BL6" s="1388"/>
      <c r="BM6" s="1388"/>
      <c r="BN6" s="1388"/>
      <c r="BO6" s="1388"/>
      <c r="BP6" s="1388"/>
      <c r="BQ6" s="1388"/>
      <c r="BR6" s="1388"/>
      <c r="BS6" s="1388"/>
      <c r="BT6" s="1388"/>
      <c r="BU6" s="1388"/>
      <c r="BV6" s="1388"/>
      <c r="BW6" s="1388"/>
      <c r="BX6" s="1388"/>
      <c r="BY6" s="1388"/>
      <c r="BZ6" s="1388"/>
      <c r="CA6" s="1388"/>
      <c r="CB6" s="1388"/>
      <c r="CC6" s="1388"/>
      <c r="CD6" s="1387"/>
      <c r="CE6" s="1387"/>
      <c r="CF6" s="1387"/>
      <c r="CG6" s="1387"/>
      <c r="CH6" s="1387"/>
      <c r="CI6" s="1387"/>
      <c r="CJ6" s="1387"/>
      <c r="CK6" s="1387"/>
      <c r="CL6" s="1387"/>
      <c r="CM6" s="1387"/>
      <c r="CN6" s="1387"/>
      <c r="CO6" s="1387"/>
      <c r="CP6" s="1387"/>
      <c r="CQ6" s="1387"/>
      <c r="CR6" s="1387"/>
      <c r="CS6" s="1387"/>
      <c r="CT6" s="1387"/>
      <c r="CU6" s="1387"/>
      <c r="CV6" s="1387"/>
      <c r="CW6" s="1387"/>
      <c r="CX6" s="1387"/>
      <c r="CY6" s="1387"/>
      <c r="CZ6" s="1387"/>
      <c r="DA6" s="1387"/>
      <c r="DB6" s="1387"/>
      <c r="DC6" s="1387"/>
      <c r="DD6" s="1387"/>
      <c r="DE6" s="1387"/>
      <c r="DF6" s="1387"/>
      <c r="DG6" s="1387"/>
      <c r="DH6" s="1387"/>
      <c r="DI6" s="1387"/>
      <c r="DJ6" s="1387"/>
      <c r="DK6" s="1387"/>
      <c r="DL6" s="1387"/>
      <c r="DM6" s="1387"/>
      <c r="DN6" s="1387"/>
      <c r="DO6" s="1387"/>
      <c r="DP6" s="1387"/>
      <c r="DQ6" s="1387"/>
      <c r="DR6" s="1387"/>
      <c r="DS6" s="1387"/>
      <c r="DT6" s="1387"/>
      <c r="DU6" s="1387"/>
      <c r="DV6" s="1387"/>
      <c r="DW6" s="1387"/>
      <c r="DX6" s="1387"/>
      <c r="DY6" s="1387"/>
      <c r="DZ6" s="1387"/>
      <c r="EA6" s="1387"/>
      <c r="EB6" s="1387"/>
      <c r="EC6" s="1387"/>
      <c r="ED6" s="1387"/>
      <c r="EE6" s="1387"/>
      <c r="EF6" s="1387"/>
      <c r="EG6" s="1387"/>
      <c r="EH6" s="1387"/>
      <c r="EI6" s="1387"/>
      <c r="EJ6" s="1387"/>
      <c r="EK6" s="1387"/>
      <c r="EL6" s="1387"/>
      <c r="EM6" s="1387"/>
      <c r="EN6" s="1387"/>
      <c r="EO6" s="1387"/>
      <c r="EP6" s="1387"/>
      <c r="EQ6" s="1387"/>
      <c r="ER6" s="1387"/>
      <c r="ES6" s="1387"/>
      <c r="ET6" s="1387"/>
      <c r="EU6" s="1387"/>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7"/>
      <c r="GP6" s="1387"/>
      <c r="GQ6" s="1387"/>
      <c r="GR6" s="1387"/>
      <c r="GS6" s="1387"/>
      <c r="GT6" s="1387"/>
      <c r="GU6" s="1387"/>
      <c r="GV6" s="1387"/>
      <c r="GW6" s="1387"/>
      <c r="GX6" s="1387"/>
      <c r="GY6" s="1387"/>
      <c r="GZ6" s="1387"/>
      <c r="HA6" s="1387"/>
      <c r="HB6" s="1387"/>
      <c r="HC6" s="1387"/>
      <c r="HD6" s="1387"/>
      <c r="HE6" s="1387"/>
      <c r="HF6" s="1387"/>
      <c r="HG6" s="1387"/>
      <c r="HH6" s="1387"/>
      <c r="HI6" s="1387"/>
      <c r="HJ6" s="1387"/>
      <c r="HK6" s="1387"/>
      <c r="HL6" s="1387"/>
      <c r="HM6" s="1387"/>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0" t="str">
        <f>IF(A48&gt;0,"Finish!","")</f>
        <v/>
      </c>
      <c r="B7" s="5"/>
      <c r="C7" s="1"/>
      <c r="D7" s="5"/>
      <c r="E7" s="1"/>
      <c r="F7" s="1"/>
      <c r="G7" s="1"/>
      <c r="H7" s="1"/>
      <c r="I7" s="1"/>
      <c r="J7" s="1157" t="s">
        <v>2570</v>
      </c>
      <c r="K7" s="1"/>
      <c r="L7" s="1"/>
      <c r="M7" s="1"/>
      <c r="N7" s="37"/>
      <c r="O7" s="37"/>
      <c r="P7" s="1178"/>
      <c r="Q7" s="1178"/>
      <c r="R7" s="602"/>
      <c r="S7" s="1180" t="s">
        <v>2928</v>
      </c>
      <c r="T7" s="512"/>
      <c r="U7" s="513"/>
      <c r="V7" s="1388"/>
      <c r="W7" s="1388"/>
      <c r="X7" s="1388"/>
      <c r="Y7" s="1388"/>
      <c r="Z7" s="1388"/>
      <c r="AA7" s="1388"/>
      <c r="AB7" s="1388"/>
      <c r="AC7" s="1388"/>
      <c r="AD7" s="1388"/>
      <c r="AE7" s="1388"/>
      <c r="AF7" s="1388"/>
      <c r="AG7" s="1388"/>
      <c r="AH7" s="1388"/>
      <c r="AI7" s="1388"/>
      <c r="AJ7" s="1388"/>
      <c r="AK7" s="1388"/>
      <c r="AL7" s="1388"/>
      <c r="AM7" s="1388"/>
      <c r="AN7" s="1388"/>
      <c r="AO7" s="1388"/>
      <c r="AP7" s="1388"/>
      <c r="AQ7" s="1388"/>
      <c r="AR7" s="1388"/>
      <c r="AS7" s="1388"/>
      <c r="AT7" s="1388"/>
      <c r="AU7" s="1388"/>
      <c r="AV7" s="1388"/>
      <c r="AW7" s="1388"/>
      <c r="AX7" s="1388"/>
      <c r="AY7" s="1388"/>
      <c r="AZ7" s="1388"/>
      <c r="BA7" s="1388"/>
      <c r="BB7" s="1388"/>
      <c r="BC7" s="1388"/>
      <c r="BD7" s="1388"/>
      <c r="BE7" s="1388"/>
      <c r="BF7" s="1388"/>
      <c r="BG7" s="1388"/>
      <c r="BH7" s="1388"/>
      <c r="BI7" s="1388"/>
      <c r="BJ7" s="1388"/>
      <c r="BK7" s="1388"/>
      <c r="BL7" s="1388"/>
      <c r="BM7" s="1388"/>
      <c r="BN7" s="1388"/>
      <c r="BO7" s="1388"/>
      <c r="BP7" s="1388"/>
      <c r="BQ7" s="1388"/>
      <c r="BR7" s="1388"/>
      <c r="BS7" s="1388"/>
      <c r="BT7" s="1388"/>
      <c r="BU7" s="1388"/>
      <c r="BV7" s="1388"/>
      <c r="BW7" s="1388"/>
      <c r="BX7" s="1388"/>
      <c r="BY7" s="1388"/>
      <c r="BZ7" s="1388"/>
      <c r="CA7" s="1388"/>
      <c r="CB7" s="1388"/>
      <c r="CC7" s="1388"/>
      <c r="CD7" s="1387"/>
      <c r="CE7" s="1387"/>
      <c r="CF7" s="1387"/>
      <c r="CG7" s="1387"/>
      <c r="CH7" s="1387"/>
      <c r="CI7" s="1387"/>
      <c r="CJ7" s="1387"/>
      <c r="CK7" s="1387"/>
      <c r="CL7" s="1387"/>
      <c r="CM7" s="1387"/>
      <c r="CN7" s="1387"/>
      <c r="CO7" s="1387"/>
      <c r="CP7" s="1387"/>
      <c r="CQ7" s="1387"/>
      <c r="CR7" s="1387"/>
      <c r="CS7" s="1387"/>
      <c r="CT7" s="1387"/>
      <c r="CU7" s="1387"/>
      <c r="CV7" s="1387"/>
      <c r="CW7" s="1387"/>
      <c r="CX7" s="1387"/>
      <c r="CY7" s="1387"/>
      <c r="CZ7" s="1387"/>
      <c r="DA7" s="1387"/>
      <c r="DB7" s="1387"/>
      <c r="DC7" s="1387"/>
      <c r="DD7" s="1387"/>
      <c r="DE7" s="1387"/>
      <c r="DF7" s="1387"/>
      <c r="DG7" s="1387"/>
      <c r="DH7" s="1387"/>
      <c r="DI7" s="1387"/>
      <c r="DJ7" s="1387"/>
      <c r="DK7" s="1387"/>
      <c r="DL7" s="1387"/>
      <c r="DM7" s="1387"/>
      <c r="DN7" s="1387"/>
      <c r="DO7" s="1387"/>
      <c r="DP7" s="1387"/>
      <c r="DQ7" s="1387"/>
      <c r="DR7" s="1387"/>
      <c r="DS7" s="1387"/>
      <c r="DT7" s="1387"/>
      <c r="DU7" s="1387"/>
      <c r="DV7" s="1387"/>
      <c r="DW7" s="1387"/>
      <c r="DX7" s="1387"/>
      <c r="DY7" s="1387"/>
      <c r="DZ7" s="1387"/>
      <c r="EA7" s="1387"/>
      <c r="EB7" s="1387"/>
      <c r="EC7" s="1387"/>
      <c r="ED7" s="1387"/>
      <c r="EE7" s="1387"/>
      <c r="EF7" s="1387"/>
      <c r="EG7" s="1387"/>
      <c r="EH7" s="1387"/>
      <c r="EI7" s="1387"/>
      <c r="EJ7" s="1387"/>
      <c r="EK7" s="1387"/>
      <c r="EL7" s="1387"/>
      <c r="EM7" s="1387"/>
      <c r="EN7" s="1387"/>
      <c r="EO7" s="1387"/>
      <c r="EP7" s="1387"/>
      <c r="EQ7" s="1387"/>
      <c r="ER7" s="1387"/>
      <c r="ES7" s="1387"/>
      <c r="ET7" s="1387"/>
      <c r="EU7" s="1387"/>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7"/>
      <c r="GP7" s="1387"/>
      <c r="GQ7" s="1387"/>
      <c r="GR7" s="1387"/>
      <c r="GS7" s="1387"/>
      <c r="GT7" s="1387"/>
      <c r="GU7" s="1387"/>
      <c r="GV7" s="1387"/>
      <c r="GW7" s="1387"/>
      <c r="GX7" s="1387"/>
      <c r="GY7" s="1387"/>
      <c r="GZ7" s="1387"/>
      <c r="HA7" s="1387"/>
      <c r="HB7" s="1387"/>
      <c r="HC7" s="1387"/>
      <c r="HD7" s="1387"/>
      <c r="HE7" s="1387"/>
      <c r="HF7" s="1387"/>
      <c r="HG7" s="1387"/>
      <c r="HH7" s="1387"/>
      <c r="HI7" s="1387"/>
      <c r="HJ7" s="1387"/>
      <c r="HK7" s="1387"/>
      <c r="HL7" s="1387"/>
      <c r="HM7" s="1387"/>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0"/>
      <c r="B8" s="191" t="s">
        <v>1577</v>
      </c>
      <c r="C8" s="1157" t="s">
        <v>179</v>
      </c>
      <c r="D8" s="1157" t="s">
        <v>578</v>
      </c>
      <c r="E8" s="1157" t="s">
        <v>1575</v>
      </c>
      <c r="F8" s="1157" t="s">
        <v>1575</v>
      </c>
      <c r="G8" s="1157" t="s">
        <v>2547</v>
      </c>
      <c r="H8" s="1157" t="s">
        <v>2545</v>
      </c>
      <c r="I8" s="1157" t="s">
        <v>852</v>
      </c>
      <c r="J8" s="1157" t="s">
        <v>2571</v>
      </c>
      <c r="K8" s="1389" t="s">
        <v>148</v>
      </c>
      <c r="L8" s="1389"/>
      <c r="M8" s="1157" t="s">
        <v>2523</v>
      </c>
      <c r="N8" s="1157" t="s">
        <v>565</v>
      </c>
      <c r="O8" s="1157" t="s">
        <v>402</v>
      </c>
      <c r="P8" s="1392" t="s">
        <v>1104</v>
      </c>
      <c r="Q8" s="1392"/>
      <c r="R8" s="1158" t="s">
        <v>2927</v>
      </c>
      <c r="S8" s="1158" t="s">
        <v>2929</v>
      </c>
      <c r="T8" s="514"/>
      <c r="U8" s="515"/>
      <c r="V8" s="1388"/>
      <c r="W8" s="1388"/>
      <c r="X8" s="1388"/>
      <c r="Y8" s="1388"/>
      <c r="Z8" s="1388"/>
      <c r="AA8" s="1388"/>
      <c r="AB8" s="1388"/>
      <c r="AC8" s="1388"/>
      <c r="AD8" s="1388"/>
      <c r="AE8" s="1388"/>
      <c r="AF8" s="1388"/>
      <c r="AG8" s="1388"/>
      <c r="AH8" s="1388"/>
      <c r="AI8" s="1388"/>
      <c r="AJ8" s="1388"/>
      <c r="AK8" s="1388"/>
      <c r="AL8" s="1388"/>
      <c r="AM8" s="1388"/>
      <c r="AN8" s="1388"/>
      <c r="AO8" s="1388"/>
      <c r="AP8" s="1388"/>
      <c r="AQ8" s="1388"/>
      <c r="AR8" s="1388"/>
      <c r="AS8" s="1388"/>
      <c r="AT8" s="1388"/>
      <c r="AU8" s="1388"/>
      <c r="AV8" s="1388"/>
      <c r="AW8" s="1388"/>
      <c r="AX8" s="1388"/>
      <c r="AY8" s="1388"/>
      <c r="AZ8" s="1388"/>
      <c r="BA8" s="1388"/>
      <c r="BB8" s="1388"/>
      <c r="BC8" s="1388"/>
      <c r="BD8" s="1388"/>
      <c r="BE8" s="1388"/>
      <c r="BF8" s="1388"/>
      <c r="BG8" s="1388"/>
      <c r="BH8" s="1388"/>
      <c r="BI8" s="1388"/>
      <c r="BJ8" s="1388"/>
      <c r="BK8" s="1388"/>
      <c r="BL8" s="1388"/>
      <c r="BM8" s="1388"/>
      <c r="BN8" s="1388"/>
      <c r="BO8" s="1388"/>
      <c r="BP8" s="1388"/>
      <c r="BQ8" s="1388"/>
      <c r="BR8" s="1388"/>
      <c r="BS8" s="1388"/>
      <c r="BT8" s="1388"/>
      <c r="BU8" s="1388"/>
      <c r="BV8" s="1388"/>
      <c r="BW8" s="1388"/>
      <c r="BX8" s="1388"/>
      <c r="BY8" s="1388"/>
      <c r="BZ8" s="1388"/>
      <c r="CA8" s="1388"/>
      <c r="CB8" s="1388"/>
      <c r="CC8" s="1388"/>
      <c r="CD8" s="1387"/>
      <c r="CE8" s="1387"/>
      <c r="CF8" s="1387"/>
      <c r="CG8" s="1387"/>
      <c r="CH8" s="1387"/>
      <c r="CI8" s="1387"/>
      <c r="CJ8" s="1387"/>
      <c r="CK8" s="1387"/>
      <c r="CL8" s="1387"/>
      <c r="CM8" s="1387"/>
      <c r="CN8" s="1387"/>
      <c r="CO8" s="1387"/>
      <c r="CP8" s="1387"/>
      <c r="CQ8" s="1387"/>
      <c r="CR8" s="1387"/>
      <c r="CS8" s="1387"/>
      <c r="CT8" s="1387"/>
      <c r="CU8" s="1387"/>
      <c r="CV8" s="1387"/>
      <c r="CW8" s="1387"/>
      <c r="CX8" s="1387"/>
      <c r="CY8" s="1387"/>
      <c r="CZ8" s="1387"/>
      <c r="DA8" s="1387"/>
      <c r="DB8" s="1387"/>
      <c r="DC8" s="1387"/>
      <c r="DD8" s="1387"/>
      <c r="DE8" s="1387"/>
      <c r="DF8" s="1387"/>
      <c r="DG8" s="1387"/>
      <c r="DH8" s="1387"/>
      <c r="DI8" s="1387"/>
      <c r="DJ8" s="1387"/>
      <c r="DK8" s="1387"/>
      <c r="DL8" s="1387"/>
      <c r="DM8" s="1387"/>
      <c r="DN8" s="1387"/>
      <c r="DO8" s="1387"/>
      <c r="DP8" s="1387"/>
      <c r="DQ8" s="1387"/>
      <c r="DR8" s="1387"/>
      <c r="DS8" s="1387"/>
      <c r="DT8" s="1387"/>
      <c r="DU8" s="1387"/>
      <c r="DV8" s="1387"/>
      <c r="DW8" s="1387"/>
      <c r="DX8" s="1387"/>
      <c r="DY8" s="1387"/>
      <c r="DZ8" s="1387"/>
      <c r="EA8" s="1387"/>
      <c r="EB8" s="1387"/>
      <c r="EC8" s="1387"/>
      <c r="ED8" s="1387"/>
      <c r="EE8" s="1387"/>
      <c r="EF8" s="1387"/>
      <c r="EG8" s="1387"/>
      <c r="EH8" s="1387"/>
      <c r="EI8" s="1387"/>
      <c r="EJ8" s="1387"/>
      <c r="EK8" s="1387"/>
      <c r="EL8" s="1387"/>
      <c r="EM8" s="1387"/>
      <c r="EN8" s="1387"/>
      <c r="EO8" s="1387"/>
      <c r="EP8" s="1387"/>
      <c r="EQ8" s="1387"/>
      <c r="ER8" s="1387"/>
      <c r="ES8" s="1387"/>
      <c r="ET8" s="1387"/>
      <c r="EU8" s="1387"/>
      <c r="EV8" s="1387" t="s">
        <v>1558</v>
      </c>
      <c r="EW8" s="575" t="s">
        <v>2606</v>
      </c>
      <c r="EX8" s="575" t="s">
        <v>2607</v>
      </c>
      <c r="EY8" s="575" t="s">
        <v>2608</v>
      </c>
      <c r="EZ8" s="575" t="s">
        <v>2609</v>
      </c>
      <c r="FA8" s="1387" t="s">
        <v>2667</v>
      </c>
      <c r="FB8" s="1387" t="s">
        <v>2667</v>
      </c>
      <c r="FC8" s="1387" t="s">
        <v>2667</v>
      </c>
      <c r="FD8" s="1387" t="s">
        <v>2667</v>
      </c>
      <c r="FE8" s="1387" t="s">
        <v>2667</v>
      </c>
      <c r="FF8" s="575" t="s">
        <v>516</v>
      </c>
      <c r="FG8" s="575" t="s">
        <v>2606</v>
      </c>
      <c r="FH8" s="575" t="s">
        <v>2607</v>
      </c>
      <c r="FI8" s="575" t="s">
        <v>2608</v>
      </c>
      <c r="FJ8" s="575" t="s">
        <v>2609</v>
      </c>
      <c r="FK8" s="1387" t="s">
        <v>2669</v>
      </c>
      <c r="FL8" s="1387" t="s">
        <v>2669</v>
      </c>
      <c r="FM8" s="1387" t="s">
        <v>2669</v>
      </c>
      <c r="FN8" s="1387" t="s">
        <v>2669</v>
      </c>
      <c r="FO8" s="1387" t="s">
        <v>2669</v>
      </c>
      <c r="FP8" s="1387" t="s">
        <v>377</v>
      </c>
      <c r="FQ8" s="1387" t="s">
        <v>377</v>
      </c>
      <c r="FR8" s="1387" t="s">
        <v>377</v>
      </c>
      <c r="FS8" s="1387" t="s">
        <v>377</v>
      </c>
      <c r="FT8" s="1387" t="s">
        <v>377</v>
      </c>
      <c r="FU8" s="1387" t="s">
        <v>378</v>
      </c>
      <c r="FV8" s="1387" t="s">
        <v>378</v>
      </c>
      <c r="FW8" s="1387" t="s">
        <v>378</v>
      </c>
      <c r="FX8" s="1387" t="s">
        <v>378</v>
      </c>
      <c r="FY8" s="1387" t="s">
        <v>378</v>
      </c>
      <c r="FZ8" s="1387" t="s">
        <v>379</v>
      </c>
      <c r="GA8" s="1387" t="s">
        <v>379</v>
      </c>
      <c r="GB8" s="1387" t="s">
        <v>379</v>
      </c>
      <c r="GC8" s="1387" t="s">
        <v>379</v>
      </c>
      <c r="GD8" s="1387" t="s">
        <v>379</v>
      </c>
      <c r="GE8" s="1387" t="s">
        <v>380</v>
      </c>
      <c r="GF8" s="1387" t="s">
        <v>380</v>
      </c>
      <c r="GG8" s="1387" t="s">
        <v>380</v>
      </c>
      <c r="GH8" s="1387" t="s">
        <v>380</v>
      </c>
      <c r="GI8" s="1387" t="s">
        <v>380</v>
      </c>
      <c r="GJ8" s="1387" t="s">
        <v>1557</v>
      </c>
      <c r="GK8" s="1387" t="s">
        <v>1557</v>
      </c>
      <c r="GL8" s="1387" t="s">
        <v>1557</v>
      </c>
      <c r="GM8" s="1387" t="s">
        <v>1557</v>
      </c>
      <c r="GN8" s="1387" t="s">
        <v>1557</v>
      </c>
      <c r="GO8" s="1387"/>
      <c r="GP8" s="1387"/>
      <c r="GQ8" s="1387"/>
      <c r="GR8" s="1387"/>
      <c r="GS8" s="1387"/>
      <c r="GT8" s="1387"/>
      <c r="GU8" s="1387"/>
      <c r="GV8" s="1387"/>
      <c r="GW8" s="1387"/>
      <c r="GX8" s="1387"/>
      <c r="GY8" s="1387"/>
      <c r="GZ8" s="1387"/>
      <c r="HA8" s="1387"/>
      <c r="HB8" s="1387"/>
      <c r="HC8" s="1387"/>
      <c r="HD8" s="1387"/>
      <c r="HE8" s="1387"/>
      <c r="HF8" s="1387"/>
      <c r="HG8" s="1387"/>
      <c r="HH8" s="1387"/>
      <c r="HI8" s="1387"/>
      <c r="HJ8" s="1387"/>
      <c r="HK8" s="1387"/>
      <c r="HL8" s="1387"/>
      <c r="HM8" s="1387"/>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0"/>
      <c r="B9" s="191" t="s">
        <v>1382</v>
      </c>
      <c r="C9" s="1157" t="s">
        <v>178</v>
      </c>
      <c r="D9" s="1157" t="s">
        <v>180</v>
      </c>
      <c r="E9" s="1157" t="s">
        <v>1576</v>
      </c>
      <c r="F9" s="1157" t="s">
        <v>1359</v>
      </c>
      <c r="G9" s="1157" t="s">
        <v>1360</v>
      </c>
      <c r="H9" s="1157" t="s">
        <v>2546</v>
      </c>
      <c r="I9" s="1157" t="s">
        <v>853</v>
      </c>
      <c r="J9" s="567" t="s">
        <v>368</v>
      </c>
      <c r="K9" s="1157" t="s">
        <v>1636</v>
      </c>
      <c r="L9" s="1157" t="s">
        <v>572</v>
      </c>
      <c r="M9" s="1157" t="s">
        <v>1575</v>
      </c>
      <c r="N9" s="1157" t="s">
        <v>1382</v>
      </c>
      <c r="O9" s="1157" t="s">
        <v>403</v>
      </c>
      <c r="P9" s="1158" t="s">
        <v>1102</v>
      </c>
      <c r="Q9" s="1158" t="s">
        <v>1103</v>
      </c>
      <c r="R9" s="1158" t="s">
        <v>1577</v>
      </c>
      <c r="S9" s="1158" t="s">
        <v>2930</v>
      </c>
      <c r="T9" s="1255" t="s">
        <v>1975</v>
      </c>
      <c r="U9" s="1255"/>
      <c r="V9" s="1388"/>
      <c r="W9" s="1388"/>
      <c r="X9" s="1388"/>
      <c r="Y9" s="1388"/>
      <c r="Z9" s="1388"/>
      <c r="AA9" s="1388"/>
      <c r="AB9" s="1388"/>
      <c r="AC9" s="1388"/>
      <c r="AD9" s="1388"/>
      <c r="AE9" s="1388"/>
      <c r="AF9" s="1388"/>
      <c r="AG9" s="1388"/>
      <c r="AH9" s="1388"/>
      <c r="AI9" s="1388"/>
      <c r="AJ9" s="1388"/>
      <c r="AK9" s="1388"/>
      <c r="AL9" s="1388"/>
      <c r="AM9" s="1388"/>
      <c r="AN9" s="1388"/>
      <c r="AO9" s="1388"/>
      <c r="AP9" s="1388"/>
      <c r="AQ9" s="1388"/>
      <c r="AR9" s="1388"/>
      <c r="AS9" s="1388"/>
      <c r="AT9" s="1388"/>
      <c r="AU9" s="1388"/>
      <c r="AV9" s="1388"/>
      <c r="AW9" s="1388"/>
      <c r="AX9" s="1388"/>
      <c r="AY9" s="1388"/>
      <c r="AZ9" s="1388"/>
      <c r="BA9" s="1388"/>
      <c r="BB9" s="1388"/>
      <c r="BC9" s="1388"/>
      <c r="BD9" s="1388"/>
      <c r="BE9" s="1388"/>
      <c r="BF9" s="1388"/>
      <c r="BG9" s="1388"/>
      <c r="BH9" s="1388"/>
      <c r="BI9" s="1388"/>
      <c r="BJ9" s="1388"/>
      <c r="BK9" s="1388"/>
      <c r="BL9" s="1388"/>
      <c r="BM9" s="1388"/>
      <c r="BN9" s="1388"/>
      <c r="BO9" s="1388"/>
      <c r="BP9" s="1388"/>
      <c r="BQ9" s="1388"/>
      <c r="BR9" s="1388"/>
      <c r="BS9" s="1388"/>
      <c r="BT9" s="1388"/>
      <c r="BU9" s="1388"/>
      <c r="BV9" s="1388"/>
      <c r="BW9" s="1388"/>
      <c r="BX9" s="1388"/>
      <c r="BY9" s="1388"/>
      <c r="BZ9" s="1388"/>
      <c r="CA9" s="1388"/>
      <c r="CB9" s="1388"/>
      <c r="CC9" s="1388"/>
      <c r="CD9" s="1387"/>
      <c r="CE9" s="1387"/>
      <c r="CF9" s="1387"/>
      <c r="CG9" s="1387"/>
      <c r="CH9" s="1387"/>
      <c r="CI9" s="1387"/>
      <c r="CJ9" s="1387"/>
      <c r="CK9" s="1387"/>
      <c r="CL9" s="1387"/>
      <c r="CM9" s="1387"/>
      <c r="CN9" s="1387"/>
      <c r="CO9" s="1387"/>
      <c r="CP9" s="1387"/>
      <c r="CQ9" s="1387"/>
      <c r="CR9" s="1387"/>
      <c r="CS9" s="1387"/>
      <c r="CT9" s="1387"/>
      <c r="CU9" s="1387"/>
      <c r="CV9" s="1387"/>
      <c r="CW9" s="1387"/>
      <c r="CX9" s="1387"/>
      <c r="CY9" s="1387"/>
      <c r="CZ9" s="1387"/>
      <c r="DA9" s="1387"/>
      <c r="DB9" s="1387"/>
      <c r="DC9" s="1387"/>
      <c r="DD9" s="1387"/>
      <c r="DE9" s="1387"/>
      <c r="DF9" s="1387"/>
      <c r="DG9" s="1387"/>
      <c r="DH9" s="1387"/>
      <c r="DI9" s="1387"/>
      <c r="DJ9" s="1387"/>
      <c r="DK9" s="1387"/>
      <c r="DL9" s="1387"/>
      <c r="DM9" s="1387"/>
      <c r="DN9" s="1387"/>
      <c r="DO9" s="1387"/>
      <c r="DP9" s="1387"/>
      <c r="DQ9" s="1387"/>
      <c r="DR9" s="1387"/>
      <c r="DS9" s="1387"/>
      <c r="DT9" s="1387"/>
      <c r="DU9" s="1387"/>
      <c r="DV9" s="1387"/>
      <c r="DW9" s="1387"/>
      <c r="DX9" s="1387"/>
      <c r="DY9" s="1387"/>
      <c r="DZ9" s="1387"/>
      <c r="EA9" s="1387"/>
      <c r="EB9" s="1387"/>
      <c r="EC9" s="1387"/>
      <c r="ED9" s="1387"/>
      <c r="EE9" s="1387"/>
      <c r="EF9" s="1387"/>
      <c r="EG9" s="1387"/>
      <c r="EH9" s="1387"/>
      <c r="EI9" s="1387"/>
      <c r="EJ9" s="1387"/>
      <c r="EK9" s="1387"/>
      <c r="EL9" s="1387"/>
      <c r="EM9" s="1387"/>
      <c r="EN9" s="1387"/>
      <c r="EO9" s="1387"/>
      <c r="EP9" s="1387"/>
      <c r="EQ9" s="1387"/>
      <c r="ER9" s="1387"/>
      <c r="ES9" s="1387"/>
      <c r="ET9" s="1387"/>
      <c r="EU9" s="1387"/>
      <c r="EV9" s="1387"/>
      <c r="EW9" s="575" t="s">
        <v>2666</v>
      </c>
      <c r="EX9" s="575" t="s">
        <v>2666</v>
      </c>
      <c r="EY9" s="575" t="s">
        <v>2666</v>
      </c>
      <c r="EZ9" s="575" t="s">
        <v>2666</v>
      </c>
      <c r="FA9" s="1387"/>
      <c r="FB9" s="1387"/>
      <c r="FC9" s="1387"/>
      <c r="FD9" s="1387"/>
      <c r="FE9" s="1387"/>
      <c r="FF9" s="575" t="s">
        <v>2668</v>
      </c>
      <c r="FG9" s="575" t="s">
        <v>2668</v>
      </c>
      <c r="FH9" s="575" t="s">
        <v>2668</v>
      </c>
      <c r="FI9" s="575" t="s">
        <v>2668</v>
      </c>
      <c r="FJ9" s="575" t="s">
        <v>2668</v>
      </c>
      <c r="FK9" s="1387"/>
      <c r="FL9" s="1387"/>
      <c r="FM9" s="1387"/>
      <c r="FN9" s="1387"/>
      <c r="FO9" s="1387"/>
      <c r="FP9" s="1387"/>
      <c r="FQ9" s="1387"/>
      <c r="FR9" s="1387"/>
      <c r="FS9" s="1387"/>
      <c r="FT9" s="1387"/>
      <c r="FU9" s="1387"/>
      <c r="FV9" s="1387"/>
      <c r="FW9" s="1387"/>
      <c r="FX9" s="1387"/>
      <c r="FY9" s="1387"/>
      <c r="FZ9" s="1387"/>
      <c r="GA9" s="1387"/>
      <c r="GB9" s="1387"/>
      <c r="GC9" s="1387"/>
      <c r="GD9" s="1387"/>
      <c r="GE9" s="1387"/>
      <c r="GF9" s="1387"/>
      <c r="GG9" s="1387"/>
      <c r="GH9" s="1387"/>
      <c r="GI9" s="1387"/>
      <c r="GJ9" s="1387"/>
      <c r="GK9" s="1387"/>
      <c r="GL9" s="1387"/>
      <c r="GM9" s="1387"/>
      <c r="GN9" s="1387"/>
      <c r="GO9" s="1387"/>
      <c r="GP9" s="1387"/>
      <c r="GQ9" s="1387"/>
      <c r="GR9" s="1387"/>
      <c r="GS9" s="1387"/>
      <c r="GT9" s="1387"/>
      <c r="GU9" s="1387"/>
      <c r="GV9" s="1387"/>
      <c r="GW9" s="1387"/>
      <c r="GX9" s="1387"/>
      <c r="GY9" s="1387"/>
      <c r="GZ9" s="1387"/>
      <c r="HA9" s="1387"/>
      <c r="HB9" s="1387"/>
      <c r="HC9" s="1387"/>
      <c r="HD9" s="1387"/>
      <c r="HE9" s="1387"/>
      <c r="HF9" s="1387"/>
      <c r="HG9" s="1387"/>
      <c r="HH9" s="1387"/>
      <c r="HI9" s="1387"/>
      <c r="HJ9" s="1387"/>
      <c r="HK9" s="1387"/>
      <c r="HL9" s="1387"/>
      <c r="HM9" s="1387"/>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39" t="s">
        <v>121</v>
      </c>
      <c r="C10" s="1740">
        <v>1</v>
      </c>
      <c r="D10" s="1741">
        <v>1</v>
      </c>
      <c r="E10" s="1742">
        <v>2</v>
      </c>
      <c r="F10" s="1742">
        <v>728</v>
      </c>
      <c r="G10" s="1742">
        <v>604</v>
      </c>
      <c r="H10" s="1742">
        <v>737</v>
      </c>
      <c r="I10" s="1742">
        <v>109</v>
      </c>
      <c r="J10" s="1743" t="s">
        <v>3753</v>
      </c>
      <c r="K10" s="197">
        <f>MAX(0,H10-I10)</f>
        <v>628</v>
      </c>
      <c r="L10" s="197">
        <f t="shared" ref="L10:L47" si="0">MAX(0,E10*K10)</f>
        <v>1256</v>
      </c>
      <c r="M10" s="1744" t="s">
        <v>3703</v>
      </c>
      <c r="N10" s="1744" t="s">
        <v>3754</v>
      </c>
      <c r="O10" s="1744" t="s">
        <v>2446</v>
      </c>
      <c r="P10" s="517">
        <f>IF(H10="","",H10*12/0.3)</f>
        <v>29480</v>
      </c>
      <c r="Q10" s="518">
        <f>IF(H10="","",P10/($P$6*VLOOKUP(C10,'DCA Underwriting Assumptions'!$J$82:$K$87,2,FALSE)))</f>
        <v>0.61035196687370596</v>
      </c>
      <c r="R10" s="603"/>
      <c r="S10" s="518"/>
      <c r="T10" s="1745"/>
      <c r="U10" s="1746"/>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2</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f>IF(OR(AND($C10=1,NOT($J10=""),NOT($J10=0),NOT($J10="PHA Oper Sub"),$B10="50% AMI",NOT($M10="Common")),AND($C10=1,NOT($J10=""),NOT($J10=0),NOT($J10="PHA Oper Sub"),$B10="HOME 50% AMI",NOT($M10="Common"))),$E10,"")</f>
        <v>2</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1456</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f t="shared" ref="CT10:CT47" si="47">IF(AND(C10=1,NOT(J10=""),NOT($J10=0),NOT(M10="Common")),E10*F10,"")</f>
        <v>1456</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2</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2</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f t="shared" ref="GK10:GK47" si="142">IF(AND($C10=1, $N10="3+ Story"),$E10,"")</f>
        <v>2</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47" t="s">
        <v>121</v>
      </c>
      <c r="C11" s="1748">
        <v>1</v>
      </c>
      <c r="D11" s="1749">
        <v>1</v>
      </c>
      <c r="E11" s="1750">
        <v>3</v>
      </c>
      <c r="F11" s="1750">
        <v>680</v>
      </c>
      <c r="G11" s="1750">
        <v>604</v>
      </c>
      <c r="H11" s="1750">
        <v>737</v>
      </c>
      <c r="I11" s="1750">
        <v>109</v>
      </c>
      <c r="J11" s="1751" t="s">
        <v>3753</v>
      </c>
      <c r="K11" s="198">
        <f t="shared" ref="K11:K27" si="172">MAX(0,H11-I11)</f>
        <v>628</v>
      </c>
      <c r="L11" s="198">
        <f t="shared" si="0"/>
        <v>1884</v>
      </c>
      <c r="M11" s="1752" t="s">
        <v>3703</v>
      </c>
      <c r="N11" s="1752" t="s">
        <v>3754</v>
      </c>
      <c r="O11" s="1752" t="s">
        <v>2446</v>
      </c>
      <c r="P11" s="517">
        <f>IF(H11="","",H11*12/0.3)</f>
        <v>29480</v>
      </c>
      <c r="Q11" s="518">
        <f>IF(H11="","",P11/($P$6*VLOOKUP(C11,'DCA Underwriting Assumptions'!$J$82:$K$87,2,FALSE)))</f>
        <v>0.61035196687370596</v>
      </c>
      <c r="R11" s="603"/>
      <c r="S11" s="518"/>
      <c r="T11" s="1753"/>
      <c r="U11" s="1754"/>
      <c r="V11" s="566" t="str">
        <f t="shared" si="1"/>
        <v/>
      </c>
      <c r="W11" s="566" t="str">
        <f t="shared" si="2"/>
        <v/>
      </c>
      <c r="X11" s="566" t="str">
        <f t="shared" si="3"/>
        <v/>
      </c>
      <c r="Y11" s="566" t="str">
        <f t="shared" si="4"/>
        <v/>
      </c>
      <c r="Z11" s="566" t="str">
        <f t="shared" si="5"/>
        <v/>
      </c>
      <c r="AA11" s="566" t="str">
        <f t="shared" si="6"/>
        <v/>
      </c>
      <c r="AB11" s="566">
        <f t="shared" si="7"/>
        <v>3</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f t="shared" ref="AV11:AV47" si="179">IF(OR(AND($C11=1,NOT($J11=""),NOT($J11=0),NOT($J11="PHA Oper Sub"),$B11="50% AMI",NOT($M11="Common")),AND($C11=1,NOT($J11=""),NOT($J11=0),NOT($J11="PHA Oper Sub"),$B11="HOME 50% AMI",NOT($M11="Common"))),$E11,"")</f>
        <v>3</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t="str">
        <f t="shared" si="31"/>
        <v/>
      </c>
      <c r="CE11" s="566">
        <f t="shared" si="32"/>
        <v>2040</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f t="shared" si="47"/>
        <v>2040</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3</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3</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f t="shared" si="142"/>
        <v>3</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47" t="s">
        <v>121</v>
      </c>
      <c r="C12" s="1748">
        <v>2</v>
      </c>
      <c r="D12" s="1749">
        <v>1</v>
      </c>
      <c r="E12" s="1750">
        <v>2</v>
      </c>
      <c r="F12" s="1750">
        <v>886</v>
      </c>
      <c r="G12" s="1750">
        <v>725</v>
      </c>
      <c r="H12" s="1750">
        <v>789</v>
      </c>
      <c r="I12" s="1750">
        <v>176</v>
      </c>
      <c r="J12" s="1751" t="s">
        <v>3753</v>
      </c>
      <c r="K12" s="198">
        <f t="shared" si="172"/>
        <v>613</v>
      </c>
      <c r="L12" s="198">
        <f t="shared" si="0"/>
        <v>1226</v>
      </c>
      <c r="M12" s="1752" t="s">
        <v>3703</v>
      </c>
      <c r="N12" s="1752" t="s">
        <v>3754</v>
      </c>
      <c r="O12" s="1752" t="s">
        <v>2446</v>
      </c>
      <c r="P12" s="517">
        <f>IF(H12="","",H12*12/0.3)</f>
        <v>31560</v>
      </c>
      <c r="Q12" s="518">
        <f>IF(H12="","",P12/($P$6*VLOOKUP(C12,'DCA Underwriting Assumptions'!$J$82:$K$87,2,FALSE)))</f>
        <v>0.54451345755693581</v>
      </c>
      <c r="R12" s="603"/>
      <c r="S12" s="518"/>
      <c r="T12" s="1753"/>
      <c r="U12" s="1754"/>
      <c r="V12" s="566" t="str">
        <f t="shared" si="1"/>
        <v/>
      </c>
      <c r="W12" s="566" t="str">
        <f t="shared" si="2"/>
        <v/>
      </c>
      <c r="X12" s="566" t="str">
        <f t="shared" si="3"/>
        <v/>
      </c>
      <c r="Y12" s="566" t="str">
        <f t="shared" si="4"/>
        <v/>
      </c>
      <c r="Z12" s="566" t="str">
        <f t="shared" si="5"/>
        <v/>
      </c>
      <c r="AA12" s="566" t="str">
        <f t="shared" si="6"/>
        <v/>
      </c>
      <c r="AB12" s="566" t="str">
        <f t="shared" si="7"/>
        <v/>
      </c>
      <c r="AC12" s="566">
        <f t="shared" si="8"/>
        <v>2</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f t="shared" si="180"/>
        <v>2</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f t="shared" si="33"/>
        <v>1772</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f t="shared" si="48"/>
        <v>1772</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f t="shared" si="58"/>
        <v>2</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f t="shared" si="103"/>
        <v>2</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f t="shared" si="143"/>
        <v>2</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47" t="s">
        <v>121</v>
      </c>
      <c r="C13" s="1748">
        <v>2</v>
      </c>
      <c r="D13" s="1749">
        <v>1</v>
      </c>
      <c r="E13" s="1750">
        <v>2</v>
      </c>
      <c r="F13" s="1750">
        <v>860</v>
      </c>
      <c r="G13" s="1750">
        <v>725</v>
      </c>
      <c r="H13" s="1750">
        <v>789</v>
      </c>
      <c r="I13" s="1750">
        <v>176</v>
      </c>
      <c r="J13" s="1751" t="s">
        <v>3753</v>
      </c>
      <c r="K13" s="198">
        <f t="shared" si="172"/>
        <v>613</v>
      </c>
      <c r="L13" s="198">
        <f t="shared" si="0"/>
        <v>1226</v>
      </c>
      <c r="M13" s="1752" t="s">
        <v>3703</v>
      </c>
      <c r="N13" s="1752" t="s">
        <v>3754</v>
      </c>
      <c r="O13" s="1752" t="s">
        <v>2446</v>
      </c>
      <c r="P13" s="517">
        <f>IF(H13="","",H13*12/0.3)</f>
        <v>31560</v>
      </c>
      <c r="Q13" s="518">
        <f>IF(H13="","",P13/($P$6*VLOOKUP(C13,'DCA Underwriting Assumptions'!$J$82:$K$87,2,FALSE)))</f>
        <v>0.54451345755693581</v>
      </c>
      <c r="R13" s="603"/>
      <c r="S13" s="518"/>
      <c r="T13" s="1753"/>
      <c r="U13" s="1754"/>
      <c r="V13" s="566" t="str">
        <f t="shared" si="1"/>
        <v/>
      </c>
      <c r="W13" s="566" t="str">
        <f t="shared" si="2"/>
        <v/>
      </c>
      <c r="X13" s="566" t="str">
        <f t="shared" si="3"/>
        <v/>
      </c>
      <c r="Y13" s="566" t="str">
        <f t="shared" si="4"/>
        <v/>
      </c>
      <c r="Z13" s="566" t="str">
        <f t="shared" si="5"/>
        <v/>
      </c>
      <c r="AA13" s="566" t="str">
        <f t="shared" si="6"/>
        <v/>
      </c>
      <c r="AB13" s="566" t="str">
        <f t="shared" si="7"/>
        <v/>
      </c>
      <c r="AC13" s="566">
        <f t="shared" si="8"/>
        <v>2</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f t="shared" si="180"/>
        <v>2</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t="str">
        <f t="shared" si="28"/>
        <v/>
      </c>
      <c r="CB13" s="566" t="str">
        <f t="shared" si="29"/>
        <v/>
      </c>
      <c r="CC13" s="566" t="str">
        <f t="shared" si="30"/>
        <v/>
      </c>
      <c r="CD13" s="566" t="str">
        <f t="shared" si="31"/>
        <v/>
      </c>
      <c r="CE13" s="566" t="str">
        <f t="shared" si="32"/>
        <v/>
      </c>
      <c r="CF13" s="566">
        <f t="shared" si="33"/>
        <v>1720</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f t="shared" si="48"/>
        <v>1720</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2</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2</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f t="shared" si="143"/>
        <v>2</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47" t="s">
        <v>121</v>
      </c>
      <c r="C14" s="1748">
        <v>2</v>
      </c>
      <c r="D14" s="1749">
        <v>2</v>
      </c>
      <c r="E14" s="1750">
        <v>4</v>
      </c>
      <c r="F14" s="1750">
        <v>1047</v>
      </c>
      <c r="G14" s="1750">
        <v>725</v>
      </c>
      <c r="H14" s="1750">
        <v>789</v>
      </c>
      <c r="I14" s="1750">
        <v>176</v>
      </c>
      <c r="J14" s="1751" t="s">
        <v>3753</v>
      </c>
      <c r="K14" s="198">
        <f t="shared" si="172"/>
        <v>613</v>
      </c>
      <c r="L14" s="198">
        <f t="shared" si="0"/>
        <v>2452</v>
      </c>
      <c r="M14" s="1752" t="s">
        <v>3703</v>
      </c>
      <c r="N14" s="1752" t="s">
        <v>3754</v>
      </c>
      <c r="O14" s="1752" t="s">
        <v>2446</v>
      </c>
      <c r="P14" s="517">
        <f>IF(H14="","",H14*12/0.3)</f>
        <v>31560</v>
      </c>
      <c r="Q14" s="518">
        <f>IF(H14="","",P14/($P$6*VLOOKUP(C14,'DCA Underwriting Assumptions'!$J$82:$K$87,2,FALSE)))</f>
        <v>0.54451345755693581</v>
      </c>
      <c r="R14" s="603"/>
      <c r="S14" s="518"/>
      <c r="T14" s="1753"/>
      <c r="U14" s="1754"/>
      <c r="V14" s="566" t="str">
        <f t="shared" si="1"/>
        <v/>
      </c>
      <c r="W14" s="566" t="str">
        <f t="shared" si="2"/>
        <v/>
      </c>
      <c r="X14" s="566" t="str">
        <f t="shared" si="3"/>
        <v/>
      </c>
      <c r="Y14" s="566" t="str">
        <f t="shared" si="4"/>
        <v/>
      </c>
      <c r="Z14" s="566" t="str">
        <f t="shared" si="5"/>
        <v/>
      </c>
      <c r="AA14" s="566" t="str">
        <f t="shared" si="6"/>
        <v/>
      </c>
      <c r="AB14" s="566" t="str">
        <f t="shared" si="7"/>
        <v/>
      </c>
      <c r="AC14" s="566">
        <f t="shared" si="8"/>
        <v>4</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f t="shared" si="180"/>
        <v>4</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f t="shared" si="33"/>
        <v>4188</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f t="shared" si="48"/>
        <v>4188</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f t="shared" si="58"/>
        <v>4</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f t="shared" si="103"/>
        <v>4</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f t="shared" si="143"/>
        <v>4</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47" t="s">
        <v>121</v>
      </c>
      <c r="C15" s="1748">
        <v>3</v>
      </c>
      <c r="D15" s="1749">
        <v>2</v>
      </c>
      <c r="E15" s="1750">
        <v>2</v>
      </c>
      <c r="F15" s="1750">
        <v>1309</v>
      </c>
      <c r="G15" s="1750">
        <v>837</v>
      </c>
      <c r="H15" s="1750">
        <v>823</v>
      </c>
      <c r="I15" s="1750">
        <v>200</v>
      </c>
      <c r="J15" s="1751" t="s">
        <v>3753</v>
      </c>
      <c r="K15" s="198">
        <f t="shared" si="172"/>
        <v>623</v>
      </c>
      <c r="L15" s="198">
        <f t="shared" si="0"/>
        <v>1246</v>
      </c>
      <c r="M15" s="1752" t="s">
        <v>3703</v>
      </c>
      <c r="N15" s="1752" t="s">
        <v>3754</v>
      </c>
      <c r="O15" s="1752" t="s">
        <v>2446</v>
      </c>
      <c r="P15" s="517">
        <f t="shared" ref="P15:P47" si="203">IF(H15="","",H15*12/0.3)</f>
        <v>32920</v>
      </c>
      <c r="Q15" s="518">
        <f>IF(H15="","",P15/($P$6*VLOOKUP(C15,'DCA Underwriting Assumptions'!$J$82:$K$87,2,FALSE)))</f>
        <v>0.49151935021500237</v>
      </c>
      <c r="R15" s="603"/>
      <c r="S15" s="518"/>
      <c r="T15" s="1753"/>
      <c r="U15" s="1754"/>
      <c r="V15" s="566" t="str">
        <f t="shared" si="1"/>
        <v/>
      </c>
      <c r="W15" s="566" t="str">
        <f t="shared" si="2"/>
        <v/>
      </c>
      <c r="X15" s="566" t="str">
        <f t="shared" si="3"/>
        <v/>
      </c>
      <c r="Y15" s="566" t="str">
        <f t="shared" si="4"/>
        <v/>
      </c>
      <c r="Z15" s="566" t="str">
        <f t="shared" si="5"/>
        <v/>
      </c>
      <c r="AA15" s="566" t="str">
        <f t="shared" si="6"/>
        <v/>
      </c>
      <c r="AB15" s="566" t="str">
        <f t="shared" si="7"/>
        <v/>
      </c>
      <c r="AC15" s="566" t="str">
        <f t="shared" si="8"/>
        <v/>
      </c>
      <c r="AD15" s="566">
        <f t="shared" si="9"/>
        <v>2</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f t="shared" si="181"/>
        <v>2</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t="str">
        <f t="shared" si="33"/>
        <v/>
      </c>
      <c r="CG15" s="566">
        <f t="shared" si="34"/>
        <v>2618</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f t="shared" si="49"/>
        <v>2618</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f t="shared" si="59"/>
        <v>2</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f t="shared" si="104"/>
        <v>2</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t="str">
        <f t="shared" si="143"/>
        <v/>
      </c>
      <c r="GM15" s="576">
        <f t="shared" si="144"/>
        <v>2</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47" t="s">
        <v>1218</v>
      </c>
      <c r="C16" s="1748">
        <v>1</v>
      </c>
      <c r="D16" s="1749">
        <v>1</v>
      </c>
      <c r="E16" s="1750">
        <v>4</v>
      </c>
      <c r="F16" s="1750">
        <v>728</v>
      </c>
      <c r="G16" s="1750">
        <v>725</v>
      </c>
      <c r="H16" s="1750">
        <v>737</v>
      </c>
      <c r="I16" s="1750">
        <v>109</v>
      </c>
      <c r="J16" s="1751" t="s">
        <v>3753</v>
      </c>
      <c r="K16" s="198">
        <f t="shared" si="172"/>
        <v>628</v>
      </c>
      <c r="L16" s="198">
        <f t="shared" si="0"/>
        <v>2512</v>
      </c>
      <c r="M16" s="1752" t="s">
        <v>3703</v>
      </c>
      <c r="N16" s="1752" t="s">
        <v>3754</v>
      </c>
      <c r="O16" s="1752" t="s">
        <v>2446</v>
      </c>
      <c r="P16" s="517">
        <f t="shared" si="203"/>
        <v>29480</v>
      </c>
      <c r="Q16" s="518">
        <f>IF(H16="","",P16/($P$6*VLOOKUP(C16,'DCA Underwriting Assumptions'!$J$82:$K$87,2,FALSE)))</f>
        <v>0.61035196687370596</v>
      </c>
      <c r="R16" s="603"/>
      <c r="S16" s="518"/>
      <c r="T16" s="1753"/>
      <c r="U16" s="1754"/>
      <c r="V16" s="566" t="str">
        <f t="shared" si="1"/>
        <v/>
      </c>
      <c r="W16" s="566">
        <f t="shared" si="2"/>
        <v>4</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f t="shared" si="184"/>
        <v>4</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f t="shared" si="27"/>
        <v>2912</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f t="shared" si="47"/>
        <v>2912</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f t="shared" si="57"/>
        <v>4</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f t="shared" si="102"/>
        <v>4</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f t="shared" si="142"/>
        <v>4</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47" t="s">
        <v>1218</v>
      </c>
      <c r="C17" s="1748">
        <v>1</v>
      </c>
      <c r="D17" s="1749">
        <v>1</v>
      </c>
      <c r="E17" s="1750">
        <v>15</v>
      </c>
      <c r="F17" s="1750">
        <v>680</v>
      </c>
      <c r="G17" s="1750">
        <v>725</v>
      </c>
      <c r="H17" s="1750">
        <v>737</v>
      </c>
      <c r="I17" s="1750">
        <v>109</v>
      </c>
      <c r="J17" s="1751" t="s">
        <v>3753</v>
      </c>
      <c r="K17" s="198">
        <f t="shared" si="172"/>
        <v>628</v>
      </c>
      <c r="L17" s="198">
        <f t="shared" si="0"/>
        <v>9420</v>
      </c>
      <c r="M17" s="1752" t="s">
        <v>3703</v>
      </c>
      <c r="N17" s="1752" t="s">
        <v>3754</v>
      </c>
      <c r="O17" s="1752" t="s">
        <v>2446</v>
      </c>
      <c r="P17" s="517">
        <f t="shared" si="203"/>
        <v>29480</v>
      </c>
      <c r="Q17" s="518">
        <f>IF(H17="","",P17/($P$6*VLOOKUP(C17,'DCA Underwriting Assumptions'!$J$82:$K$87,2,FALSE)))</f>
        <v>0.61035196687370596</v>
      </c>
      <c r="R17" s="603"/>
      <c r="S17" s="518"/>
      <c r="T17" s="1753"/>
      <c r="U17" s="1754"/>
      <c r="V17" s="566" t="str">
        <f t="shared" si="1"/>
        <v/>
      </c>
      <c r="W17" s="566">
        <f t="shared" si="2"/>
        <v>15</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f t="shared" si="184"/>
        <v>15</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f t="shared" si="27"/>
        <v>10200</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f t="shared" si="47"/>
        <v>10200</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f t="shared" si="57"/>
        <v>15</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f t="shared" si="102"/>
        <v>15</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f t="shared" si="142"/>
        <v>15</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47" t="s">
        <v>1218</v>
      </c>
      <c r="C18" s="1748">
        <v>2</v>
      </c>
      <c r="D18" s="1749">
        <v>1</v>
      </c>
      <c r="E18" s="1750">
        <v>4</v>
      </c>
      <c r="F18" s="1750">
        <v>886</v>
      </c>
      <c r="G18" s="1750">
        <v>870</v>
      </c>
      <c r="H18" s="1750">
        <v>789</v>
      </c>
      <c r="I18" s="1750">
        <v>176</v>
      </c>
      <c r="J18" s="1751" t="s">
        <v>3753</v>
      </c>
      <c r="K18" s="198">
        <f t="shared" si="172"/>
        <v>613</v>
      </c>
      <c r="L18" s="198">
        <f t="shared" si="0"/>
        <v>2452</v>
      </c>
      <c r="M18" s="1752" t="s">
        <v>3703</v>
      </c>
      <c r="N18" s="1752" t="s">
        <v>3754</v>
      </c>
      <c r="O18" s="1752" t="s">
        <v>2446</v>
      </c>
      <c r="P18" s="517">
        <f t="shared" si="203"/>
        <v>31560</v>
      </c>
      <c r="Q18" s="518">
        <f>IF(H18="","",P18/($P$6*VLOOKUP(C18,'DCA Underwriting Assumptions'!$J$82:$K$87,2,FALSE)))</f>
        <v>0.54451345755693581</v>
      </c>
      <c r="R18" s="603"/>
      <c r="S18" s="518"/>
      <c r="T18" s="1753"/>
      <c r="U18" s="1754"/>
      <c r="V18" s="566" t="str">
        <f t="shared" si="1"/>
        <v/>
      </c>
      <c r="W18" s="566" t="str">
        <f t="shared" si="2"/>
        <v/>
      </c>
      <c r="X18" s="566">
        <f t="shared" si="3"/>
        <v>4</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f t="shared" si="185"/>
        <v>4</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f t="shared" si="28"/>
        <v>3544</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f t="shared" si="48"/>
        <v>3544</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f t="shared" si="58"/>
        <v>4</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f t="shared" si="103"/>
        <v>4</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f t="shared" si="143"/>
        <v>4</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47" t="s">
        <v>1218</v>
      </c>
      <c r="C19" s="1748">
        <v>2</v>
      </c>
      <c r="D19" s="1749">
        <v>1</v>
      </c>
      <c r="E19" s="1750">
        <v>4</v>
      </c>
      <c r="F19" s="1750">
        <v>860</v>
      </c>
      <c r="G19" s="1750">
        <v>870</v>
      </c>
      <c r="H19" s="1750">
        <v>789</v>
      </c>
      <c r="I19" s="1750">
        <v>176</v>
      </c>
      <c r="J19" s="1751" t="s">
        <v>3753</v>
      </c>
      <c r="K19" s="198">
        <f t="shared" si="172"/>
        <v>613</v>
      </c>
      <c r="L19" s="198">
        <f t="shared" si="0"/>
        <v>2452</v>
      </c>
      <c r="M19" s="1752" t="s">
        <v>3703</v>
      </c>
      <c r="N19" s="1752" t="s">
        <v>3754</v>
      </c>
      <c r="O19" s="1752" t="s">
        <v>2446</v>
      </c>
      <c r="P19" s="517">
        <f t="shared" si="203"/>
        <v>31560</v>
      </c>
      <c r="Q19" s="518">
        <f>IF(H19="","",P19/($P$6*VLOOKUP(C19,'DCA Underwriting Assumptions'!$J$82:$K$87,2,FALSE)))</f>
        <v>0.54451345755693581</v>
      </c>
      <c r="R19" s="603"/>
      <c r="S19" s="518"/>
      <c r="T19" s="1753"/>
      <c r="U19" s="1754"/>
      <c r="V19" s="566" t="str">
        <f t="shared" si="1"/>
        <v/>
      </c>
      <c r="W19" s="566" t="str">
        <f t="shared" si="2"/>
        <v/>
      </c>
      <c r="X19" s="566">
        <f t="shared" si="3"/>
        <v>4</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f t="shared" si="185"/>
        <v>4</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f t="shared" si="28"/>
        <v>3440</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f t="shared" si="48"/>
        <v>3440</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f t="shared" si="58"/>
        <v>4</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f t="shared" si="103"/>
        <v>4</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f t="shared" si="143"/>
        <v>4</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47" t="s">
        <v>1218</v>
      </c>
      <c r="C20" s="1748">
        <v>2</v>
      </c>
      <c r="D20" s="1749">
        <v>2</v>
      </c>
      <c r="E20" s="1750">
        <v>14</v>
      </c>
      <c r="F20" s="1750">
        <v>1047</v>
      </c>
      <c r="G20" s="1750">
        <v>870</v>
      </c>
      <c r="H20" s="1750">
        <v>789</v>
      </c>
      <c r="I20" s="1750">
        <v>176</v>
      </c>
      <c r="J20" s="1751" t="s">
        <v>3753</v>
      </c>
      <c r="K20" s="198">
        <f t="shared" si="172"/>
        <v>613</v>
      </c>
      <c r="L20" s="198">
        <f t="shared" si="0"/>
        <v>8582</v>
      </c>
      <c r="M20" s="1752" t="s">
        <v>3703</v>
      </c>
      <c r="N20" s="1752" t="s">
        <v>3754</v>
      </c>
      <c r="O20" s="1752" t="s">
        <v>2446</v>
      </c>
      <c r="P20" s="517">
        <f t="shared" si="203"/>
        <v>31560</v>
      </c>
      <c r="Q20" s="518">
        <f>IF(H20="","",P20/($P$6*VLOOKUP(C20,'DCA Underwriting Assumptions'!$J$82:$K$87,2,FALSE)))</f>
        <v>0.54451345755693581</v>
      </c>
      <c r="R20" s="603"/>
      <c r="S20" s="518"/>
      <c r="T20" s="1753"/>
      <c r="U20" s="1754"/>
      <c r="V20" s="566" t="str">
        <f t="shared" si="1"/>
        <v/>
      </c>
      <c r="W20" s="566" t="str">
        <f t="shared" si="2"/>
        <v/>
      </c>
      <c r="X20" s="566">
        <f t="shared" si="3"/>
        <v>14</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f t="shared" si="185"/>
        <v>14</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f t="shared" si="28"/>
        <v>14658</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f t="shared" si="48"/>
        <v>14658</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f t="shared" si="58"/>
        <v>14</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f t="shared" si="103"/>
        <v>14</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f t="shared" si="143"/>
        <v>14</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47" t="s">
        <v>1218</v>
      </c>
      <c r="C21" s="1748">
        <v>3</v>
      </c>
      <c r="D21" s="1749">
        <v>2</v>
      </c>
      <c r="E21" s="1750">
        <v>13</v>
      </c>
      <c r="F21" s="1750">
        <v>1309</v>
      </c>
      <c r="G21" s="1750">
        <v>1005</v>
      </c>
      <c r="H21" s="1750">
        <v>823</v>
      </c>
      <c r="I21" s="1750">
        <v>200</v>
      </c>
      <c r="J21" s="1751" t="s">
        <v>3753</v>
      </c>
      <c r="K21" s="198">
        <f t="shared" si="172"/>
        <v>623</v>
      </c>
      <c r="L21" s="198">
        <f t="shared" si="0"/>
        <v>8099</v>
      </c>
      <c r="M21" s="1752" t="s">
        <v>3703</v>
      </c>
      <c r="N21" s="1752" t="s">
        <v>3754</v>
      </c>
      <c r="O21" s="1752" t="s">
        <v>2446</v>
      </c>
      <c r="P21" s="517">
        <f t="shared" si="203"/>
        <v>32920</v>
      </c>
      <c r="Q21" s="518">
        <f>IF(H21="","",P21/($P$6*VLOOKUP(C21,'DCA Underwriting Assumptions'!$J$82:$K$87,2,FALSE)))</f>
        <v>0.49151935021500237</v>
      </c>
      <c r="R21" s="603"/>
      <c r="S21" s="518"/>
      <c r="T21" s="1753"/>
      <c r="U21" s="1754"/>
      <c r="V21" s="566" t="str">
        <f t="shared" si="1"/>
        <v/>
      </c>
      <c r="W21" s="566" t="str">
        <f t="shared" si="2"/>
        <v/>
      </c>
      <c r="X21" s="566" t="str">
        <f t="shared" si="3"/>
        <v/>
      </c>
      <c r="Y21" s="566">
        <f t="shared" si="4"/>
        <v>13</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f t="shared" si="186"/>
        <v>13</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f t="shared" si="29"/>
        <v>17017</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f t="shared" si="49"/>
        <v>17017</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f t="shared" si="59"/>
        <v>13</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f t="shared" si="104"/>
        <v>13</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f t="shared" si="144"/>
        <v>13</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47" t="s">
        <v>1895</v>
      </c>
      <c r="C22" s="1748"/>
      <c r="D22" s="1749"/>
      <c r="E22" s="1750"/>
      <c r="F22" s="1750"/>
      <c r="G22" s="1750"/>
      <c r="H22" s="1750"/>
      <c r="I22" s="1750"/>
      <c r="J22" s="1751"/>
      <c r="K22" s="198">
        <f t="shared" si="172"/>
        <v>0</v>
      </c>
      <c r="L22" s="198">
        <f t="shared" si="0"/>
        <v>0</v>
      </c>
      <c r="M22" s="1752"/>
      <c r="N22" s="1752"/>
      <c r="O22" s="1752"/>
      <c r="P22" s="517" t="str">
        <f t="shared" si="203"/>
        <v/>
      </c>
      <c r="Q22" s="518" t="str">
        <f>IF(H22="","",P22/($P$6*VLOOKUP(C22,'DCA Underwriting Assumptions'!$J$82:$K$87,2,FALSE)))</f>
        <v/>
      </c>
      <c r="R22" s="603"/>
      <c r="S22" s="518"/>
      <c r="T22" s="1753"/>
      <c r="U22" s="1754"/>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47" t="s">
        <v>1895</v>
      </c>
      <c r="C23" s="1748"/>
      <c r="D23" s="1749"/>
      <c r="E23" s="1750"/>
      <c r="F23" s="1750"/>
      <c r="G23" s="1750"/>
      <c r="H23" s="1750"/>
      <c r="I23" s="1750"/>
      <c r="J23" s="1751"/>
      <c r="K23" s="198">
        <f t="shared" si="172"/>
        <v>0</v>
      </c>
      <c r="L23" s="198">
        <f t="shared" si="0"/>
        <v>0</v>
      </c>
      <c r="M23" s="1752"/>
      <c r="N23" s="1752"/>
      <c r="O23" s="1752"/>
      <c r="P23" s="517" t="str">
        <f t="shared" si="203"/>
        <v/>
      </c>
      <c r="Q23" s="518" t="str">
        <f>IF(H23="","",P23/($P$6*VLOOKUP(C23,'DCA Underwriting Assumptions'!$J$82:$K$87,2,FALSE)))</f>
        <v/>
      </c>
      <c r="R23" s="603"/>
      <c r="S23" s="518"/>
      <c r="T23" s="1753"/>
      <c r="U23" s="1754"/>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47" t="s">
        <v>1895</v>
      </c>
      <c r="C24" s="1748"/>
      <c r="D24" s="1749"/>
      <c r="E24" s="1750"/>
      <c r="F24" s="1750"/>
      <c r="G24" s="1750"/>
      <c r="H24" s="1750"/>
      <c r="I24" s="1750"/>
      <c r="J24" s="1751"/>
      <c r="K24" s="198">
        <f t="shared" si="172"/>
        <v>0</v>
      </c>
      <c r="L24" s="198">
        <f t="shared" si="0"/>
        <v>0</v>
      </c>
      <c r="M24" s="1752"/>
      <c r="N24" s="1752"/>
      <c r="O24" s="1752"/>
      <c r="P24" s="517" t="str">
        <f t="shared" si="203"/>
        <v/>
      </c>
      <c r="Q24" s="518" t="str">
        <f>IF(H24="","",P24/($P$6*VLOOKUP(C24,'DCA Underwriting Assumptions'!$J$82:$K$87,2,FALSE)))</f>
        <v/>
      </c>
      <c r="R24" s="603"/>
      <c r="S24" s="518"/>
      <c r="T24" s="1753"/>
      <c r="U24" s="1754"/>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47" t="s">
        <v>1895</v>
      </c>
      <c r="C25" s="1748"/>
      <c r="D25" s="1749"/>
      <c r="E25" s="1750"/>
      <c r="F25" s="1750"/>
      <c r="G25" s="1750"/>
      <c r="H25" s="1750"/>
      <c r="I25" s="1750"/>
      <c r="J25" s="1751"/>
      <c r="K25" s="198">
        <f t="shared" si="172"/>
        <v>0</v>
      </c>
      <c r="L25" s="198">
        <f t="shared" si="0"/>
        <v>0</v>
      </c>
      <c r="M25" s="1752"/>
      <c r="N25" s="1752"/>
      <c r="O25" s="1752"/>
      <c r="P25" s="517" t="str">
        <f t="shared" si="203"/>
        <v/>
      </c>
      <c r="Q25" s="518" t="str">
        <f>IF(H25="","",P25/($P$6*VLOOKUP(C25,'DCA Underwriting Assumptions'!$J$82:$K$87,2,FALSE)))</f>
        <v/>
      </c>
      <c r="R25" s="603"/>
      <c r="S25" s="518"/>
      <c r="T25" s="1753"/>
      <c r="U25" s="1754"/>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47" t="s">
        <v>1895</v>
      </c>
      <c r="C26" s="1748"/>
      <c r="D26" s="1749"/>
      <c r="E26" s="1750"/>
      <c r="F26" s="1750"/>
      <c r="G26" s="1750"/>
      <c r="H26" s="1750"/>
      <c r="I26" s="1750"/>
      <c r="J26" s="1751"/>
      <c r="K26" s="198">
        <f t="shared" si="172"/>
        <v>0</v>
      </c>
      <c r="L26" s="198">
        <f t="shared" si="0"/>
        <v>0</v>
      </c>
      <c r="M26" s="1752"/>
      <c r="N26" s="1752"/>
      <c r="O26" s="1752"/>
      <c r="P26" s="517" t="str">
        <f t="shared" si="203"/>
        <v/>
      </c>
      <c r="Q26" s="518" t="str">
        <f>IF(H26="","",P26/($P$6*VLOOKUP(C26,'DCA Underwriting Assumptions'!$J$82:$K$87,2,FALSE)))</f>
        <v/>
      </c>
      <c r="R26" s="603"/>
      <c r="S26" s="518"/>
      <c r="T26" s="1753"/>
      <c r="U26" s="1754"/>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47" t="s">
        <v>1895</v>
      </c>
      <c r="C27" s="1748"/>
      <c r="D27" s="1749"/>
      <c r="E27" s="1750"/>
      <c r="F27" s="1750"/>
      <c r="G27" s="1750"/>
      <c r="H27" s="1750"/>
      <c r="I27" s="1750"/>
      <c r="J27" s="1751"/>
      <c r="K27" s="198">
        <f t="shared" si="172"/>
        <v>0</v>
      </c>
      <c r="L27" s="198">
        <f t="shared" si="0"/>
        <v>0</v>
      </c>
      <c r="M27" s="1752"/>
      <c r="N27" s="1752"/>
      <c r="O27" s="1752"/>
      <c r="P27" s="517" t="str">
        <f t="shared" si="203"/>
        <v/>
      </c>
      <c r="Q27" s="518" t="str">
        <f>IF(H27="","",P27/($P$6*VLOOKUP(C27,'DCA Underwriting Assumptions'!$J$82:$K$87,2,FALSE)))</f>
        <v/>
      </c>
      <c r="R27" s="603"/>
      <c r="S27" s="518"/>
      <c r="T27" s="1753"/>
      <c r="U27" s="1754"/>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47" t="s">
        <v>1895</v>
      </c>
      <c r="C28" s="1748"/>
      <c r="D28" s="1749"/>
      <c r="E28" s="1750"/>
      <c r="F28" s="1750"/>
      <c r="G28" s="1750"/>
      <c r="H28" s="1750"/>
      <c r="I28" s="1750"/>
      <c r="J28" s="1751"/>
      <c r="K28" s="198">
        <f>MAX(0,H28-I28)</f>
        <v>0</v>
      </c>
      <c r="L28" s="198">
        <f t="shared" si="0"/>
        <v>0</v>
      </c>
      <c r="M28" s="1752"/>
      <c r="N28" s="1752"/>
      <c r="O28" s="1752"/>
      <c r="P28" s="517" t="str">
        <f t="shared" si="203"/>
        <v/>
      </c>
      <c r="Q28" s="518" t="str">
        <f>IF(H28="","",P28/($P$6*VLOOKUP(C28,'DCA Underwriting Assumptions'!$J$82:$K$87,2,FALSE)))</f>
        <v/>
      </c>
      <c r="R28" s="603"/>
      <c r="S28" s="518"/>
      <c r="T28" s="1753"/>
      <c r="U28" s="1754"/>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47" t="s">
        <v>1895</v>
      </c>
      <c r="C29" s="1748"/>
      <c r="D29" s="1749"/>
      <c r="E29" s="1750"/>
      <c r="F29" s="1750"/>
      <c r="G29" s="1750"/>
      <c r="H29" s="1750"/>
      <c r="I29" s="1750"/>
      <c r="J29" s="1751"/>
      <c r="K29" s="198">
        <f t="shared" ref="K29:K47" si="204">MAX(0,H29-I29)</f>
        <v>0</v>
      </c>
      <c r="L29" s="198">
        <f t="shared" si="0"/>
        <v>0</v>
      </c>
      <c r="M29" s="1752"/>
      <c r="N29" s="1752"/>
      <c r="O29" s="1752"/>
      <c r="P29" s="517" t="str">
        <f t="shared" si="203"/>
        <v/>
      </c>
      <c r="Q29" s="518" t="str">
        <f>IF(H29="","",P29/($P$6*VLOOKUP(C29,'DCA Underwriting Assumptions'!$J$82:$K$87,2,FALSE)))</f>
        <v/>
      </c>
      <c r="R29" s="603"/>
      <c r="S29" s="518"/>
      <c r="T29" s="1753"/>
      <c r="U29" s="1754"/>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47" t="s">
        <v>1895</v>
      </c>
      <c r="C30" s="1748"/>
      <c r="D30" s="1749"/>
      <c r="E30" s="1750"/>
      <c r="F30" s="1750"/>
      <c r="G30" s="1750"/>
      <c r="H30" s="1750"/>
      <c r="I30" s="1750"/>
      <c r="J30" s="1751"/>
      <c r="K30" s="198">
        <f t="shared" si="204"/>
        <v>0</v>
      </c>
      <c r="L30" s="198">
        <f t="shared" si="0"/>
        <v>0</v>
      </c>
      <c r="M30" s="1752"/>
      <c r="N30" s="1752"/>
      <c r="O30" s="1752"/>
      <c r="P30" s="517" t="str">
        <f t="shared" si="203"/>
        <v/>
      </c>
      <c r="Q30" s="518" t="str">
        <f>IF(H30="","",P30/($P$6*VLOOKUP(C30,'DCA Underwriting Assumptions'!$J$82:$K$87,2,FALSE)))</f>
        <v/>
      </c>
      <c r="R30" s="603"/>
      <c r="S30" s="518"/>
      <c r="T30" s="1753"/>
      <c r="U30" s="1754"/>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47" t="s">
        <v>1895</v>
      </c>
      <c r="C31" s="1748"/>
      <c r="D31" s="1749"/>
      <c r="E31" s="1750"/>
      <c r="F31" s="1750"/>
      <c r="G31" s="1750"/>
      <c r="H31" s="1750"/>
      <c r="I31" s="1750"/>
      <c r="J31" s="1751"/>
      <c r="K31" s="198">
        <f t="shared" si="204"/>
        <v>0</v>
      </c>
      <c r="L31" s="198">
        <f t="shared" si="0"/>
        <v>0</v>
      </c>
      <c r="M31" s="1752"/>
      <c r="N31" s="1752"/>
      <c r="O31" s="1752"/>
      <c r="P31" s="517" t="str">
        <f t="shared" si="203"/>
        <v/>
      </c>
      <c r="Q31" s="518" t="str">
        <f>IF(H31="","",P31/($P$6*VLOOKUP(C31,'DCA Underwriting Assumptions'!$J$82:$K$87,2,FALSE)))</f>
        <v/>
      </c>
      <c r="R31" s="603"/>
      <c r="S31" s="518"/>
      <c r="T31" s="1753"/>
      <c r="U31" s="1754"/>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47" t="s">
        <v>1895</v>
      </c>
      <c r="C32" s="1748"/>
      <c r="D32" s="1749"/>
      <c r="E32" s="1750"/>
      <c r="F32" s="1750"/>
      <c r="G32" s="1750"/>
      <c r="H32" s="1750"/>
      <c r="I32" s="1750"/>
      <c r="J32" s="1751"/>
      <c r="K32" s="198">
        <f t="shared" si="204"/>
        <v>0</v>
      </c>
      <c r="L32" s="198">
        <f t="shared" si="0"/>
        <v>0</v>
      </c>
      <c r="M32" s="1752"/>
      <c r="N32" s="1752"/>
      <c r="O32" s="1752"/>
      <c r="P32" s="517" t="str">
        <f t="shared" si="203"/>
        <v/>
      </c>
      <c r="Q32" s="518" t="str">
        <f>IF(H32="","",P32/($P$6*VLOOKUP(C32,'DCA Underwriting Assumptions'!$J$82:$K$87,2,FALSE)))</f>
        <v/>
      </c>
      <c r="R32" s="603"/>
      <c r="S32" s="518"/>
      <c r="T32" s="1753"/>
      <c r="U32" s="1754"/>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47" t="s">
        <v>1895</v>
      </c>
      <c r="C33" s="1748"/>
      <c r="D33" s="1749"/>
      <c r="E33" s="1750"/>
      <c r="F33" s="1750"/>
      <c r="G33" s="1750"/>
      <c r="H33" s="1750"/>
      <c r="I33" s="1750"/>
      <c r="J33" s="1751"/>
      <c r="K33" s="198">
        <f t="shared" si="204"/>
        <v>0</v>
      </c>
      <c r="L33" s="198">
        <f t="shared" si="0"/>
        <v>0</v>
      </c>
      <c r="M33" s="1752"/>
      <c r="N33" s="1752"/>
      <c r="O33" s="1752"/>
      <c r="P33" s="517" t="str">
        <f t="shared" si="203"/>
        <v/>
      </c>
      <c r="Q33" s="518" t="str">
        <f>IF(H33="","",P33/($P$6*VLOOKUP(C33,'DCA Underwriting Assumptions'!$J$82:$K$87,2,FALSE)))</f>
        <v/>
      </c>
      <c r="R33" s="603"/>
      <c r="S33" s="518"/>
      <c r="T33" s="1753"/>
      <c r="U33" s="1754"/>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47" t="s">
        <v>1895</v>
      </c>
      <c r="C34" s="1748"/>
      <c r="D34" s="1749"/>
      <c r="E34" s="1750"/>
      <c r="F34" s="1750"/>
      <c r="G34" s="1750"/>
      <c r="H34" s="1750"/>
      <c r="I34" s="1750"/>
      <c r="J34" s="1751"/>
      <c r="K34" s="198">
        <f t="shared" si="204"/>
        <v>0</v>
      </c>
      <c r="L34" s="198">
        <f t="shared" si="0"/>
        <v>0</v>
      </c>
      <c r="M34" s="1752"/>
      <c r="N34" s="1752"/>
      <c r="O34" s="1752"/>
      <c r="P34" s="517" t="str">
        <f t="shared" si="203"/>
        <v/>
      </c>
      <c r="Q34" s="518" t="str">
        <f>IF(H34="","",P34/($P$6*VLOOKUP(C34,'DCA Underwriting Assumptions'!$J$82:$K$87,2,FALSE)))</f>
        <v/>
      </c>
      <c r="R34" s="603"/>
      <c r="S34" s="518"/>
      <c r="T34" s="1753"/>
      <c r="U34" s="1754"/>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47" t="s">
        <v>1895</v>
      </c>
      <c r="C35" s="1748"/>
      <c r="D35" s="1749"/>
      <c r="E35" s="1750"/>
      <c r="F35" s="1750"/>
      <c r="G35" s="1750"/>
      <c r="H35" s="1750"/>
      <c r="I35" s="1750"/>
      <c r="J35" s="1751"/>
      <c r="K35" s="198">
        <f t="shared" si="204"/>
        <v>0</v>
      </c>
      <c r="L35" s="198">
        <f t="shared" si="0"/>
        <v>0</v>
      </c>
      <c r="M35" s="1752"/>
      <c r="N35" s="1752"/>
      <c r="O35" s="1752"/>
      <c r="P35" s="517" t="str">
        <f t="shared" si="203"/>
        <v/>
      </c>
      <c r="Q35" s="518" t="str">
        <f>IF(H35="","",P35/($P$6*VLOOKUP(C35,'DCA Underwriting Assumptions'!$J$82:$K$87,2,FALSE)))</f>
        <v/>
      </c>
      <c r="R35" s="603"/>
      <c r="S35" s="518"/>
      <c r="T35" s="1753"/>
      <c r="U35" s="1754"/>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47" t="s">
        <v>1895</v>
      </c>
      <c r="C36" s="1748"/>
      <c r="D36" s="1749"/>
      <c r="E36" s="1750"/>
      <c r="F36" s="1750"/>
      <c r="G36" s="1750"/>
      <c r="H36" s="1750"/>
      <c r="I36" s="1750"/>
      <c r="J36" s="1751"/>
      <c r="K36" s="198">
        <f t="shared" si="204"/>
        <v>0</v>
      </c>
      <c r="L36" s="198">
        <f t="shared" si="0"/>
        <v>0</v>
      </c>
      <c r="M36" s="1752"/>
      <c r="N36" s="1752"/>
      <c r="O36" s="1752"/>
      <c r="P36" s="517" t="str">
        <f t="shared" si="203"/>
        <v/>
      </c>
      <c r="Q36" s="518" t="str">
        <f>IF(H36="","",P36/($P$6*VLOOKUP(C36,'DCA Underwriting Assumptions'!$J$82:$K$87,2,FALSE)))</f>
        <v/>
      </c>
      <c r="R36" s="603"/>
      <c r="S36" s="518"/>
      <c r="T36" s="1753"/>
      <c r="U36" s="1754"/>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47" t="s">
        <v>1895</v>
      </c>
      <c r="C37" s="1748"/>
      <c r="D37" s="1749"/>
      <c r="E37" s="1750"/>
      <c r="F37" s="1750"/>
      <c r="G37" s="1750"/>
      <c r="H37" s="1750"/>
      <c r="I37" s="1750"/>
      <c r="J37" s="1751"/>
      <c r="K37" s="198">
        <f t="shared" si="204"/>
        <v>0</v>
      </c>
      <c r="L37" s="198">
        <f t="shared" si="0"/>
        <v>0</v>
      </c>
      <c r="M37" s="1752"/>
      <c r="N37" s="1752"/>
      <c r="O37" s="1752"/>
      <c r="P37" s="517" t="str">
        <f t="shared" si="203"/>
        <v/>
      </c>
      <c r="Q37" s="518" t="str">
        <f>IF(H37="","",P37/($P$6*VLOOKUP(C37,'DCA Underwriting Assumptions'!$J$82:$K$87,2,FALSE)))</f>
        <v/>
      </c>
      <c r="R37" s="603"/>
      <c r="S37" s="518"/>
      <c r="T37" s="1753"/>
      <c r="U37" s="1754"/>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47" t="s">
        <v>1895</v>
      </c>
      <c r="C38" s="1748"/>
      <c r="D38" s="1749"/>
      <c r="E38" s="1750"/>
      <c r="F38" s="1750"/>
      <c r="G38" s="1750"/>
      <c r="H38" s="1750"/>
      <c r="I38" s="1750"/>
      <c r="J38" s="1751"/>
      <c r="K38" s="198">
        <f>MAX(0,H38-I38)</f>
        <v>0</v>
      </c>
      <c r="L38" s="198">
        <f t="shared" si="0"/>
        <v>0</v>
      </c>
      <c r="M38" s="1752"/>
      <c r="N38" s="1752"/>
      <c r="O38" s="1752"/>
      <c r="P38" s="517" t="str">
        <f t="shared" si="203"/>
        <v/>
      </c>
      <c r="Q38" s="518" t="str">
        <f>IF(H38="","",P38/($P$6*VLOOKUP(C38,'DCA Underwriting Assumptions'!$J$82:$K$87,2,FALSE)))</f>
        <v/>
      </c>
      <c r="R38" s="603"/>
      <c r="S38" s="518"/>
      <c r="T38" s="1753"/>
      <c r="U38" s="1754"/>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47" t="s">
        <v>1895</v>
      </c>
      <c r="C39" s="1748"/>
      <c r="D39" s="1749"/>
      <c r="E39" s="1750"/>
      <c r="F39" s="1750"/>
      <c r="G39" s="1750"/>
      <c r="H39" s="1750"/>
      <c r="I39" s="1750"/>
      <c r="J39" s="1751"/>
      <c r="K39" s="198">
        <f t="shared" ref="K39:K46" si="205">MAX(0,H39-I39)</f>
        <v>0</v>
      </c>
      <c r="L39" s="198">
        <f t="shared" si="0"/>
        <v>0</v>
      </c>
      <c r="M39" s="1752"/>
      <c r="N39" s="1752"/>
      <c r="O39" s="1752"/>
      <c r="P39" s="517" t="str">
        <f t="shared" si="203"/>
        <v/>
      </c>
      <c r="Q39" s="518" t="str">
        <f>IF(H39="","",P39/($P$6*VLOOKUP(C39,'DCA Underwriting Assumptions'!$J$82:$K$87,2,FALSE)))</f>
        <v/>
      </c>
      <c r="R39" s="603"/>
      <c r="S39" s="518"/>
      <c r="T39" s="1753"/>
      <c r="U39" s="1754"/>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47" t="s">
        <v>1895</v>
      </c>
      <c r="C40" s="1748"/>
      <c r="D40" s="1749"/>
      <c r="E40" s="1750"/>
      <c r="F40" s="1750"/>
      <c r="G40" s="1750"/>
      <c r="H40" s="1750"/>
      <c r="I40" s="1750"/>
      <c r="J40" s="1751"/>
      <c r="K40" s="198">
        <f t="shared" si="205"/>
        <v>0</v>
      </c>
      <c r="L40" s="198">
        <f t="shared" si="0"/>
        <v>0</v>
      </c>
      <c r="M40" s="1752"/>
      <c r="N40" s="1752"/>
      <c r="O40" s="1752"/>
      <c r="P40" s="517" t="str">
        <f t="shared" si="203"/>
        <v/>
      </c>
      <c r="Q40" s="518" t="str">
        <f>IF(H40="","",P40/($P$6*VLOOKUP(C40,'DCA Underwriting Assumptions'!$J$82:$K$87,2,FALSE)))</f>
        <v/>
      </c>
      <c r="R40" s="603"/>
      <c r="S40" s="518"/>
      <c r="T40" s="1753"/>
      <c r="U40" s="1754"/>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47" t="s">
        <v>1895</v>
      </c>
      <c r="C41" s="1748"/>
      <c r="D41" s="1749"/>
      <c r="E41" s="1750"/>
      <c r="F41" s="1750"/>
      <c r="G41" s="1750"/>
      <c r="H41" s="1750"/>
      <c r="I41" s="1750"/>
      <c r="J41" s="1751"/>
      <c r="K41" s="198">
        <f t="shared" si="205"/>
        <v>0</v>
      </c>
      <c r="L41" s="198">
        <f t="shared" si="0"/>
        <v>0</v>
      </c>
      <c r="M41" s="1752"/>
      <c r="N41" s="1752"/>
      <c r="O41" s="1752"/>
      <c r="P41" s="517" t="str">
        <f t="shared" si="203"/>
        <v/>
      </c>
      <c r="Q41" s="518" t="str">
        <f>IF(H41="","",P41/($P$6*VLOOKUP(C41,'DCA Underwriting Assumptions'!$J$82:$K$87,2,FALSE)))</f>
        <v/>
      </c>
      <c r="R41" s="603"/>
      <c r="S41" s="518"/>
      <c r="T41" s="1753"/>
      <c r="U41" s="1754"/>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47" t="s">
        <v>1895</v>
      </c>
      <c r="C42" s="1748"/>
      <c r="D42" s="1749"/>
      <c r="E42" s="1750"/>
      <c r="F42" s="1750"/>
      <c r="G42" s="1750"/>
      <c r="H42" s="1750"/>
      <c r="I42" s="1750"/>
      <c r="J42" s="1751"/>
      <c r="K42" s="198">
        <f t="shared" si="205"/>
        <v>0</v>
      </c>
      <c r="L42" s="198">
        <f t="shared" si="0"/>
        <v>0</v>
      </c>
      <c r="M42" s="1752"/>
      <c r="N42" s="1752"/>
      <c r="O42" s="1752"/>
      <c r="P42" s="517" t="str">
        <f t="shared" si="203"/>
        <v/>
      </c>
      <c r="Q42" s="518" t="str">
        <f>IF(H42="","",P42/($P$6*VLOOKUP(C42,'DCA Underwriting Assumptions'!$J$82:$K$87,2,FALSE)))</f>
        <v/>
      </c>
      <c r="R42" s="603"/>
      <c r="S42" s="518"/>
      <c r="T42" s="1753"/>
      <c r="U42" s="1754"/>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47" t="s">
        <v>1895</v>
      </c>
      <c r="C43" s="1748"/>
      <c r="D43" s="1749"/>
      <c r="E43" s="1750"/>
      <c r="F43" s="1750"/>
      <c r="G43" s="1750"/>
      <c r="H43" s="1750"/>
      <c r="I43" s="1750"/>
      <c r="J43" s="1751"/>
      <c r="K43" s="198">
        <f t="shared" si="205"/>
        <v>0</v>
      </c>
      <c r="L43" s="198">
        <f t="shared" si="0"/>
        <v>0</v>
      </c>
      <c r="M43" s="1752"/>
      <c r="N43" s="1752"/>
      <c r="O43" s="1752"/>
      <c r="P43" s="517" t="str">
        <f t="shared" si="203"/>
        <v/>
      </c>
      <c r="Q43" s="518" t="str">
        <f>IF(H43="","",P43/($P$6*VLOOKUP(C43,'DCA Underwriting Assumptions'!$J$82:$K$87,2,FALSE)))</f>
        <v/>
      </c>
      <c r="R43" s="603"/>
      <c r="S43" s="518"/>
      <c r="T43" s="1753"/>
      <c r="U43" s="1754"/>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47" t="s">
        <v>1895</v>
      </c>
      <c r="C44" s="1748"/>
      <c r="D44" s="1749"/>
      <c r="E44" s="1750"/>
      <c r="F44" s="1750"/>
      <c r="G44" s="1750"/>
      <c r="H44" s="1750"/>
      <c r="I44" s="1750"/>
      <c r="J44" s="1751"/>
      <c r="K44" s="198">
        <f t="shared" si="205"/>
        <v>0</v>
      </c>
      <c r="L44" s="198">
        <f t="shared" si="0"/>
        <v>0</v>
      </c>
      <c r="M44" s="1752"/>
      <c r="N44" s="1752"/>
      <c r="O44" s="1752"/>
      <c r="P44" s="517" t="str">
        <f t="shared" si="203"/>
        <v/>
      </c>
      <c r="Q44" s="518" t="str">
        <f>IF(H44="","",P44/($P$6*VLOOKUP(C44,'DCA Underwriting Assumptions'!$J$82:$K$87,2,FALSE)))</f>
        <v/>
      </c>
      <c r="R44" s="603"/>
      <c r="S44" s="518"/>
      <c r="T44" s="1753"/>
      <c r="U44" s="1754"/>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47" t="s">
        <v>1895</v>
      </c>
      <c r="C45" s="1748"/>
      <c r="D45" s="1749"/>
      <c r="E45" s="1750"/>
      <c r="F45" s="1750"/>
      <c r="G45" s="1750"/>
      <c r="H45" s="1750"/>
      <c r="I45" s="1750"/>
      <c r="J45" s="1751"/>
      <c r="K45" s="198">
        <f t="shared" si="205"/>
        <v>0</v>
      </c>
      <c r="L45" s="198">
        <f t="shared" si="0"/>
        <v>0</v>
      </c>
      <c r="M45" s="1752"/>
      <c r="N45" s="1752"/>
      <c r="O45" s="1752"/>
      <c r="P45" s="517" t="str">
        <f t="shared" si="203"/>
        <v/>
      </c>
      <c r="Q45" s="518" t="str">
        <f>IF(H45="","",P45/($P$6*VLOOKUP(C45,'DCA Underwriting Assumptions'!$J$82:$K$87,2,FALSE)))</f>
        <v/>
      </c>
      <c r="R45" s="603"/>
      <c r="S45" s="518"/>
      <c r="T45" s="1753"/>
      <c r="U45" s="1754"/>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47" t="s">
        <v>1895</v>
      </c>
      <c r="C46" s="1748"/>
      <c r="D46" s="1749"/>
      <c r="E46" s="1750"/>
      <c r="F46" s="1750"/>
      <c r="G46" s="1750"/>
      <c r="H46" s="1750"/>
      <c r="I46" s="1750"/>
      <c r="J46" s="1751"/>
      <c r="K46" s="198">
        <f t="shared" si="205"/>
        <v>0</v>
      </c>
      <c r="L46" s="198">
        <f t="shared" si="0"/>
        <v>0</v>
      </c>
      <c r="M46" s="1752"/>
      <c r="N46" s="1752"/>
      <c r="O46" s="1752"/>
      <c r="P46" s="517" t="str">
        <f t="shared" si="203"/>
        <v/>
      </c>
      <c r="Q46" s="518" t="str">
        <f>IF(H46="","",P46/($P$6*VLOOKUP(C46,'DCA Underwriting Assumptions'!$J$82:$K$87,2,FALSE)))</f>
        <v/>
      </c>
      <c r="R46" s="603"/>
      <c r="S46" s="518"/>
      <c r="T46" s="1753"/>
      <c r="U46" s="1754"/>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5" t="s">
        <v>1895</v>
      </c>
      <c r="C47" s="1756"/>
      <c r="D47" s="1757"/>
      <c r="E47" s="1758"/>
      <c r="F47" s="1758"/>
      <c r="G47" s="1758"/>
      <c r="H47" s="1758"/>
      <c r="I47" s="1758"/>
      <c r="J47" s="1759"/>
      <c r="K47" s="199">
        <f t="shared" si="204"/>
        <v>0</v>
      </c>
      <c r="L47" s="199">
        <f t="shared" si="0"/>
        <v>0</v>
      </c>
      <c r="M47" s="1760"/>
      <c r="N47" s="1760"/>
      <c r="O47" s="1760"/>
      <c r="P47" s="517" t="str">
        <f t="shared" si="203"/>
        <v/>
      </c>
      <c r="Q47" s="518" t="str">
        <f>IF(H47="","",P47/($P$6*VLOOKUP(C47,'DCA Underwriting Assumptions'!$J$82:$K$87,2,FALSE)))</f>
        <v/>
      </c>
      <c r="R47" s="603"/>
      <c r="S47" s="518"/>
      <c r="T47" s="1761"/>
      <c r="U47" s="1762"/>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1080</v>
      </c>
      <c r="E48" s="148">
        <f>SUM(E10:E47)</f>
        <v>69</v>
      </c>
      <c r="F48" s="149">
        <f>(E10*F10+E11*F11+E12*F12+E13*F13+E14*F14+E15*F15+E16*F16+E17*F17+E18*F18+E19*F19+E20*F20+E21*F21+E22*F22+E23*F23+E24*F24+E25*F25+E26*F26+E27*F27+E28*F28+E29*F29+E30*F30+E31*F31+E32*F32+E33*F33+E34*F34+E35*F35+E36*F36+E37*F37+E38*F38+E39*F39+E40*F40+E41*F41+E42*F42+E43*F43+E44*F44+E45*F45+E46*F46+E47*F47)</f>
        <v>65565</v>
      </c>
      <c r="G48" s="140"/>
      <c r="H48" s="141"/>
      <c r="I48" s="141"/>
      <c r="J48" s="141"/>
      <c r="K48" s="15" t="s">
        <v>1388</v>
      </c>
      <c r="L48" s="147">
        <f>SUM(L10:L47)</f>
        <v>42807</v>
      </c>
      <c r="M48" s="1"/>
      <c r="N48" s="40"/>
      <c r="O48" s="1"/>
      <c r="P48" s="520"/>
      <c r="Q48" s="520"/>
      <c r="R48" s="520"/>
      <c r="S48" s="520"/>
      <c r="T48" s="519"/>
      <c r="U48" s="521"/>
      <c r="V48" s="578">
        <f t="shared" ref="V48:CK48" si="206">SUM(V10:V47)</f>
        <v>0</v>
      </c>
      <c r="W48" s="578">
        <f t="shared" si="206"/>
        <v>19</v>
      </c>
      <c r="X48" s="578">
        <f t="shared" si="206"/>
        <v>22</v>
      </c>
      <c r="Y48" s="578">
        <f t="shared" si="206"/>
        <v>13</v>
      </c>
      <c r="Z48" s="578">
        <f t="shared" si="206"/>
        <v>0</v>
      </c>
      <c r="AA48" s="578">
        <f t="shared" si="206"/>
        <v>0</v>
      </c>
      <c r="AB48" s="578">
        <f t="shared" si="206"/>
        <v>5</v>
      </c>
      <c r="AC48" s="578">
        <f t="shared" si="206"/>
        <v>8</v>
      </c>
      <c r="AD48" s="578">
        <f t="shared" si="206"/>
        <v>2</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5</v>
      </c>
      <c r="AW48" s="578">
        <f t="shared" si="206"/>
        <v>8</v>
      </c>
      <c r="AX48" s="578">
        <f t="shared" si="206"/>
        <v>2</v>
      </c>
      <c r="AY48" s="578">
        <f t="shared" si="206"/>
        <v>0</v>
      </c>
      <c r="AZ48" s="578">
        <f t="shared" si="206"/>
        <v>0</v>
      </c>
      <c r="BA48" s="578">
        <f t="shared" si="206"/>
        <v>19</v>
      </c>
      <c r="BB48" s="578">
        <f t="shared" si="206"/>
        <v>22</v>
      </c>
      <c r="BC48" s="578">
        <f t="shared" si="206"/>
        <v>13</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13112</v>
      </c>
      <c r="CA48" s="578">
        <f t="shared" si="206"/>
        <v>21642</v>
      </c>
      <c r="CB48" s="578">
        <f t="shared" si="206"/>
        <v>17017</v>
      </c>
      <c r="CC48" s="578">
        <f t="shared" si="206"/>
        <v>0</v>
      </c>
      <c r="CD48" s="578">
        <f t="shared" si="206"/>
        <v>0</v>
      </c>
      <c r="CE48" s="578">
        <f t="shared" si="206"/>
        <v>3496</v>
      </c>
      <c r="CF48" s="578">
        <f t="shared" si="206"/>
        <v>7680</v>
      </c>
      <c r="CG48" s="578">
        <f t="shared" si="206"/>
        <v>2618</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16608</v>
      </c>
      <c r="CU48" s="578">
        <f t="shared" si="208"/>
        <v>29322</v>
      </c>
      <c r="CV48" s="578">
        <f t="shared" si="208"/>
        <v>19635</v>
      </c>
      <c r="CW48" s="578">
        <f t="shared" si="208"/>
        <v>0</v>
      </c>
      <c r="CX48" s="578">
        <f t="shared" si="208"/>
        <v>0</v>
      </c>
      <c r="CY48" s="578">
        <f t="shared" si="208"/>
        <v>0</v>
      </c>
      <c r="CZ48" s="578">
        <f t="shared" si="208"/>
        <v>0</v>
      </c>
      <c r="DA48" s="578">
        <f t="shared" si="208"/>
        <v>0</v>
      </c>
      <c r="DB48" s="578">
        <f t="shared" si="208"/>
        <v>0</v>
      </c>
      <c r="DC48" s="578">
        <f t="shared" si="208"/>
        <v>0</v>
      </c>
      <c r="DD48" s="578">
        <f t="shared" si="208"/>
        <v>24</v>
      </c>
      <c r="DE48" s="578">
        <f t="shared" si="208"/>
        <v>30</v>
      </c>
      <c r="DF48" s="578">
        <f t="shared" si="208"/>
        <v>15</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24</v>
      </c>
      <c r="EX48" s="578">
        <f t="shared" si="209"/>
        <v>30</v>
      </c>
      <c r="EY48" s="578">
        <f t="shared" si="209"/>
        <v>15</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24</v>
      </c>
      <c r="GL48" s="578">
        <f t="shared" si="209"/>
        <v>30</v>
      </c>
      <c r="GM48" s="578">
        <f t="shared" si="209"/>
        <v>15</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868</v>
      </c>
      <c r="L49" s="147">
        <f>L48*12</f>
        <v>513684</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402" t="s">
        <v>2806</v>
      </c>
      <c r="B51" s="1763"/>
      <c r="C51" s="1763"/>
      <c r="D51" s="1763"/>
      <c r="E51" s="1763"/>
      <c r="F51" s="1763"/>
      <c r="G51" s="1763"/>
      <c r="H51" s="1763"/>
      <c r="I51" s="1763"/>
      <c r="J51" s="1763"/>
      <c r="K51" s="1763"/>
      <c r="L51" s="1763"/>
      <c r="M51" s="1763"/>
      <c r="N51" s="1763"/>
      <c r="O51" s="1763"/>
      <c r="P51" s="1763"/>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3"/>
      <c r="B52" s="1763"/>
      <c r="C52" s="1763"/>
      <c r="D52" s="1763"/>
      <c r="E52" s="1763"/>
      <c r="F52" s="1763"/>
      <c r="G52" s="1763"/>
      <c r="H52" s="1763"/>
      <c r="I52" s="1763"/>
      <c r="J52" s="1763"/>
      <c r="K52" s="1763"/>
      <c r="L52" s="1763"/>
      <c r="M52" s="1763"/>
      <c r="N52" s="1763"/>
      <c r="O52" s="1763"/>
      <c r="P52" s="1763"/>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790</v>
      </c>
      <c r="B53" s="16" t="s">
        <v>567</v>
      </c>
      <c r="O53" s="96"/>
      <c r="Q53" s="1397" t="str">
        <f>IF(SUM(Q56:Q100)&gt;0,"ERROR Between Rent Schedule &amp; Unit Summary:", "")</f>
        <v>ERROR Between Rent Schedule &amp; Unit Summary:</v>
      </c>
      <c r="R53" s="1154"/>
      <c r="S53" s="1154"/>
      <c r="T53" s="5" t="str">
        <f>B53</f>
        <v>UNIT SUMMARY</v>
      </c>
      <c r="U53" s="498" t="s">
        <v>567</v>
      </c>
      <c r="V53" s="1177"/>
      <c r="W53" s="1177"/>
      <c r="X53" s="1177"/>
      <c r="Y53" s="1177"/>
      <c r="Z53" s="1177"/>
      <c r="AA53" s="1177"/>
      <c r="AB53" s="1177"/>
      <c r="AC53" s="1177"/>
      <c r="AD53" s="1177"/>
      <c r="AE53" s="1177"/>
      <c r="AF53" s="1177"/>
      <c r="AG53" s="1177"/>
      <c r="AH53" s="568"/>
      <c r="GW53" s="579"/>
      <c r="HL53" s="566"/>
    </row>
    <row r="54" spans="1:221" ht="3" customHeight="1">
      <c r="A54" s="16"/>
      <c r="B54" s="16"/>
      <c r="O54" s="96"/>
      <c r="Q54" s="1398"/>
      <c r="R54" s="1155"/>
      <c r="S54" s="1155"/>
      <c r="T54" s="150"/>
      <c r="U54" s="498"/>
      <c r="V54" s="1177"/>
      <c r="W54" s="1177"/>
      <c r="X54" s="1177"/>
      <c r="Y54" s="1177"/>
      <c r="Z54" s="1177"/>
      <c r="AA54" s="1177"/>
      <c r="AB54" s="1177"/>
      <c r="AC54" s="1177"/>
      <c r="AD54" s="1177"/>
      <c r="AE54" s="1177"/>
      <c r="AF54" s="1177"/>
      <c r="AG54" s="1177"/>
      <c r="AH54" s="568"/>
      <c r="GW54" s="579"/>
      <c r="HL54" s="566"/>
    </row>
    <row r="55" spans="1:221" ht="14.45" customHeight="1">
      <c r="A55" s="16"/>
      <c r="B55" s="16" t="s">
        <v>1204</v>
      </c>
      <c r="H55" s="142" t="s">
        <v>601</v>
      </c>
      <c r="I55" s="142" t="s">
        <v>568</v>
      </c>
      <c r="J55" s="142" t="s">
        <v>569</v>
      </c>
      <c r="K55" s="142" t="s">
        <v>570</v>
      </c>
      <c r="L55" s="142" t="s">
        <v>571</v>
      </c>
      <c r="M55" s="142" t="s">
        <v>572</v>
      </c>
      <c r="O55" s="96"/>
      <c r="Q55" s="1398"/>
      <c r="R55" s="1155"/>
      <c r="S55" s="1155"/>
      <c r="T55" s="1255" t="s">
        <v>1975</v>
      </c>
      <c r="U55" s="1255"/>
      <c r="V55" s="1177"/>
      <c r="W55" s="1177"/>
      <c r="X55" s="1177"/>
      <c r="Y55" s="1177"/>
      <c r="Z55" s="1177"/>
      <c r="AA55" s="580"/>
      <c r="AB55" s="580"/>
      <c r="AC55" s="580"/>
      <c r="AD55" s="580"/>
      <c r="AE55" s="580"/>
      <c r="AF55" s="580"/>
      <c r="AG55" s="1177"/>
      <c r="AH55" s="568"/>
      <c r="GW55" s="579"/>
      <c r="HL55" s="566"/>
    </row>
    <row r="56" spans="1:221" ht="12" customHeight="1">
      <c r="C56" s="1" t="s">
        <v>1206</v>
      </c>
      <c r="D56" s="1"/>
      <c r="E56" s="1"/>
      <c r="F56" s="1"/>
      <c r="G56" s="44" t="s">
        <v>1218</v>
      </c>
      <c r="H56" s="322">
        <f>V48</f>
        <v>0</v>
      </c>
      <c r="I56" s="322">
        <f>W48</f>
        <v>19</v>
      </c>
      <c r="J56" s="322">
        <f>X48</f>
        <v>22</v>
      </c>
      <c r="K56" s="322">
        <f>Y48</f>
        <v>13</v>
      </c>
      <c r="L56" s="322">
        <f>Z48</f>
        <v>0</v>
      </c>
      <c r="M56" s="322">
        <f t="shared" ref="M56:M62" si="211">SUM(H56:L56)</f>
        <v>54</v>
      </c>
      <c r="N56" s="1399" t="s">
        <v>946</v>
      </c>
      <c r="O56" s="1400"/>
      <c r="P56" s="1156"/>
      <c r="Q56" s="499">
        <f t="shared" ref="Q56:Q62" si="212">ABS(M56-AF56)</f>
        <v>54</v>
      </c>
      <c r="R56" s="499"/>
      <c r="S56" s="499"/>
      <c r="T56" s="1745"/>
      <c r="U56" s="1746"/>
      <c r="V56" s="581"/>
      <c r="W56" s="581"/>
      <c r="X56" s="581"/>
      <c r="Y56" s="581"/>
      <c r="Z56" s="582"/>
      <c r="AA56" s="583"/>
      <c r="AB56" s="583"/>
      <c r="AC56" s="583"/>
      <c r="AD56" s="583"/>
      <c r="AE56" s="583"/>
      <c r="AF56" s="583"/>
      <c r="AG56" s="582"/>
      <c r="AH56" s="568"/>
      <c r="GW56" s="579"/>
      <c r="HL56" s="566"/>
    </row>
    <row r="57" spans="1:221" ht="12" customHeight="1">
      <c r="A57" s="1394" t="s">
        <v>464</v>
      </c>
      <c r="B57" s="1394"/>
      <c r="C57" s="5"/>
      <c r="D57" s="1"/>
      <c r="E57" s="1"/>
      <c r="F57" s="1"/>
      <c r="G57" s="44" t="s">
        <v>121</v>
      </c>
      <c r="H57" s="323">
        <f>AA48</f>
        <v>0</v>
      </c>
      <c r="I57" s="323">
        <f>AB48</f>
        <v>5</v>
      </c>
      <c r="J57" s="323">
        <f>AC48</f>
        <v>8</v>
      </c>
      <c r="K57" s="323">
        <f>AD48</f>
        <v>2</v>
      </c>
      <c r="L57" s="323">
        <f>AE48</f>
        <v>0</v>
      </c>
      <c r="M57" s="323">
        <f t="shared" si="211"/>
        <v>15</v>
      </c>
      <c r="N57" s="1399"/>
      <c r="O57" s="1400"/>
      <c r="P57" s="1156"/>
      <c r="Q57" s="499">
        <f t="shared" si="212"/>
        <v>15</v>
      </c>
      <c r="R57" s="499"/>
      <c r="S57" s="499"/>
      <c r="T57" s="1753"/>
      <c r="U57" s="1754"/>
      <c r="V57" s="584"/>
      <c r="W57" s="581"/>
      <c r="X57" s="581"/>
      <c r="Y57" s="581"/>
      <c r="Z57" s="582"/>
      <c r="AA57" s="583"/>
      <c r="AB57" s="583"/>
      <c r="AC57" s="583"/>
      <c r="AD57" s="583"/>
      <c r="AE57" s="583"/>
      <c r="AF57" s="583"/>
      <c r="AG57" s="582"/>
      <c r="AH57" s="568"/>
      <c r="GW57" s="579"/>
      <c r="HL57" s="566"/>
    </row>
    <row r="58" spans="1:221" ht="12" customHeight="1">
      <c r="A58" s="1394"/>
      <c r="B58" s="1394"/>
      <c r="C58" s="5"/>
      <c r="D58" s="1"/>
      <c r="E58" s="1"/>
      <c r="F58" s="1"/>
      <c r="G58" s="44" t="s">
        <v>572</v>
      </c>
      <c r="H58" s="324">
        <f>SUM(H56:H57)</f>
        <v>0</v>
      </c>
      <c r="I58" s="324">
        <f>SUM(I56:I57)</f>
        <v>24</v>
      </c>
      <c r="J58" s="324">
        <f>SUM(J56:J57)</f>
        <v>30</v>
      </c>
      <c r="K58" s="324">
        <f>SUM(K56:K57)</f>
        <v>15</v>
      </c>
      <c r="L58" s="324">
        <f>SUM(L56:L57)</f>
        <v>0</v>
      </c>
      <c r="M58" s="324">
        <f t="shared" si="211"/>
        <v>69</v>
      </c>
      <c r="N58" s="327"/>
      <c r="O58" s="96"/>
      <c r="Q58" s="499">
        <f t="shared" si="212"/>
        <v>69</v>
      </c>
      <c r="R58" s="499"/>
      <c r="S58" s="499"/>
      <c r="T58" s="1753"/>
      <c r="U58" s="1754"/>
      <c r="V58" s="584"/>
      <c r="W58" s="581"/>
      <c r="X58" s="581"/>
      <c r="Y58" s="581"/>
      <c r="Z58" s="582"/>
      <c r="AA58" s="583"/>
      <c r="AB58" s="583"/>
      <c r="AC58" s="583"/>
      <c r="AD58" s="583"/>
      <c r="AE58" s="583"/>
      <c r="AF58" s="583"/>
      <c r="AG58" s="582"/>
      <c r="AH58" s="568"/>
      <c r="GW58" s="579"/>
      <c r="HL58" s="566"/>
    </row>
    <row r="59" spans="1:221" ht="12" customHeight="1">
      <c r="A59" s="1394"/>
      <c r="B59" s="1394"/>
      <c r="C59" s="1" t="s">
        <v>319</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3"/>
      <c r="U59" s="1754"/>
      <c r="V59" s="568"/>
      <c r="W59" s="581"/>
      <c r="X59" s="581"/>
      <c r="Y59" s="581"/>
      <c r="Z59" s="582"/>
      <c r="AA59" s="583"/>
      <c r="AB59" s="583"/>
      <c r="AC59" s="583"/>
      <c r="AD59" s="583"/>
      <c r="AE59" s="583"/>
      <c r="AF59" s="583"/>
      <c r="AG59" s="565"/>
      <c r="AH59" s="568"/>
      <c r="GW59" s="579"/>
      <c r="HL59" s="566"/>
    </row>
    <row r="60" spans="1:221" ht="12" customHeight="1">
      <c r="A60" s="1394"/>
      <c r="B60" s="1394"/>
      <c r="C60" s="1" t="s">
        <v>1207</v>
      </c>
      <c r="D60" s="1"/>
      <c r="E60" s="1"/>
      <c r="F60" s="1"/>
      <c r="G60" s="44"/>
      <c r="H60" s="324">
        <f>SUM(H58:H59)</f>
        <v>0</v>
      </c>
      <c r="I60" s="324">
        <f>SUM(I58:I59)</f>
        <v>24</v>
      </c>
      <c r="J60" s="324">
        <f>SUM(J58:J59)</f>
        <v>30</v>
      </c>
      <c r="K60" s="324">
        <f>SUM(K58:K59)</f>
        <v>15</v>
      </c>
      <c r="L60" s="324">
        <f>SUM(L58:L59)</f>
        <v>0</v>
      </c>
      <c r="M60" s="324">
        <f t="shared" si="211"/>
        <v>69</v>
      </c>
      <c r="N60" s="65"/>
      <c r="O60" s="96"/>
      <c r="Q60" s="499">
        <f t="shared" si="212"/>
        <v>69</v>
      </c>
      <c r="R60" s="499"/>
      <c r="S60" s="499"/>
      <c r="T60" s="1753"/>
      <c r="U60" s="1754"/>
      <c r="V60" s="581"/>
      <c r="W60" s="581"/>
      <c r="X60" s="581"/>
      <c r="Y60" s="581"/>
      <c r="Z60" s="582"/>
      <c r="AA60" s="583"/>
      <c r="AB60" s="583"/>
      <c r="AC60" s="583"/>
      <c r="AD60" s="583"/>
      <c r="AE60" s="583"/>
      <c r="AF60" s="583"/>
      <c r="AG60" s="565"/>
      <c r="AH60" s="568"/>
      <c r="GW60" s="579"/>
      <c r="HL60" s="566"/>
    </row>
    <row r="61" spans="1:221" ht="12" customHeight="1">
      <c r="A61" s="1394"/>
      <c r="B61" s="1394"/>
      <c r="C61" s="1" t="s">
        <v>2684</v>
      </c>
      <c r="D61" s="1"/>
      <c r="E61" s="1"/>
      <c r="F61" s="1"/>
      <c r="G61" s="44"/>
      <c r="H61" s="324">
        <f>BT48</f>
        <v>0</v>
      </c>
      <c r="I61" s="324">
        <f>BU48</f>
        <v>0</v>
      </c>
      <c r="J61" s="324">
        <f>BV48</f>
        <v>0</v>
      </c>
      <c r="K61" s="324">
        <f>BW48</f>
        <v>0</v>
      </c>
      <c r="L61" s="324">
        <f>BX48</f>
        <v>0</v>
      </c>
      <c r="M61" s="324">
        <f t="shared" si="211"/>
        <v>0</v>
      </c>
      <c r="N61" s="62" t="s">
        <v>2358</v>
      </c>
      <c r="O61" s="96"/>
      <c r="Q61" s="499">
        <f t="shared" si="212"/>
        <v>0</v>
      </c>
      <c r="R61" s="499"/>
      <c r="S61" s="499"/>
      <c r="T61" s="1753"/>
      <c r="U61" s="1754"/>
      <c r="V61" s="581"/>
      <c r="W61" s="581"/>
      <c r="X61" s="581"/>
      <c r="Y61" s="581"/>
      <c r="Z61" s="582"/>
      <c r="AA61" s="583"/>
      <c r="AB61" s="583"/>
      <c r="AC61" s="583"/>
      <c r="AD61" s="583"/>
      <c r="AE61" s="583"/>
      <c r="AF61" s="583"/>
      <c r="AG61" s="582"/>
      <c r="AH61" s="568"/>
      <c r="GW61" s="579"/>
      <c r="HL61" s="566"/>
    </row>
    <row r="62" spans="1:221" ht="12" customHeight="1">
      <c r="A62" s="1394"/>
      <c r="B62" s="1394"/>
      <c r="C62" s="1" t="s">
        <v>572</v>
      </c>
      <c r="D62" s="1"/>
      <c r="E62" s="1"/>
      <c r="F62" s="1"/>
      <c r="G62" s="44"/>
      <c r="H62" s="324">
        <f>SUM(H60:H61)</f>
        <v>0</v>
      </c>
      <c r="I62" s="324">
        <f>SUM(I60:I61)</f>
        <v>24</v>
      </c>
      <c r="J62" s="324">
        <f>SUM(J60:J61)</f>
        <v>30</v>
      </c>
      <c r="K62" s="324">
        <f>SUM(K60:K61)</f>
        <v>15</v>
      </c>
      <c r="L62" s="324">
        <f>SUM(L60:L61)</f>
        <v>0</v>
      </c>
      <c r="M62" s="324">
        <f t="shared" si="211"/>
        <v>69</v>
      </c>
      <c r="O62" s="96"/>
      <c r="Q62" s="499">
        <f t="shared" si="212"/>
        <v>69</v>
      </c>
      <c r="R62" s="499"/>
      <c r="S62" s="499"/>
      <c r="T62" s="1761"/>
      <c r="U62" s="1762"/>
      <c r="V62" s="581"/>
      <c r="W62" s="581"/>
      <c r="X62" s="581"/>
      <c r="Y62" s="581"/>
      <c r="Z62" s="582"/>
      <c r="AA62" s="583"/>
      <c r="AB62" s="583"/>
      <c r="AC62" s="583"/>
      <c r="AD62" s="583"/>
      <c r="AE62" s="583"/>
      <c r="AF62" s="583"/>
      <c r="AG62" s="1177"/>
      <c r="AH62" s="568"/>
      <c r="GW62" s="579"/>
      <c r="HL62" s="566"/>
    </row>
    <row r="63" spans="1:221" ht="12" customHeight="1">
      <c r="A63" s="1394"/>
      <c r="B63" s="1394"/>
      <c r="C63" s="1"/>
      <c r="D63" s="1"/>
      <c r="E63" s="1"/>
      <c r="F63" s="1"/>
      <c r="G63" s="44"/>
      <c r="H63" s="15"/>
      <c r="I63" s="15"/>
      <c r="J63" s="15"/>
      <c r="K63" s="15"/>
      <c r="L63" s="15"/>
      <c r="M63" s="15"/>
      <c r="O63" s="96"/>
      <c r="Q63" s="499"/>
      <c r="R63" s="499"/>
      <c r="S63" s="499"/>
      <c r="T63" s="382" t="str">
        <f>C64</f>
        <v>PBRA-Assisted</v>
      </c>
      <c r="U63" s="181"/>
      <c r="V63" s="581"/>
      <c r="W63" s="581"/>
      <c r="X63" s="581"/>
      <c r="Y63" s="581"/>
      <c r="Z63" s="582"/>
      <c r="AA63" s="581"/>
      <c r="AB63" s="581"/>
      <c r="AC63" s="581"/>
      <c r="AD63" s="581"/>
      <c r="AE63" s="581"/>
      <c r="AF63" s="581"/>
      <c r="AG63" s="1177"/>
      <c r="AH63" s="568"/>
      <c r="GW63" s="579"/>
      <c r="HL63" s="566"/>
    </row>
    <row r="64" spans="1:221" ht="12" customHeight="1">
      <c r="A64" s="1394"/>
      <c r="B64" s="1394"/>
      <c r="C64" s="1" t="s">
        <v>990</v>
      </c>
      <c r="D64" s="1"/>
      <c r="E64" s="127"/>
      <c r="F64" s="1"/>
      <c r="G64" s="44" t="s">
        <v>1218</v>
      </c>
      <c r="H64" s="322">
        <f>AZ48</f>
        <v>0</v>
      </c>
      <c r="I64" s="322">
        <f>BA48</f>
        <v>19</v>
      </c>
      <c r="J64" s="322">
        <f>BB48</f>
        <v>22</v>
      </c>
      <c r="K64" s="322">
        <f>BC48</f>
        <v>13</v>
      </c>
      <c r="L64" s="322">
        <f>BD48</f>
        <v>0</v>
      </c>
      <c r="M64" s="322">
        <f>SUM(H64:L64)</f>
        <v>54</v>
      </c>
      <c r="N64" s="62"/>
      <c r="O64" s="96"/>
      <c r="Q64" s="499">
        <f>ABS(M64-AF64)</f>
        <v>54</v>
      </c>
      <c r="R64" s="499"/>
      <c r="S64" s="499"/>
      <c r="T64" s="1745"/>
      <c r="U64" s="1746"/>
      <c r="V64" s="581"/>
      <c r="W64" s="581"/>
      <c r="X64" s="585"/>
      <c r="Y64" s="581"/>
      <c r="Z64" s="582"/>
      <c r="AA64" s="583"/>
      <c r="AB64" s="583"/>
      <c r="AC64" s="583"/>
      <c r="AD64" s="583"/>
      <c r="AE64" s="583"/>
      <c r="AF64" s="583"/>
      <c r="AG64" s="582"/>
      <c r="AH64" s="568"/>
      <c r="GW64" s="579"/>
      <c r="HL64" s="566"/>
    </row>
    <row r="65" spans="1:220" ht="12" customHeight="1">
      <c r="A65" s="1394"/>
      <c r="B65" s="1394"/>
      <c r="C65" s="44" t="s">
        <v>2685</v>
      </c>
      <c r="D65" s="1"/>
      <c r="E65" s="127"/>
      <c r="F65" s="1"/>
      <c r="G65" s="44" t="s">
        <v>121</v>
      </c>
      <c r="H65" s="323">
        <f>AU48</f>
        <v>0</v>
      </c>
      <c r="I65" s="323">
        <f>AV48</f>
        <v>5</v>
      </c>
      <c r="J65" s="323">
        <f>AW48</f>
        <v>8</v>
      </c>
      <c r="K65" s="323">
        <f>AX48</f>
        <v>2</v>
      </c>
      <c r="L65" s="323">
        <f>AY48</f>
        <v>0</v>
      </c>
      <c r="M65" s="325">
        <f>SUM(H65:L65)</f>
        <v>15</v>
      </c>
      <c r="N65" s="62"/>
      <c r="O65" s="96"/>
      <c r="Q65" s="499">
        <f>ABS(M65-AF65)</f>
        <v>15</v>
      </c>
      <c r="R65" s="499"/>
      <c r="S65" s="499"/>
      <c r="T65" s="1753"/>
      <c r="U65" s="1754"/>
      <c r="V65" s="582"/>
      <c r="W65" s="581"/>
      <c r="X65" s="585"/>
      <c r="Y65" s="581"/>
      <c r="Z65" s="582"/>
      <c r="AA65" s="583"/>
      <c r="AB65" s="583"/>
      <c r="AC65" s="583"/>
      <c r="AD65" s="583"/>
      <c r="AE65" s="583"/>
      <c r="AF65" s="583"/>
      <c r="AG65" s="582"/>
      <c r="AH65" s="568"/>
      <c r="GW65" s="579"/>
      <c r="HL65" s="566"/>
    </row>
    <row r="66" spans="1:220" ht="12" customHeight="1">
      <c r="A66" s="1394"/>
      <c r="B66" s="1394"/>
      <c r="C66" s="5"/>
      <c r="D66" s="1"/>
      <c r="E66" s="127"/>
      <c r="F66" s="1"/>
      <c r="G66" s="44" t="s">
        <v>572</v>
      </c>
      <c r="H66" s="324">
        <f>SUM(H64:H65)</f>
        <v>0</v>
      </c>
      <c r="I66" s="324">
        <f>SUM(I64:I65)</f>
        <v>24</v>
      </c>
      <c r="J66" s="324">
        <f>SUM(J64:J65)</f>
        <v>30</v>
      </c>
      <c r="K66" s="324">
        <f>SUM(K64:K65)</f>
        <v>15</v>
      </c>
      <c r="L66" s="324">
        <f>SUM(L64:L65)</f>
        <v>0</v>
      </c>
      <c r="M66" s="324">
        <f>SUM(H66:L66)</f>
        <v>69</v>
      </c>
      <c r="N66" s="62"/>
      <c r="O66" s="96"/>
      <c r="Q66" s="499">
        <f>ABS(M66-AF66)</f>
        <v>69</v>
      </c>
      <c r="R66" s="499"/>
      <c r="S66" s="499"/>
      <c r="T66" s="1761"/>
      <c r="U66" s="1762"/>
      <c r="V66" s="584"/>
      <c r="W66" s="581"/>
      <c r="X66" s="585"/>
      <c r="Y66" s="581"/>
      <c r="Z66" s="582"/>
      <c r="AA66" s="583"/>
      <c r="AB66" s="583"/>
      <c r="AC66" s="583"/>
      <c r="AD66" s="583"/>
      <c r="AE66" s="583"/>
      <c r="AF66" s="583"/>
      <c r="AG66" s="582"/>
      <c r="AH66" s="568"/>
      <c r="GW66" s="579"/>
      <c r="HL66" s="566"/>
    </row>
    <row r="67" spans="1:220" ht="12" customHeight="1">
      <c r="A67" s="1394"/>
      <c r="B67" s="1394"/>
      <c r="C67" s="1"/>
      <c r="D67" s="1"/>
      <c r="E67" s="1"/>
      <c r="F67" s="1"/>
      <c r="G67" s="44"/>
      <c r="H67" s="15"/>
      <c r="I67" s="15"/>
      <c r="J67" s="15"/>
      <c r="K67" s="15"/>
      <c r="L67" s="15"/>
      <c r="M67" s="15"/>
      <c r="O67" s="96"/>
      <c r="Q67" s="499"/>
      <c r="R67" s="499"/>
      <c r="S67" s="499"/>
      <c r="T67" s="382" t="str">
        <f>C68</f>
        <v>PHA Operating Subsidy-Assisted</v>
      </c>
      <c r="U67" s="181"/>
      <c r="V67" s="581"/>
      <c r="W67" s="581"/>
      <c r="X67" s="581"/>
      <c r="Y67" s="581"/>
      <c r="Z67" s="582"/>
      <c r="AA67" s="581"/>
      <c r="AB67" s="581"/>
      <c r="AC67" s="581"/>
      <c r="AD67" s="581"/>
      <c r="AE67" s="581"/>
      <c r="AF67" s="581"/>
      <c r="AG67" s="1177"/>
      <c r="AH67" s="568"/>
      <c r="GW67" s="579"/>
      <c r="HL67" s="566"/>
    </row>
    <row r="68" spans="1:220" ht="12" customHeight="1">
      <c r="A68" s="1394"/>
      <c r="B68" s="1394"/>
      <c r="C68" s="1" t="s">
        <v>945</v>
      </c>
      <c r="D68" s="1"/>
      <c r="E68" s="127"/>
      <c r="F68" s="1"/>
      <c r="G68" s="44" t="s">
        <v>1218</v>
      </c>
      <c r="H68" s="322">
        <f>BO48</f>
        <v>0</v>
      </c>
      <c r="I68" s="322">
        <f>BP48</f>
        <v>0</v>
      </c>
      <c r="J68" s="322">
        <f>BQ48</f>
        <v>0</v>
      </c>
      <c r="K68" s="322">
        <f>BR48</f>
        <v>0</v>
      </c>
      <c r="L68" s="322">
        <f>BS48</f>
        <v>0</v>
      </c>
      <c r="M68" s="322">
        <f>SUM(H68:L68)</f>
        <v>0</v>
      </c>
      <c r="N68" s="62"/>
      <c r="O68" s="96"/>
      <c r="Q68" s="499">
        <f>ABS(M68-AF68)</f>
        <v>0</v>
      </c>
      <c r="R68" s="499"/>
      <c r="S68" s="499"/>
      <c r="T68" s="1745"/>
      <c r="U68" s="1746"/>
      <c r="V68" s="568"/>
      <c r="W68" s="581"/>
      <c r="X68" s="585"/>
      <c r="Y68" s="581"/>
      <c r="Z68" s="582"/>
      <c r="AA68" s="583"/>
      <c r="AB68" s="583"/>
      <c r="AC68" s="583"/>
      <c r="AD68" s="583"/>
      <c r="AE68" s="583"/>
      <c r="AF68" s="583"/>
      <c r="AG68" s="582"/>
      <c r="AH68" s="568"/>
      <c r="GW68" s="579"/>
      <c r="HL68" s="566"/>
    </row>
    <row r="69" spans="1:220" ht="12" customHeight="1">
      <c r="A69" s="1394"/>
      <c r="B69" s="1394"/>
      <c r="C69" s="44" t="s">
        <v>2685</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3"/>
      <c r="U69" s="1754"/>
      <c r="V69" s="586"/>
      <c r="W69" s="581"/>
      <c r="X69" s="585"/>
      <c r="Y69" s="581"/>
      <c r="Z69" s="582"/>
      <c r="AA69" s="583"/>
      <c r="AB69" s="583"/>
      <c r="AC69" s="583"/>
      <c r="AD69" s="583"/>
      <c r="AE69" s="583"/>
      <c r="AF69" s="583"/>
      <c r="AG69" s="582"/>
      <c r="AH69" s="568"/>
      <c r="GW69" s="579"/>
      <c r="HL69" s="566"/>
    </row>
    <row r="70" spans="1:220" ht="12" customHeight="1">
      <c r="A70" s="1394"/>
      <c r="B70" s="1394"/>
      <c r="C70" s="5"/>
      <c r="D70" s="1"/>
      <c r="E70" s="127"/>
      <c r="F70" s="1"/>
      <c r="G70" s="44" t="s">
        <v>572</v>
      </c>
      <c r="H70" s="324">
        <f>SUM(H68:H69)</f>
        <v>0</v>
      </c>
      <c r="I70" s="324">
        <f>SUM(I68:I69)</f>
        <v>0</v>
      </c>
      <c r="J70" s="324">
        <f>SUM(J68:J69)</f>
        <v>0</v>
      </c>
      <c r="K70" s="324">
        <f>SUM(K68:K69)</f>
        <v>0</v>
      </c>
      <c r="L70" s="324">
        <f>SUM(L68:L69)</f>
        <v>0</v>
      </c>
      <c r="M70" s="324">
        <f>SUM(H70:L70)</f>
        <v>0</v>
      </c>
      <c r="N70" s="62"/>
      <c r="O70" s="96"/>
      <c r="Q70" s="499">
        <f>ABS(M70-AF70)</f>
        <v>0</v>
      </c>
      <c r="R70" s="499"/>
      <c r="S70" s="499"/>
      <c r="T70" s="1761"/>
      <c r="U70" s="1762"/>
      <c r="V70" s="584"/>
      <c r="W70" s="581"/>
      <c r="X70" s="585"/>
      <c r="Y70" s="581"/>
      <c r="Z70" s="582"/>
      <c r="AA70" s="583"/>
      <c r="AB70" s="583"/>
      <c r="AC70" s="583"/>
      <c r="AD70" s="583"/>
      <c r="AE70" s="583"/>
      <c r="AF70" s="583"/>
      <c r="AG70" s="582"/>
      <c r="AH70" s="568"/>
      <c r="GW70" s="579"/>
      <c r="HL70" s="566"/>
    </row>
    <row r="71" spans="1:220" ht="12" customHeight="1">
      <c r="A71" s="1394"/>
      <c r="B71" s="1394"/>
      <c r="C71" s="1" t="s">
        <v>40</v>
      </c>
      <c r="D71" s="1"/>
      <c r="E71" s="127"/>
      <c r="F71" s="1"/>
      <c r="G71" s="44"/>
      <c r="H71" s="15"/>
      <c r="I71" s="15"/>
      <c r="J71" s="15"/>
      <c r="K71" s="15"/>
      <c r="L71" s="15"/>
      <c r="M71" s="15"/>
      <c r="O71" s="96"/>
      <c r="Q71" s="499"/>
      <c r="R71" s="499"/>
      <c r="S71" s="499"/>
      <c r="T71" s="382" t="str">
        <f>C71</f>
        <v>Type of Construction Activity</v>
      </c>
      <c r="U71" s="181"/>
      <c r="V71" s="581"/>
      <c r="W71" s="581"/>
      <c r="X71" s="585"/>
      <c r="Y71" s="581"/>
      <c r="Z71" s="582"/>
      <c r="AA71" s="581"/>
      <c r="AB71" s="581"/>
      <c r="AC71" s="581"/>
      <c r="AD71" s="581"/>
      <c r="AE71" s="581"/>
      <c r="AF71" s="581"/>
      <c r="AG71" s="1177"/>
      <c r="AH71" s="568"/>
      <c r="GW71" s="579"/>
      <c r="HL71" s="566"/>
    </row>
    <row r="72" spans="1:220" ht="12" customHeight="1">
      <c r="A72" s="1394"/>
      <c r="B72" s="1394"/>
      <c r="C72" s="1"/>
      <c r="D72" s="1"/>
      <c r="E72" s="120" t="s">
        <v>2446</v>
      </c>
      <c r="F72" s="1"/>
      <c r="G72" s="44" t="s">
        <v>1526</v>
      </c>
      <c r="H72" s="322">
        <f>DC48</f>
        <v>0</v>
      </c>
      <c r="I72" s="322">
        <f>DD48</f>
        <v>24</v>
      </c>
      <c r="J72" s="322">
        <f>DE48</f>
        <v>30</v>
      </c>
      <c r="K72" s="322">
        <f>DF48</f>
        <v>15</v>
      </c>
      <c r="L72" s="322">
        <f>DG48</f>
        <v>0</v>
      </c>
      <c r="M72" s="322">
        <f t="shared" ref="M72:M82" si="213">SUM(H72:L72)</f>
        <v>69</v>
      </c>
      <c r="N72" s="31"/>
      <c r="O72" s="96"/>
      <c r="Q72" s="499">
        <f t="shared" ref="Q72:Q80" si="214">ABS(M72-AF72)</f>
        <v>69</v>
      </c>
      <c r="R72" s="499"/>
      <c r="S72" s="499"/>
      <c r="T72" s="1745"/>
      <c r="U72" s="1746"/>
      <c r="V72" s="581"/>
      <c r="W72" s="581"/>
      <c r="X72" s="585"/>
      <c r="Y72" s="581"/>
      <c r="Z72" s="582"/>
      <c r="AA72" s="583"/>
      <c r="AB72" s="583"/>
      <c r="AC72" s="583"/>
      <c r="AD72" s="583"/>
      <c r="AE72" s="583"/>
      <c r="AF72" s="583"/>
      <c r="AG72" s="1177"/>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394"/>
      <c r="B73" s="1394"/>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3"/>
      <c r="U73" s="1754"/>
      <c r="V73" s="581"/>
      <c r="W73" s="581"/>
      <c r="X73" s="585"/>
      <c r="Y73" s="581"/>
      <c r="Z73" s="582"/>
      <c r="AA73" s="583"/>
      <c r="AB73" s="583"/>
      <c r="AC73" s="583"/>
      <c r="AD73" s="583"/>
      <c r="AE73" s="583"/>
      <c r="AF73" s="583"/>
      <c r="AG73" s="565"/>
      <c r="AH73" s="568"/>
      <c r="GW73" s="579"/>
      <c r="HL73" s="566"/>
    </row>
    <row r="74" spans="1:220" ht="12" customHeight="1">
      <c r="A74" s="1394"/>
      <c r="B74" s="1394"/>
      <c r="C74" s="5"/>
      <c r="D74" s="1"/>
      <c r="E74" s="127"/>
      <c r="F74" s="1"/>
      <c r="G74" s="44" t="s">
        <v>33</v>
      </c>
      <c r="H74" s="324">
        <f>SUM(H72:H73)+DM48</f>
        <v>0</v>
      </c>
      <c r="I74" s="324">
        <f>SUM(I72:I73)+DN48</f>
        <v>24</v>
      </c>
      <c r="J74" s="324">
        <f>SUM(J72:J73)+DO48</f>
        <v>30</v>
      </c>
      <c r="K74" s="324">
        <f>SUM(K72:K73)+DP48</f>
        <v>15</v>
      </c>
      <c r="L74" s="324">
        <f>SUM(L72:L73)+DQ48</f>
        <v>0</v>
      </c>
      <c r="M74" s="324">
        <f t="shared" si="213"/>
        <v>69</v>
      </c>
      <c r="N74" s="62"/>
      <c r="O74" s="96"/>
      <c r="Q74" s="499">
        <f t="shared" si="214"/>
        <v>69</v>
      </c>
      <c r="R74" s="499"/>
      <c r="S74" s="499"/>
      <c r="T74" s="1753"/>
      <c r="U74" s="1754"/>
      <c r="V74" s="584"/>
      <c r="W74" s="581"/>
      <c r="X74" s="585"/>
      <c r="Y74" s="581"/>
      <c r="Z74" s="586"/>
      <c r="AA74" s="583"/>
      <c r="AB74" s="583"/>
      <c r="AC74" s="583"/>
      <c r="AD74" s="583"/>
      <c r="AE74" s="583"/>
      <c r="AF74" s="583"/>
      <c r="AG74" s="582"/>
      <c r="AH74" s="568"/>
      <c r="GW74" s="579"/>
      <c r="HL74" s="566"/>
    </row>
    <row r="75" spans="1:220" ht="12" customHeight="1">
      <c r="A75" s="1394"/>
      <c r="B75" s="1394"/>
      <c r="C75" s="1"/>
      <c r="D75" s="1"/>
      <c r="E75" s="120" t="s">
        <v>2277</v>
      </c>
      <c r="F75" s="1"/>
      <c r="G75" s="44" t="s">
        <v>1526</v>
      </c>
      <c r="H75" s="322">
        <f>DR48</f>
        <v>0</v>
      </c>
      <c r="I75" s="322">
        <f>DS48</f>
        <v>0</v>
      </c>
      <c r="J75" s="322">
        <f>DT48</f>
        <v>0</v>
      </c>
      <c r="K75" s="322">
        <f>DU48</f>
        <v>0</v>
      </c>
      <c r="L75" s="322">
        <f>DV48</f>
        <v>0</v>
      </c>
      <c r="M75" s="322">
        <f t="shared" si="213"/>
        <v>0</v>
      </c>
      <c r="N75" s="31"/>
      <c r="O75" s="96"/>
      <c r="Q75" s="499">
        <f t="shared" si="214"/>
        <v>0</v>
      </c>
      <c r="R75" s="499"/>
      <c r="S75" s="499"/>
      <c r="T75" s="1753"/>
      <c r="U75" s="1754"/>
      <c r="V75" s="581"/>
      <c r="W75" s="581"/>
      <c r="X75" s="585"/>
      <c r="Y75" s="581"/>
      <c r="Z75" s="582"/>
      <c r="AA75" s="583"/>
      <c r="AB75" s="583"/>
      <c r="AC75" s="583"/>
      <c r="AD75" s="583"/>
      <c r="AE75" s="583"/>
      <c r="AF75" s="583"/>
      <c r="AG75" s="1177"/>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499">
        <f t="shared" si="214"/>
        <v>0</v>
      </c>
      <c r="R76" s="499"/>
      <c r="S76" s="499"/>
      <c r="T76" s="1753"/>
      <c r="U76" s="1754"/>
      <c r="V76" s="581"/>
      <c r="W76" s="581"/>
      <c r="X76" s="585"/>
      <c r="Y76" s="581"/>
      <c r="Z76" s="582"/>
      <c r="AA76" s="583"/>
      <c r="AB76" s="583"/>
      <c r="AC76" s="583"/>
      <c r="AD76" s="583"/>
      <c r="AE76" s="583"/>
      <c r="AF76" s="583"/>
      <c r="AG76" s="565"/>
      <c r="AH76" s="568"/>
      <c r="GW76" s="579"/>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3"/>
      <c r="U77" s="1754"/>
      <c r="V77" s="584"/>
      <c r="W77" s="581"/>
      <c r="X77" s="585"/>
      <c r="Y77" s="581"/>
      <c r="Z77" s="586"/>
      <c r="AA77" s="583"/>
      <c r="AB77" s="583"/>
      <c r="AC77" s="583"/>
      <c r="AD77" s="583"/>
      <c r="AE77" s="583"/>
      <c r="AF77" s="583"/>
      <c r="AG77" s="582"/>
      <c r="AH77" s="568"/>
      <c r="GW77" s="579"/>
      <c r="HL77" s="566"/>
    </row>
    <row r="78" spans="1:220" ht="12" customHeight="1">
      <c r="C78" s="1"/>
      <c r="D78" s="1"/>
      <c r="E78" s="1401" t="s">
        <v>1512</v>
      </c>
      <c r="F78" s="1401"/>
      <c r="G78" s="44" t="s">
        <v>1526</v>
      </c>
      <c r="H78" s="322">
        <f>EG48</f>
        <v>0</v>
      </c>
      <c r="I78" s="322">
        <f>EH48</f>
        <v>0</v>
      </c>
      <c r="J78" s="322">
        <f>EI48</f>
        <v>0</v>
      </c>
      <c r="K78" s="322">
        <f>EJ48</f>
        <v>0</v>
      </c>
      <c r="L78" s="322">
        <f>EK48</f>
        <v>0</v>
      </c>
      <c r="M78" s="322">
        <f t="shared" si="213"/>
        <v>0</v>
      </c>
      <c r="N78" s="31"/>
      <c r="O78" s="96"/>
      <c r="Q78" s="499">
        <f t="shared" si="214"/>
        <v>0</v>
      </c>
      <c r="R78" s="499"/>
      <c r="S78" s="499"/>
      <c r="T78" s="1753"/>
      <c r="U78" s="1754"/>
      <c r="V78" s="581"/>
      <c r="W78" s="581"/>
      <c r="X78" s="585"/>
      <c r="Y78" s="581"/>
      <c r="Z78" s="582"/>
      <c r="AA78" s="583"/>
      <c r="AB78" s="583"/>
      <c r="AC78" s="583"/>
      <c r="AD78" s="583"/>
      <c r="AE78" s="583"/>
      <c r="AF78" s="583"/>
      <c r="AG78" s="1177"/>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1"/>
      <c r="D79" s="1"/>
      <c r="E79" s="1401"/>
      <c r="F79" s="1401"/>
      <c r="G79" s="44" t="s">
        <v>319</v>
      </c>
      <c r="H79" s="326">
        <f>EL48</f>
        <v>0</v>
      </c>
      <c r="I79" s="326">
        <f>EM48</f>
        <v>0</v>
      </c>
      <c r="J79" s="326">
        <f>EN48</f>
        <v>0</v>
      </c>
      <c r="K79" s="326">
        <f>EO48</f>
        <v>0</v>
      </c>
      <c r="L79" s="326">
        <f>EP48</f>
        <v>0</v>
      </c>
      <c r="M79" s="326">
        <f t="shared" si="213"/>
        <v>0</v>
      </c>
      <c r="N79" s="65"/>
      <c r="O79" s="96"/>
      <c r="Q79" s="499">
        <f t="shared" si="214"/>
        <v>0</v>
      </c>
      <c r="R79" s="499"/>
      <c r="S79" s="499"/>
      <c r="T79" s="1753"/>
      <c r="U79" s="1754"/>
      <c r="V79" s="581"/>
      <c r="W79" s="581"/>
      <c r="X79" s="581"/>
      <c r="Y79" s="581"/>
      <c r="Z79" s="582"/>
      <c r="AA79" s="583"/>
      <c r="AB79" s="583"/>
      <c r="AC79" s="583"/>
      <c r="AD79" s="583"/>
      <c r="AE79" s="583"/>
      <c r="AF79" s="583"/>
      <c r="AG79" s="565"/>
      <c r="AH79" s="568"/>
      <c r="GW79" s="579"/>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3"/>
      <c r="U80" s="1754"/>
      <c r="V80" s="584"/>
      <c r="W80" s="581"/>
      <c r="X80" s="585"/>
      <c r="Y80" s="581"/>
      <c r="Z80" s="586"/>
      <c r="AA80" s="583"/>
      <c r="AB80" s="583"/>
      <c r="AC80" s="583"/>
      <c r="AD80" s="583"/>
      <c r="AE80" s="583"/>
      <c r="AF80" s="583"/>
      <c r="AG80" s="582"/>
      <c r="AH80" s="568"/>
      <c r="GW80" s="579"/>
      <c r="HL80" s="566"/>
    </row>
    <row r="81" spans="1:220" ht="12" customHeight="1">
      <c r="C81" s="1"/>
      <c r="D81" s="1"/>
      <c r="E81" s="127" t="s">
        <v>384</v>
      </c>
      <c r="F81" s="1"/>
      <c r="G81" s="44"/>
      <c r="H81" s="1764"/>
      <c r="I81" s="1764"/>
      <c r="J81" s="1764"/>
      <c r="K81" s="1764"/>
      <c r="L81" s="1764"/>
      <c r="M81" s="322">
        <f t="shared" si="213"/>
        <v>0</v>
      </c>
      <c r="N81" s="31"/>
      <c r="O81" s="96"/>
      <c r="T81" s="1753"/>
      <c r="U81" s="1754"/>
      <c r="V81" s="581"/>
      <c r="W81" s="581"/>
      <c r="X81" s="581"/>
      <c r="Y81" s="581"/>
      <c r="Z81" s="582"/>
      <c r="AA81" s="583"/>
      <c r="AB81" s="583"/>
      <c r="AC81" s="583"/>
      <c r="AD81" s="583"/>
      <c r="AE81" s="583"/>
      <c r="AF81" s="583"/>
      <c r="AG81" s="565"/>
      <c r="AH81" s="568"/>
      <c r="GW81" s="579"/>
      <c r="HL81" s="566"/>
    </row>
    <row r="82" spans="1:220" ht="12" customHeight="1">
      <c r="A82" s="1384" t="str">
        <f>IF(AND('Part IV-Uses of Funds'!$T$163="Yes",'Part IX A-Scoring Criteria'!$O$241&gt;0,M82&lt;1),"SHOW HISTORIC UNITS HERE &gt;&gt;&gt;&gt;","")</f>
        <v/>
      </c>
      <c r="B82" s="1384"/>
      <c r="C82" s="1384"/>
      <c r="D82" s="1384"/>
      <c r="E82" s="642" t="s">
        <v>385</v>
      </c>
      <c r="F82" s="1"/>
      <c r="G82" s="44"/>
      <c r="H82" s="1765"/>
      <c r="I82" s="1765"/>
      <c r="J82" s="1765"/>
      <c r="K82" s="1765"/>
      <c r="L82" s="1765"/>
      <c r="M82" s="326">
        <f t="shared" si="213"/>
        <v>0</v>
      </c>
      <c r="N82" s="65"/>
      <c r="O82" s="96"/>
      <c r="T82" s="1761"/>
      <c r="U82" s="1762"/>
      <c r="V82" s="581"/>
      <c r="W82" s="581"/>
      <c r="X82" s="581"/>
      <c r="Y82" s="581"/>
      <c r="Z82" s="582"/>
      <c r="AA82" s="583"/>
      <c r="AB82" s="583"/>
      <c r="AC82" s="583"/>
      <c r="AD82" s="583"/>
      <c r="AE82" s="583"/>
      <c r="AF82" s="583"/>
      <c r="AG82" s="565"/>
      <c r="AH82" s="568"/>
      <c r="GW82" s="579"/>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2"/>
      <c r="AA83" s="581"/>
      <c r="AB83" s="581"/>
      <c r="AC83" s="581"/>
      <c r="AD83" s="581"/>
      <c r="AE83" s="581"/>
      <c r="AF83" s="581"/>
      <c r="AG83" s="1177"/>
      <c r="AH83" s="568"/>
      <c r="GW83" s="579"/>
      <c r="HL83" s="566"/>
    </row>
    <row r="84" spans="1:220" ht="12" customHeight="1">
      <c r="C84" s="1"/>
      <c r="D84" s="1"/>
      <c r="E84" s="120" t="s">
        <v>42</v>
      </c>
      <c r="F84" s="1"/>
      <c r="G84" s="44"/>
      <c r="H84" s="322">
        <f>SUM(H85:H88)</f>
        <v>0</v>
      </c>
      <c r="I84" s="322">
        <f>SUM(I85:I88)</f>
        <v>24</v>
      </c>
      <c r="J84" s="322">
        <f>SUM(J85:J88)</f>
        <v>30</v>
      </c>
      <c r="K84" s="322">
        <f>SUM(K85:K88)</f>
        <v>15</v>
      </c>
      <c r="L84" s="322">
        <f>SUM(L85:L88)</f>
        <v>0</v>
      </c>
      <c r="M84" s="322">
        <f t="shared" ref="M84:M92" si="215">SUM(H84:L84)</f>
        <v>69</v>
      </c>
      <c r="N84" s="31"/>
      <c r="O84" s="96"/>
      <c r="Q84" s="499">
        <f>ABS(M84-AF84)</f>
        <v>69</v>
      </c>
      <c r="R84" s="499"/>
      <c r="S84" s="499"/>
      <c r="T84" s="1745"/>
      <c r="U84" s="1746"/>
      <c r="V84" s="568"/>
      <c r="W84" s="568"/>
      <c r="X84" s="585"/>
      <c r="Y84" s="568"/>
      <c r="Z84" s="582"/>
      <c r="AA84" s="583"/>
      <c r="AB84" s="583"/>
      <c r="AC84" s="583"/>
      <c r="AD84" s="583"/>
      <c r="AE84" s="583"/>
      <c r="AF84" s="583"/>
      <c r="AG84" s="1177"/>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1"/>
      <c r="D85" s="1"/>
      <c r="E85" s="120"/>
      <c r="F85" s="1"/>
      <c r="G85" s="44" t="s">
        <v>2789</v>
      </c>
      <c r="H85" s="325">
        <f>FU48</f>
        <v>0</v>
      </c>
      <c r="I85" s="325">
        <f>FV48</f>
        <v>0</v>
      </c>
      <c r="J85" s="325">
        <f>FW48</f>
        <v>0</v>
      </c>
      <c r="K85" s="325">
        <f>FX48</f>
        <v>0</v>
      </c>
      <c r="L85" s="325">
        <f>FY48</f>
        <v>0</v>
      </c>
      <c r="M85" s="323">
        <f t="shared" si="215"/>
        <v>0</v>
      </c>
      <c r="N85" s="31"/>
      <c r="O85" s="96"/>
      <c r="Q85" s="499"/>
      <c r="R85" s="499"/>
      <c r="S85" s="499"/>
      <c r="T85" s="1753"/>
      <c r="U85" s="1754"/>
      <c r="V85" s="568"/>
      <c r="W85" s="568"/>
      <c r="X85" s="585"/>
      <c r="Y85" s="568"/>
      <c r="Z85" s="582"/>
      <c r="AA85" s="583"/>
      <c r="AB85" s="583"/>
      <c r="AC85" s="583"/>
      <c r="AD85" s="583"/>
      <c r="AE85" s="583"/>
      <c r="AF85" s="583"/>
      <c r="AG85" s="1177"/>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1"/>
      <c r="D86" s="1"/>
      <c r="E86" s="120"/>
      <c r="F86" s="1"/>
      <c r="G86" s="44" t="s">
        <v>2790</v>
      </c>
      <c r="H86" s="325">
        <f>FZ48</f>
        <v>0</v>
      </c>
      <c r="I86" s="325">
        <f>GA48</f>
        <v>0</v>
      </c>
      <c r="J86" s="325">
        <f>GB48</f>
        <v>0</v>
      </c>
      <c r="K86" s="325">
        <f>GC48</f>
        <v>0</v>
      </c>
      <c r="L86" s="325">
        <f>GD48</f>
        <v>0</v>
      </c>
      <c r="M86" s="323">
        <f t="shared" si="215"/>
        <v>0</v>
      </c>
      <c r="N86" s="31"/>
      <c r="O86" s="96"/>
      <c r="Q86" s="499"/>
      <c r="R86" s="499"/>
      <c r="S86" s="499"/>
      <c r="T86" s="1753"/>
      <c r="U86" s="1754"/>
      <c r="V86" s="568"/>
      <c r="W86" s="568"/>
      <c r="X86" s="585"/>
      <c r="Y86" s="568"/>
      <c r="Z86" s="582"/>
      <c r="AA86" s="583"/>
      <c r="AB86" s="583"/>
      <c r="AC86" s="583"/>
      <c r="AD86" s="583"/>
      <c r="AE86" s="583"/>
      <c r="AF86" s="583"/>
      <c r="AG86" s="1177"/>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1"/>
      <c r="D87" s="1"/>
      <c r="E87" s="120"/>
      <c r="F87" s="1"/>
      <c r="G87" s="44" t="s">
        <v>2792</v>
      </c>
      <c r="H87" s="325">
        <f>GE48</f>
        <v>0</v>
      </c>
      <c r="I87" s="325">
        <f>GF48</f>
        <v>0</v>
      </c>
      <c r="J87" s="325">
        <f>GG48</f>
        <v>0</v>
      </c>
      <c r="K87" s="325">
        <f>GH48</f>
        <v>0</v>
      </c>
      <c r="L87" s="325">
        <f>GI48</f>
        <v>0</v>
      </c>
      <c r="M87" s="323">
        <f t="shared" si="215"/>
        <v>0</v>
      </c>
      <c r="N87" s="31"/>
      <c r="O87" s="96"/>
      <c r="Q87" s="499"/>
      <c r="R87" s="499"/>
      <c r="S87" s="499"/>
      <c r="T87" s="1753"/>
      <c r="U87" s="1754"/>
      <c r="V87" s="568"/>
      <c r="W87" s="568"/>
      <c r="X87" s="585"/>
      <c r="Y87" s="568"/>
      <c r="Z87" s="582"/>
      <c r="AA87" s="583"/>
      <c r="AB87" s="583"/>
      <c r="AC87" s="583"/>
      <c r="AD87" s="583"/>
      <c r="AE87" s="583"/>
      <c r="AF87" s="583"/>
      <c r="AG87" s="1177"/>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1"/>
      <c r="D88" s="1"/>
      <c r="E88" s="120"/>
      <c r="F88" s="1"/>
      <c r="G88" s="44" t="s">
        <v>2791</v>
      </c>
      <c r="H88" s="325">
        <f>GJ48</f>
        <v>0</v>
      </c>
      <c r="I88" s="325">
        <f>GK48</f>
        <v>24</v>
      </c>
      <c r="J88" s="325">
        <f>GL48</f>
        <v>30</v>
      </c>
      <c r="K88" s="325">
        <f>GM48</f>
        <v>15</v>
      </c>
      <c r="L88" s="325">
        <f>GN48</f>
        <v>0</v>
      </c>
      <c r="M88" s="325">
        <f t="shared" si="215"/>
        <v>69</v>
      </c>
      <c r="N88" s="31"/>
      <c r="O88" s="96"/>
      <c r="Q88" s="499"/>
      <c r="R88" s="499"/>
      <c r="S88" s="499"/>
      <c r="T88" s="1753"/>
      <c r="U88" s="1754"/>
      <c r="V88" s="568"/>
      <c r="W88" s="568"/>
      <c r="X88" s="585"/>
      <c r="Y88" s="568"/>
      <c r="Z88" s="582"/>
      <c r="AA88" s="583"/>
      <c r="AB88" s="583"/>
      <c r="AC88" s="583"/>
      <c r="AD88" s="583"/>
      <c r="AE88" s="583"/>
      <c r="AF88" s="583"/>
      <c r="AG88" s="1177"/>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3"/>
      <c r="U89" s="1754"/>
      <c r="V89" s="568"/>
      <c r="W89" s="568"/>
      <c r="X89" s="585"/>
      <c r="Y89" s="568"/>
      <c r="Z89" s="582"/>
      <c r="AA89" s="583"/>
      <c r="AB89" s="583"/>
      <c r="AC89" s="583"/>
      <c r="AD89" s="583"/>
      <c r="AE89" s="583"/>
      <c r="AF89" s="583"/>
      <c r="AG89" s="565"/>
      <c r="AH89" s="568"/>
      <c r="GW89" s="579"/>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3"/>
      <c r="U90" s="1754"/>
      <c r="V90" s="568"/>
      <c r="W90" s="568"/>
      <c r="X90" s="585"/>
      <c r="Y90" s="568"/>
      <c r="Z90" s="582"/>
      <c r="AA90" s="583"/>
      <c r="AB90" s="583"/>
      <c r="AC90" s="583"/>
      <c r="AD90" s="583"/>
      <c r="AE90" s="583"/>
      <c r="AF90" s="583"/>
      <c r="AG90" s="1177"/>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499">
        <f>ABS(M91-AF91)</f>
        <v>0</v>
      </c>
      <c r="R91" s="499"/>
      <c r="S91" s="499"/>
      <c r="T91" s="1753"/>
      <c r="U91" s="1754"/>
      <c r="V91" s="568"/>
      <c r="W91" s="568"/>
      <c r="X91" s="573"/>
      <c r="Y91" s="568"/>
      <c r="Z91" s="582"/>
      <c r="AA91" s="583"/>
      <c r="AB91" s="583"/>
      <c r="AC91" s="583"/>
      <c r="AD91" s="583"/>
      <c r="AE91" s="583"/>
      <c r="AF91" s="583"/>
      <c r="AG91" s="565"/>
      <c r="AH91" s="568"/>
      <c r="GW91" s="579"/>
      <c r="HL91" s="566"/>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499">
        <f>ABS(M92-AF92)</f>
        <v>0</v>
      </c>
      <c r="R92" s="499"/>
      <c r="S92" s="499"/>
      <c r="T92" s="1761"/>
      <c r="U92" s="1762"/>
      <c r="V92" s="568"/>
      <c r="W92" s="568"/>
      <c r="X92" s="571"/>
      <c r="Y92" s="568"/>
      <c r="Z92" s="582"/>
      <c r="AA92" s="583"/>
      <c r="AB92" s="583"/>
      <c r="AC92" s="583"/>
      <c r="AD92" s="583"/>
      <c r="AE92" s="583"/>
      <c r="AF92" s="583"/>
      <c r="AG92" s="1177"/>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6"/>
      <c r="B93" s="16" t="s">
        <v>2306</v>
      </c>
      <c r="C93" s="1"/>
      <c r="D93" s="1"/>
      <c r="E93" s="1"/>
      <c r="F93" s="1"/>
      <c r="G93" s="44"/>
      <c r="H93" s="1"/>
      <c r="I93" s="1"/>
      <c r="J93" s="1"/>
      <c r="K93" s="1"/>
      <c r="L93" s="1"/>
      <c r="M93" s="1"/>
      <c r="O93" s="96"/>
      <c r="Q93" s="499"/>
      <c r="R93" s="499"/>
      <c r="S93" s="499"/>
      <c r="T93" s="382" t="str">
        <f>B93</f>
        <v>Unit Square Footage:</v>
      </c>
      <c r="U93" s="498" t="s">
        <v>1205</v>
      </c>
      <c r="V93" s="581"/>
      <c r="W93" s="581"/>
      <c r="X93" s="581"/>
      <c r="Y93" s="581"/>
      <c r="Z93" s="582"/>
      <c r="AA93" s="581"/>
      <c r="AB93" s="581"/>
      <c r="AC93" s="581"/>
      <c r="AD93" s="581"/>
      <c r="AE93" s="581"/>
      <c r="AF93" s="581"/>
      <c r="AG93" s="1177"/>
      <c r="AH93" s="568"/>
      <c r="GW93" s="579"/>
      <c r="HL93" s="566"/>
    </row>
    <row r="94" spans="1:220" ht="12" customHeight="1">
      <c r="C94" s="6" t="s">
        <v>2276</v>
      </c>
      <c r="D94" s="1"/>
      <c r="E94" s="1"/>
      <c r="F94" s="1"/>
      <c r="G94" s="44" t="s">
        <v>1218</v>
      </c>
      <c r="H94" s="194">
        <f>BY48</f>
        <v>0</v>
      </c>
      <c r="I94" s="194">
        <f>BZ48</f>
        <v>13112</v>
      </c>
      <c r="J94" s="194">
        <f>CA48</f>
        <v>21642</v>
      </c>
      <c r="K94" s="194">
        <f>CB48</f>
        <v>17017</v>
      </c>
      <c r="L94" s="194">
        <f>CC48</f>
        <v>0</v>
      </c>
      <c r="M94" s="194">
        <f t="shared" ref="M94:M100" si="216">SUM(H94:L94)</f>
        <v>51771</v>
      </c>
      <c r="O94" s="96"/>
      <c r="Q94" s="499">
        <f t="shared" ref="Q94:Q100" si="217">ABS(M94-AF94)</f>
        <v>51771</v>
      </c>
      <c r="R94" s="499"/>
      <c r="S94" s="499"/>
      <c r="T94" s="1745"/>
      <c r="U94" s="1746"/>
      <c r="V94" s="581"/>
      <c r="W94" s="581"/>
      <c r="X94" s="581"/>
      <c r="Y94" s="581"/>
      <c r="Z94" s="582"/>
      <c r="AA94" s="583"/>
      <c r="AB94" s="583"/>
      <c r="AC94" s="583"/>
      <c r="AD94" s="583"/>
      <c r="AE94" s="583"/>
      <c r="AF94" s="583"/>
      <c r="AG94" s="1177"/>
      <c r="AH94" s="568"/>
      <c r="GW94" s="579"/>
      <c r="HL94" s="566"/>
    </row>
    <row r="95" spans="1:220" ht="12" customHeight="1">
      <c r="C95" s="5"/>
      <c r="D95" s="1"/>
      <c r="E95" s="1"/>
      <c r="F95" s="1"/>
      <c r="G95" s="44" t="s">
        <v>121</v>
      </c>
      <c r="H95" s="196">
        <f>CD48</f>
        <v>0</v>
      </c>
      <c r="I95" s="196">
        <f>CE48</f>
        <v>3496</v>
      </c>
      <c r="J95" s="196">
        <f>CF48</f>
        <v>7680</v>
      </c>
      <c r="K95" s="196">
        <f>CG48</f>
        <v>2618</v>
      </c>
      <c r="L95" s="196">
        <f>CH48</f>
        <v>0</v>
      </c>
      <c r="M95" s="196">
        <f t="shared" si="216"/>
        <v>13794</v>
      </c>
      <c r="N95" s="6"/>
      <c r="O95" s="96"/>
      <c r="Q95" s="499">
        <f t="shared" si="217"/>
        <v>13794</v>
      </c>
      <c r="R95" s="499"/>
      <c r="S95" s="499"/>
      <c r="T95" s="1753"/>
      <c r="U95" s="1754"/>
      <c r="V95" s="584"/>
      <c r="W95" s="581"/>
      <c r="X95" s="581"/>
      <c r="Y95" s="581"/>
      <c r="Z95" s="582"/>
      <c r="AA95" s="583"/>
      <c r="AB95" s="583"/>
      <c r="AC95" s="583"/>
      <c r="AD95" s="583"/>
      <c r="AE95" s="583"/>
      <c r="AF95" s="583"/>
      <c r="AG95" s="581"/>
      <c r="AH95" s="568"/>
      <c r="GW95" s="579"/>
      <c r="HL95" s="566"/>
    </row>
    <row r="96" spans="1:220" ht="12" customHeight="1">
      <c r="C96" s="5"/>
      <c r="D96" s="1"/>
      <c r="E96" s="1"/>
      <c r="F96" s="1"/>
      <c r="G96" s="44" t="s">
        <v>572</v>
      </c>
      <c r="H96" s="193">
        <f>SUM(H94:H95)</f>
        <v>0</v>
      </c>
      <c r="I96" s="193">
        <f>SUM(I94:I95)</f>
        <v>16608</v>
      </c>
      <c r="J96" s="193">
        <f>SUM(J94:J95)</f>
        <v>29322</v>
      </c>
      <c r="K96" s="193">
        <f>SUM(K94:K95)</f>
        <v>19635</v>
      </c>
      <c r="L96" s="193">
        <f>SUM(L94:L95)</f>
        <v>0</v>
      </c>
      <c r="M96" s="193">
        <f t="shared" si="216"/>
        <v>65565</v>
      </c>
      <c r="N96" s="6"/>
      <c r="O96" s="96"/>
      <c r="Q96" s="499">
        <f t="shared" si="217"/>
        <v>65565</v>
      </c>
      <c r="R96" s="499"/>
      <c r="S96" s="499"/>
      <c r="T96" s="1753"/>
      <c r="U96" s="1754"/>
      <c r="V96" s="584"/>
      <c r="W96" s="581"/>
      <c r="X96" s="581"/>
      <c r="Y96" s="581"/>
      <c r="Z96" s="582"/>
      <c r="AA96" s="583"/>
      <c r="AB96" s="583"/>
      <c r="AC96" s="583"/>
      <c r="AD96" s="583"/>
      <c r="AE96" s="583"/>
      <c r="AF96" s="583"/>
      <c r="AG96" s="581"/>
      <c r="AH96" s="568"/>
      <c r="GW96" s="579"/>
      <c r="HL96" s="566"/>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3"/>
      <c r="U97" s="1754"/>
      <c r="V97" s="568"/>
      <c r="W97" s="581"/>
      <c r="X97" s="581"/>
      <c r="Y97" s="581"/>
      <c r="Z97" s="581"/>
      <c r="AA97" s="583"/>
      <c r="AB97" s="583"/>
      <c r="AC97" s="583"/>
      <c r="AD97" s="583"/>
      <c r="AE97" s="583"/>
      <c r="AF97" s="583"/>
      <c r="AG97" s="1177"/>
      <c r="AH97" s="568"/>
      <c r="GW97" s="579"/>
      <c r="HL97" s="566"/>
    </row>
    <row r="98" spans="1:222" ht="12" customHeight="1">
      <c r="C98" s="6" t="s">
        <v>1207</v>
      </c>
      <c r="D98" s="1"/>
      <c r="E98" s="1"/>
      <c r="F98" s="1"/>
      <c r="G98" s="1"/>
      <c r="H98" s="193">
        <f>SUM(H96:H97)</f>
        <v>0</v>
      </c>
      <c r="I98" s="193">
        <f>SUM(I96:I97)</f>
        <v>16608</v>
      </c>
      <c r="J98" s="193">
        <f>SUM(J96:J97)</f>
        <v>29322</v>
      </c>
      <c r="K98" s="193">
        <f>SUM(K96:K97)</f>
        <v>19635</v>
      </c>
      <c r="L98" s="193">
        <f>SUM(L96:L97)</f>
        <v>0</v>
      </c>
      <c r="M98" s="193">
        <f t="shared" si="216"/>
        <v>65565</v>
      </c>
      <c r="O98" s="96"/>
      <c r="Q98" s="499">
        <f t="shared" si="217"/>
        <v>65565</v>
      </c>
      <c r="R98" s="499"/>
      <c r="S98" s="499"/>
      <c r="T98" s="1753"/>
      <c r="U98" s="1754"/>
      <c r="V98" s="581"/>
      <c r="W98" s="581"/>
      <c r="X98" s="581"/>
      <c r="Y98" s="581"/>
      <c r="Z98" s="581"/>
      <c r="AA98" s="583"/>
      <c r="AB98" s="583"/>
      <c r="AC98" s="583"/>
      <c r="AD98" s="583"/>
      <c r="AE98" s="583"/>
      <c r="AF98" s="583"/>
      <c r="AG98" s="1177"/>
      <c r="AH98" s="568"/>
      <c r="GW98" s="579"/>
      <c r="HL98" s="566"/>
    </row>
    <row r="99" spans="1:222" ht="12" customHeight="1">
      <c r="C99" s="6" t="s">
        <v>2684</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3"/>
      <c r="U99" s="1754"/>
      <c r="V99" s="581"/>
      <c r="W99" s="581"/>
      <c r="X99" s="581"/>
      <c r="Y99" s="581"/>
      <c r="Z99" s="581"/>
      <c r="AA99" s="583"/>
      <c r="AB99" s="583"/>
      <c r="AC99" s="583"/>
      <c r="AD99" s="583"/>
      <c r="AE99" s="583"/>
      <c r="AF99" s="583"/>
      <c r="AG99" s="1177"/>
      <c r="AH99" s="568"/>
      <c r="GW99" s="579"/>
      <c r="HL99" s="566"/>
    </row>
    <row r="100" spans="1:222" ht="12" customHeight="1">
      <c r="C100" s="6" t="s">
        <v>572</v>
      </c>
      <c r="D100" s="1"/>
      <c r="E100" s="1"/>
      <c r="F100" s="1"/>
      <c r="G100" s="1"/>
      <c r="H100" s="193">
        <f>SUM(H98:H99)</f>
        <v>0</v>
      </c>
      <c r="I100" s="193">
        <f>SUM(I98:I99)</f>
        <v>16608</v>
      </c>
      <c r="J100" s="193">
        <f>SUM(J98:J99)</f>
        <v>29322</v>
      </c>
      <c r="K100" s="193">
        <f>SUM(K98:K99)</f>
        <v>19635</v>
      </c>
      <c r="L100" s="193">
        <f>SUM(L98:L99)</f>
        <v>0</v>
      </c>
      <c r="M100" s="193">
        <f t="shared" si="216"/>
        <v>65565</v>
      </c>
      <c r="O100" s="96"/>
      <c r="Q100" s="499">
        <f t="shared" si="217"/>
        <v>65565</v>
      </c>
      <c r="R100" s="499"/>
      <c r="S100" s="499"/>
      <c r="T100" s="1761"/>
      <c r="U100" s="1762"/>
      <c r="V100" s="581"/>
      <c r="W100" s="581"/>
      <c r="X100" s="581"/>
      <c r="Y100" s="581"/>
      <c r="Z100" s="581"/>
      <c r="AA100" s="583"/>
      <c r="AB100" s="583"/>
      <c r="AC100" s="583"/>
      <c r="AD100" s="583"/>
      <c r="AE100" s="583"/>
      <c r="AF100" s="583"/>
      <c r="AG100" s="1177"/>
      <c r="AH100" s="568"/>
      <c r="GW100" s="579"/>
      <c r="HL100" s="566"/>
    </row>
    <row r="101" spans="1:222" ht="4.9000000000000004" customHeight="1">
      <c r="B101" s="16"/>
      <c r="O101" s="92"/>
      <c r="P101" s="92"/>
      <c r="Q101" s="106"/>
      <c r="R101" s="106"/>
      <c r="S101" s="106"/>
      <c r="U101" s="181"/>
      <c r="V101" s="1177"/>
      <c r="W101" s="1177"/>
      <c r="X101" s="1177"/>
      <c r="Y101" s="1177"/>
      <c r="Z101" s="1177"/>
      <c r="AA101" s="1177"/>
      <c r="AB101" s="1177"/>
      <c r="AC101" s="1177"/>
      <c r="AD101" s="1177"/>
      <c r="AE101" s="1177"/>
      <c r="AF101" s="1177"/>
      <c r="AG101" s="1177"/>
      <c r="GW101" s="579"/>
      <c r="HL101" s="566"/>
    </row>
    <row r="102" spans="1:222" ht="13.9" customHeight="1">
      <c r="A102" s="16" t="s">
        <v>792</v>
      </c>
      <c r="B102" s="16" t="s">
        <v>236</v>
      </c>
      <c r="P102" s="9"/>
      <c r="Q102" s="500"/>
      <c r="R102" s="500"/>
      <c r="S102" s="500"/>
      <c r="T102" s="16" t="s">
        <v>1975</v>
      </c>
      <c r="FY102" s="566"/>
      <c r="GP102" s="575"/>
      <c r="GV102" s="566"/>
      <c r="GW102" s="579"/>
      <c r="HL102" s="566"/>
      <c r="HN102" s="579"/>
    </row>
    <row r="103" spans="1:222" ht="9" customHeight="1">
      <c r="P103" s="500"/>
    </row>
    <row r="104" spans="1:222" ht="12.6" customHeight="1">
      <c r="B104" s="16" t="s">
        <v>1078</v>
      </c>
      <c r="D104" s="127"/>
      <c r="H104" s="1766">
        <f>'Part VII-Pro Forma'!B9*L49</f>
        <v>10273.68</v>
      </c>
      <c r="I104" s="1767"/>
      <c r="K104" s="637" t="s">
        <v>3014</v>
      </c>
      <c r="O104" s="600">
        <f>H104/L49</f>
        <v>0.02</v>
      </c>
      <c r="P104" s="458"/>
      <c r="T104" s="5" t="str">
        <f>B104</f>
        <v>Ancillary Income</v>
      </c>
    </row>
    <row r="105" spans="1:222" ht="15" customHeight="1">
      <c r="B105" s="16"/>
      <c r="D105" s="127"/>
      <c r="E105" s="161"/>
      <c r="I105" s="125"/>
      <c r="P105" s="458"/>
    </row>
    <row r="106" spans="1:222" ht="13.9" customHeight="1">
      <c r="B106" s="16" t="s">
        <v>1541</v>
      </c>
      <c r="I106" s="16"/>
      <c r="K106" s="41"/>
      <c r="T106" s="5" t="str">
        <f>B106</f>
        <v>Other Income (OI) by Year:</v>
      </c>
    </row>
    <row r="107" spans="1:222" ht="15" customHeight="1">
      <c r="B107" s="16"/>
      <c r="I107" s="16"/>
      <c r="K107" s="41"/>
    </row>
    <row r="108" spans="1:222" ht="13.9" customHeight="1">
      <c r="B108" s="453" t="s">
        <v>2436</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1079</v>
      </c>
      <c r="G109" s="1768"/>
      <c r="H109" s="1768"/>
      <c r="I109" s="1768"/>
      <c r="J109" s="1768"/>
      <c r="K109" s="1769"/>
      <c r="L109" s="1768"/>
      <c r="M109" s="1768"/>
      <c r="N109" s="1768"/>
      <c r="O109" s="1768"/>
      <c r="P109" s="1768"/>
      <c r="T109" s="1745"/>
      <c r="U109" s="1746"/>
    </row>
    <row r="110" spans="1:222" ht="15" customHeight="1">
      <c r="B110" s="9" t="s">
        <v>791</v>
      </c>
      <c r="C110" s="1770"/>
      <c r="D110" s="1771"/>
      <c r="E110" s="1771"/>
      <c r="F110" s="1772"/>
      <c r="G110" s="1773"/>
      <c r="H110" s="1773"/>
      <c r="I110" s="1773"/>
      <c r="J110" s="1773"/>
      <c r="K110" s="1774"/>
      <c r="L110" s="1773"/>
      <c r="M110" s="1773"/>
      <c r="N110" s="1773"/>
      <c r="O110" s="1773"/>
      <c r="P110" s="1773"/>
      <c r="T110" s="1753"/>
      <c r="U110" s="1754"/>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1"/>
      <c r="U111" s="1762"/>
    </row>
    <row r="112" spans="1:222" ht="6.6" customHeight="1">
      <c r="C112" s="104"/>
      <c r="G112" s="25"/>
      <c r="H112" s="25"/>
      <c r="I112" s="25"/>
      <c r="J112" s="25"/>
      <c r="K112" s="25"/>
      <c r="L112" s="25"/>
      <c r="M112" s="25"/>
      <c r="N112" s="25"/>
      <c r="O112" s="25"/>
      <c r="P112" s="25"/>
    </row>
    <row r="113" spans="2:21" ht="15.6" customHeight="1">
      <c r="B113" s="454" t="s">
        <v>684</v>
      </c>
      <c r="G113" s="42"/>
      <c r="P113" s="9"/>
      <c r="T113" s="111" t="str">
        <f>B113</f>
        <v>NOT Included in Mgt Fee:</v>
      </c>
    </row>
    <row r="114" spans="2:21" ht="15" customHeight="1">
      <c r="B114" s="9" t="s">
        <v>566</v>
      </c>
      <c r="G114" s="1768"/>
      <c r="H114" s="1768"/>
      <c r="I114" s="1768"/>
      <c r="J114" s="1768"/>
      <c r="K114" s="1769"/>
      <c r="L114" s="1768"/>
      <c r="M114" s="1768"/>
      <c r="N114" s="1768"/>
      <c r="O114" s="1768"/>
      <c r="P114" s="1768"/>
      <c r="T114" s="1753"/>
      <c r="U114" s="1754"/>
    </row>
    <row r="115" spans="2:21" ht="15" customHeight="1">
      <c r="B115" s="9" t="s">
        <v>791</v>
      </c>
      <c r="C115" s="1770"/>
      <c r="D115" s="1771"/>
      <c r="E115" s="1771"/>
      <c r="F115" s="1772"/>
      <c r="G115" s="1773"/>
      <c r="H115" s="1773"/>
      <c r="I115" s="1773"/>
      <c r="J115" s="1773"/>
      <c r="K115" s="1774"/>
      <c r="L115" s="1773"/>
      <c r="M115" s="1773"/>
      <c r="N115" s="1773"/>
      <c r="O115" s="1773"/>
      <c r="P115" s="1773"/>
      <c r="T115" s="1753"/>
      <c r="U115" s="175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1"/>
      <c r="U116" s="1762"/>
    </row>
    <row r="117" spans="2:21" ht="42.6" customHeight="1">
      <c r="B117" s="16"/>
      <c r="G117" s="42"/>
      <c r="P117" s="9"/>
      <c r="T117" s="205" t="s">
        <v>2807</v>
      </c>
    </row>
    <row r="118" spans="2:21" ht="13.9" customHeight="1">
      <c r="B118" s="453" t="s">
        <v>2436</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1079</v>
      </c>
      <c r="G119" s="1768"/>
      <c r="H119" s="1768"/>
      <c r="I119" s="1768"/>
      <c r="J119" s="1768"/>
      <c r="K119" s="1769"/>
      <c r="L119" s="1768"/>
      <c r="M119" s="1768"/>
      <c r="N119" s="1768"/>
      <c r="O119" s="1768"/>
      <c r="P119" s="1768"/>
      <c r="T119" s="1745"/>
      <c r="U119" s="1746"/>
    </row>
    <row r="120" spans="2:21" ht="15" customHeight="1">
      <c r="B120" s="9" t="s">
        <v>791</v>
      </c>
      <c r="C120" s="1770"/>
      <c r="D120" s="1771"/>
      <c r="E120" s="1771"/>
      <c r="F120" s="1772"/>
      <c r="G120" s="1773"/>
      <c r="H120" s="1773"/>
      <c r="I120" s="1773"/>
      <c r="J120" s="1773"/>
      <c r="K120" s="1774"/>
      <c r="L120" s="1773"/>
      <c r="M120" s="1773"/>
      <c r="N120" s="1773"/>
      <c r="O120" s="1773"/>
      <c r="P120" s="1773"/>
      <c r="T120" s="1753"/>
      <c r="U120" s="1754"/>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1"/>
      <c r="U121" s="1762"/>
    </row>
    <row r="122" spans="2:21" ht="6.6" customHeight="1">
      <c r="C122" s="104"/>
      <c r="G122" s="25"/>
      <c r="H122" s="25"/>
      <c r="I122" s="25"/>
      <c r="J122" s="25"/>
      <c r="K122" s="25"/>
      <c r="L122" s="25"/>
      <c r="M122" s="25"/>
      <c r="N122" s="25"/>
      <c r="O122" s="25"/>
      <c r="P122" s="25"/>
    </row>
    <row r="123" spans="2:21" ht="15.6" customHeight="1">
      <c r="B123" s="454" t="s">
        <v>684</v>
      </c>
      <c r="G123" s="42"/>
      <c r="P123" s="9"/>
      <c r="T123" s="111" t="str">
        <f>B123</f>
        <v>NOT Included in Mgt Fee:</v>
      </c>
    </row>
    <row r="124" spans="2:21" ht="15" customHeight="1">
      <c r="B124" s="9" t="s">
        <v>566</v>
      </c>
      <c r="G124" s="1768"/>
      <c r="H124" s="1768"/>
      <c r="I124" s="1768"/>
      <c r="J124" s="1768"/>
      <c r="K124" s="1769"/>
      <c r="L124" s="1768"/>
      <c r="M124" s="1768"/>
      <c r="N124" s="1768"/>
      <c r="O124" s="1768"/>
      <c r="P124" s="1768"/>
      <c r="T124" s="1753"/>
      <c r="U124" s="1754"/>
    </row>
    <row r="125" spans="2:21" ht="15" customHeight="1">
      <c r="B125" s="9" t="s">
        <v>791</v>
      </c>
      <c r="C125" s="1770"/>
      <c r="D125" s="1771"/>
      <c r="E125" s="1771"/>
      <c r="F125" s="1772"/>
      <c r="G125" s="1773"/>
      <c r="H125" s="1773"/>
      <c r="I125" s="1773"/>
      <c r="J125" s="1773"/>
      <c r="K125" s="1774"/>
      <c r="L125" s="1773"/>
      <c r="M125" s="1773"/>
      <c r="N125" s="1773"/>
      <c r="O125" s="1773"/>
      <c r="P125" s="1773"/>
      <c r="T125" s="1753"/>
      <c r="U125" s="175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1"/>
      <c r="U126" s="1762"/>
    </row>
    <row r="127" spans="2:21" ht="42.6" customHeight="1">
      <c r="B127" s="16"/>
      <c r="G127" s="42"/>
      <c r="P127" s="9"/>
      <c r="T127" s="205" t="s">
        <v>2808</v>
      </c>
    </row>
    <row r="128" spans="2:21" ht="13.9" customHeight="1">
      <c r="B128" s="453" t="s">
        <v>2436</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1079</v>
      </c>
      <c r="G129" s="1768"/>
      <c r="H129" s="1768"/>
      <c r="I129" s="1768"/>
      <c r="J129" s="1768"/>
      <c r="K129" s="1769"/>
      <c r="L129" s="1768"/>
      <c r="M129" s="1768"/>
      <c r="N129" s="1768"/>
      <c r="O129" s="1768"/>
      <c r="P129" s="1768"/>
      <c r="T129" s="1745"/>
      <c r="U129" s="1746"/>
    </row>
    <row r="130" spans="1:255" ht="15" customHeight="1">
      <c r="B130" s="9" t="s">
        <v>791</v>
      </c>
      <c r="C130" s="1770"/>
      <c r="D130" s="1771"/>
      <c r="E130" s="1771"/>
      <c r="F130" s="1772"/>
      <c r="G130" s="1773"/>
      <c r="H130" s="1773"/>
      <c r="I130" s="1773"/>
      <c r="J130" s="1773"/>
      <c r="K130" s="1774"/>
      <c r="L130" s="1773"/>
      <c r="M130" s="1773"/>
      <c r="N130" s="1773"/>
      <c r="O130" s="1773"/>
      <c r="P130" s="1773"/>
      <c r="T130" s="1753"/>
      <c r="U130" s="1754"/>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1"/>
      <c r="U131" s="1762"/>
    </row>
    <row r="132" spans="1:255" ht="6.6" customHeight="1">
      <c r="C132" s="104"/>
      <c r="G132" s="25"/>
      <c r="H132" s="25"/>
      <c r="I132" s="25"/>
      <c r="J132" s="25"/>
      <c r="K132" s="25"/>
      <c r="L132" s="25"/>
      <c r="M132" s="25"/>
      <c r="N132" s="25"/>
      <c r="O132" s="25"/>
      <c r="P132" s="25"/>
    </row>
    <row r="133" spans="1:255" ht="15" customHeight="1">
      <c r="B133" s="454" t="s">
        <v>684</v>
      </c>
      <c r="G133" s="42"/>
      <c r="P133" s="9"/>
      <c r="T133" s="111" t="str">
        <f>B133</f>
        <v>NOT Included in Mgt Fee:</v>
      </c>
    </row>
    <row r="134" spans="1:255" ht="15" customHeight="1">
      <c r="B134" s="9" t="s">
        <v>566</v>
      </c>
      <c r="G134" s="1768"/>
      <c r="H134" s="1768"/>
      <c r="I134" s="1768"/>
      <c r="J134" s="1768"/>
      <c r="K134" s="1769"/>
      <c r="L134" s="1768"/>
      <c r="M134" s="1768"/>
      <c r="N134" s="1768"/>
      <c r="O134" s="1768"/>
      <c r="P134" s="1768"/>
      <c r="T134" s="1753"/>
      <c r="U134" s="1754"/>
    </row>
    <row r="135" spans="1:255" ht="15" customHeight="1">
      <c r="B135" s="9" t="s">
        <v>791</v>
      </c>
      <c r="C135" s="1770"/>
      <c r="D135" s="1771"/>
      <c r="E135" s="1771"/>
      <c r="F135" s="1772"/>
      <c r="G135" s="1773"/>
      <c r="H135" s="1773"/>
      <c r="I135" s="1773"/>
      <c r="J135" s="1773"/>
      <c r="K135" s="1774"/>
      <c r="L135" s="1773"/>
      <c r="M135" s="1773"/>
      <c r="N135" s="1773"/>
      <c r="O135" s="1773"/>
      <c r="P135" s="1773"/>
      <c r="T135" s="1753"/>
      <c r="U135" s="175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1"/>
      <c r="U136" s="1762"/>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6" t="s">
        <v>1975</v>
      </c>
      <c r="U139" s="1386"/>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45"/>
      <c r="U140" s="1746"/>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775">
        <v>30869</v>
      </c>
      <c r="G141" s="1776"/>
      <c r="H141" s="1"/>
      <c r="I141" s="1" t="s">
        <v>1465</v>
      </c>
      <c r="J141" s="1"/>
      <c r="K141" s="1775">
        <v>0</v>
      </c>
      <c r="L141" s="1776"/>
      <c r="M141" s="1"/>
      <c r="N141" s="1" t="s">
        <v>985</v>
      </c>
      <c r="O141" s="1"/>
      <c r="P141" s="1777">
        <v>0</v>
      </c>
      <c r="T141" s="1753"/>
      <c r="U141" s="1754"/>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75">
        <v>27083</v>
      </c>
      <c r="G142" s="1776"/>
      <c r="H142" s="1"/>
      <c r="I142" s="1" t="s">
        <v>1466</v>
      </c>
      <c r="J142" s="1"/>
      <c r="K142" s="1775">
        <v>0</v>
      </c>
      <c r="L142" s="1776"/>
      <c r="M142" s="1"/>
      <c r="N142" s="1" t="s">
        <v>153</v>
      </c>
      <c r="O142" s="1"/>
      <c r="P142" s="1777">
        <v>24450</v>
      </c>
      <c r="T142" s="1753"/>
      <c r="U142" s="1754"/>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75">
        <v>23381</v>
      </c>
      <c r="G143" s="1776"/>
      <c r="H143" s="1"/>
      <c r="I143" s="1"/>
      <c r="J143" s="146" t="s">
        <v>199</v>
      </c>
      <c r="K143" s="1395">
        <f>SUM(K141:L142)</f>
        <v>0</v>
      </c>
      <c r="L143" s="1396"/>
      <c r="M143" s="1"/>
      <c r="N143" s="1778" t="s">
        <v>3774</v>
      </c>
      <c r="O143" s="1779"/>
      <c r="P143" s="1780">
        <v>5788</v>
      </c>
      <c r="T143" s="1753"/>
      <c r="U143" s="1754"/>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1" t="s">
        <v>54</v>
      </c>
      <c r="C144" s="1782"/>
      <c r="D144" s="1782"/>
      <c r="E144" s="1783"/>
      <c r="F144" s="1784">
        <v>2737</v>
      </c>
      <c r="G144" s="1785"/>
      <c r="H144" s="1"/>
      <c r="I144" s="1"/>
      <c r="J144" s="1"/>
      <c r="K144" s="1"/>
      <c r="L144" s="1"/>
      <c r="M144" s="1"/>
      <c r="N144" s="13" t="s">
        <v>199</v>
      </c>
      <c r="O144" s="1"/>
      <c r="P144" s="496">
        <f>SUM(P141:P143)</f>
        <v>30238</v>
      </c>
      <c r="T144" s="1753"/>
      <c r="U144" s="1754"/>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5">
        <f>SUM(F141:G144)</f>
        <v>84070</v>
      </c>
      <c r="G145" s="1396"/>
      <c r="H145" s="1"/>
      <c r="I145" s="1"/>
      <c r="J145" s="14"/>
      <c r="K145" s="1"/>
      <c r="L145" s="1"/>
      <c r="M145" s="1"/>
      <c r="N145" s="1"/>
      <c r="O145" s="1"/>
      <c r="P145" s="1"/>
      <c r="T145" s="1753"/>
      <c r="U145" s="1754"/>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3"/>
      <c r="U146" s="1754"/>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5">
        <f>IF(OR('Part VII-Pro Forma'!$B$20 = "Choose Mgt Fee",'Part VII-Pro Forma'!$B$20 = "Choose One!"), 0,- 'Part VII-Pro Forma'!$B$20)</f>
        <v>48728</v>
      </c>
      <c r="T147" s="1753"/>
      <c r="U147" s="1754"/>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75">
        <v>2153</v>
      </c>
      <c r="G148" s="1776"/>
      <c r="H148" s="1"/>
      <c r="I148" s="1" t="s">
        <v>1711</v>
      </c>
      <c r="J148" s="1"/>
      <c r="K148" s="1786">
        <v>7529</v>
      </c>
      <c r="L148" s="1787"/>
      <c r="M148" s="1"/>
      <c r="N148" s="479">
        <f>+P147/(M62*0.93)</f>
        <v>759.3579554308867</v>
      </c>
      <c r="O148" s="30" t="s">
        <v>3139</v>
      </c>
      <c r="P148" s="1"/>
      <c r="T148" s="1753"/>
      <c r="U148" s="1754"/>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75">
        <v>4007</v>
      </c>
      <c r="G149" s="1776"/>
      <c r="H149" s="1"/>
      <c r="I149" s="1" t="s">
        <v>2188</v>
      </c>
      <c r="J149" s="1"/>
      <c r="K149" s="1788">
        <v>8984</v>
      </c>
      <c r="L149" s="1789"/>
      <c r="M149" s="1"/>
      <c r="N149" s="479">
        <f>+P147/(M62*0.93)/12</f>
        <v>63.279829619240559</v>
      </c>
      <c r="O149" s="30" t="s">
        <v>3141</v>
      </c>
      <c r="P149" s="1"/>
      <c r="T149" s="1753"/>
      <c r="U149" s="1754"/>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75">
        <v>2281</v>
      </c>
      <c r="G150" s="1776"/>
      <c r="H150" s="1"/>
      <c r="I150" s="1" t="s">
        <v>1712</v>
      </c>
      <c r="J150" s="1"/>
      <c r="K150" s="1788"/>
      <c r="L150" s="1789"/>
      <c r="M150" s="1"/>
      <c r="N150" s="1"/>
      <c r="O150" s="1"/>
      <c r="P150" s="1"/>
      <c r="T150" s="1753"/>
      <c r="U150" s="1754"/>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775"/>
      <c r="G151" s="1776"/>
      <c r="H151" s="1"/>
      <c r="I151" s="1778" t="s">
        <v>54</v>
      </c>
      <c r="J151" s="1779"/>
      <c r="K151" s="1786">
        <v>2070</v>
      </c>
      <c r="L151" s="1787"/>
      <c r="M151" s="1"/>
      <c r="N151" s="1407" t="s">
        <v>2630</v>
      </c>
      <c r="O151" s="1408"/>
      <c r="P151" s="1408"/>
      <c r="T151" s="1753"/>
      <c r="U151" s="1754"/>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75">
        <v>3475</v>
      </c>
      <c r="G152" s="1776"/>
      <c r="H152" s="1"/>
      <c r="I152" s="11"/>
      <c r="J152" s="13" t="s">
        <v>199</v>
      </c>
      <c r="K152" s="1403">
        <f>SUM(K148:K151)</f>
        <v>18583</v>
      </c>
      <c r="L152" s="1404"/>
      <c r="M152" s="1"/>
      <c r="N152" s="1408"/>
      <c r="O152" s="1408"/>
      <c r="P152" s="1408"/>
      <c r="T152" s="1761"/>
      <c r="U152" s="1762"/>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1" t="s">
        <v>54</v>
      </c>
      <c r="C153" s="1782"/>
      <c r="D153" s="1782"/>
      <c r="E153" s="1783"/>
      <c r="F153" s="1784">
        <v>6165</v>
      </c>
      <c r="G153" s="1785"/>
      <c r="H153" s="1"/>
      <c r="I153" s="1"/>
      <c r="J153" s="14"/>
      <c r="K153" s="1"/>
      <c r="L153" s="1"/>
      <c r="M153" s="1"/>
      <c r="N153" s="1"/>
      <c r="O153" s="1"/>
      <c r="P153" s="1"/>
      <c r="T153" s="1745"/>
      <c r="U153" s="1746"/>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5">
        <f>SUM(F148:G153)</f>
        <v>18081</v>
      </c>
      <c r="G154" s="1396"/>
      <c r="H154" s="1"/>
      <c r="I154" s="1"/>
      <c r="J154" s="14"/>
      <c r="K154" s="1"/>
      <c r="L154" s="1"/>
      <c r="M154" s="1"/>
      <c r="N154" s="1"/>
      <c r="O154" s="1"/>
      <c r="P154" s="1"/>
      <c r="T154" s="1753"/>
      <c r="U154" s="1754"/>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3"/>
      <c r="U155" s="1754"/>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5" t="s">
        <v>3138</v>
      </c>
      <c r="K156" s="1"/>
      <c r="L156" s="1"/>
      <c r="M156" s="1"/>
      <c r="N156" s="11" t="s">
        <v>2328</v>
      </c>
      <c r="O156" s="6"/>
      <c r="P156" s="6"/>
      <c r="T156" s="1753"/>
      <c r="U156" s="1754"/>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790">
        <v>11405</v>
      </c>
      <c r="G157" s="1791"/>
      <c r="H157" s="1"/>
      <c r="I157" s="1" t="s">
        <v>1455</v>
      </c>
      <c r="J157" s="655">
        <f>K157/12/M62</f>
        <v>16.004830917874393</v>
      </c>
      <c r="K157" s="1788">
        <v>13252</v>
      </c>
      <c r="L157" s="1789"/>
      <c r="M157" s="1"/>
      <c r="N157" s="479">
        <f>+P157/M62</f>
        <v>4871.782608695652</v>
      </c>
      <c r="O157" s="30" t="s">
        <v>3142</v>
      </c>
      <c r="P157" s="494">
        <f>F145+F154+F165+K143+K152+K162+P144+P147</f>
        <v>336153</v>
      </c>
      <c r="T157" s="1753"/>
      <c r="U157" s="1754"/>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790">
        <v>10350</v>
      </c>
      <c r="G158" s="1791"/>
      <c r="H158" s="1"/>
      <c r="I158" s="1" t="s">
        <v>1456</v>
      </c>
      <c r="J158" s="655">
        <f>K158/12/M62</f>
        <v>0</v>
      </c>
      <c r="K158" s="1788"/>
      <c r="L158" s="1789"/>
      <c r="M158" s="1"/>
      <c r="N158" s="1"/>
      <c r="O158" s="1"/>
      <c r="P158" s="1"/>
      <c r="T158" s="1753"/>
      <c r="U158" s="1754"/>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790">
        <v>14256</v>
      </c>
      <c r="G159" s="1791"/>
      <c r="H159" s="1"/>
      <c r="I159" s="1" t="s">
        <v>2507</v>
      </c>
      <c r="J159" s="655">
        <f>K159/12/M62</f>
        <v>61.551932367149753</v>
      </c>
      <c r="K159" s="1788">
        <v>50965</v>
      </c>
      <c r="L159" s="1789"/>
      <c r="M159" s="1"/>
      <c r="N159" s="1"/>
      <c r="O159" s="1"/>
      <c r="P159" s="1"/>
      <c r="T159" s="1753"/>
      <c r="U159" s="1754"/>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75">
        <v>2156</v>
      </c>
      <c r="G160" s="1776"/>
      <c r="H160" s="1"/>
      <c r="I160" s="1" t="s">
        <v>1458</v>
      </c>
      <c r="J160" s="1"/>
      <c r="K160" s="1788">
        <v>10427</v>
      </c>
      <c r="L160" s="1789"/>
      <c r="M160" s="1"/>
      <c r="N160" s="11" t="s">
        <v>1322</v>
      </c>
      <c r="O160" s="11"/>
      <c r="P160" s="495">
        <f>P161*M62</f>
        <v>17250</v>
      </c>
      <c r="T160" s="1753"/>
      <c r="U160" s="1754"/>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75">
        <v>5433</v>
      </c>
      <c r="G161" s="1776"/>
      <c r="H161" s="1"/>
      <c r="I161" s="1778" t="s">
        <v>54</v>
      </c>
      <c r="J161" s="1779"/>
      <c r="K161" s="1786">
        <v>1929</v>
      </c>
      <c r="L161" s="1787"/>
      <c r="M161" s="1"/>
      <c r="N161" s="30" t="s">
        <v>489</v>
      </c>
      <c r="O161" s="1"/>
      <c r="P161" s="1792">
        <v>250</v>
      </c>
      <c r="T161" s="1753"/>
      <c r="U161" s="1754"/>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75">
        <v>0</v>
      </c>
      <c r="G162" s="1776"/>
      <c r="H162" s="1"/>
      <c r="I162" s="1"/>
      <c r="J162" s="13" t="s">
        <v>199</v>
      </c>
      <c r="K162" s="1403">
        <f>SUM(K157:K161)</f>
        <v>76573</v>
      </c>
      <c r="L162" s="1404"/>
      <c r="M162" s="1"/>
      <c r="N162" s="1"/>
      <c r="O162" s="1"/>
      <c r="T162" s="1753"/>
      <c r="U162" s="1754"/>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75">
        <v>6016</v>
      </c>
      <c r="G163" s="1776"/>
      <c r="H163" s="1"/>
      <c r="I163" s="1"/>
      <c r="J163" s="14"/>
      <c r="K163" s="1"/>
      <c r="L163" s="1"/>
      <c r="M163" s="1"/>
      <c r="N163" s="1"/>
      <c r="O163" s="1"/>
      <c r="T163" s="1753"/>
      <c r="U163" s="1754"/>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1" t="s">
        <v>54</v>
      </c>
      <c r="C164" s="1782"/>
      <c r="D164" s="1782"/>
      <c r="E164" s="1783"/>
      <c r="F164" s="1784">
        <v>10264</v>
      </c>
      <c r="G164" s="1785"/>
      <c r="H164" s="1"/>
      <c r="I164" s="1"/>
      <c r="J164" s="14"/>
      <c r="K164" s="1"/>
      <c r="L164" s="1"/>
      <c r="M164" s="1"/>
      <c r="N164" s="11" t="s">
        <v>2329</v>
      </c>
      <c r="O164" s="11"/>
      <c r="P164" s="11"/>
      <c r="T164" s="1753"/>
      <c r="U164" s="1754"/>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405">
        <f>SUM(F157:G164)</f>
        <v>59880</v>
      </c>
      <c r="G165" s="1406"/>
      <c r="H165" s="1"/>
      <c r="I165" s="1"/>
      <c r="J165" s="14"/>
      <c r="K165" s="1"/>
      <c r="L165" s="1"/>
      <c r="M165" s="1"/>
      <c r="N165" s="1"/>
      <c r="O165" s="1"/>
      <c r="P165" s="494">
        <f>P157+P160</f>
        <v>353403</v>
      </c>
      <c r="T165" s="1761"/>
      <c r="U165" s="1762"/>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1975</v>
      </c>
    </row>
    <row r="168" spans="1:255" ht="145.5" customHeight="1">
      <c r="A168" s="1793" t="s">
        <v>3808</v>
      </c>
      <c r="B168" s="1794"/>
      <c r="C168" s="1794"/>
      <c r="D168" s="1794"/>
      <c r="E168" s="1794"/>
      <c r="F168" s="1794"/>
      <c r="G168" s="1794"/>
      <c r="H168" s="1794"/>
      <c r="I168" s="1794"/>
      <c r="J168" s="1795"/>
      <c r="K168" s="1796"/>
      <c r="L168" s="1797"/>
      <c r="M168" s="1797"/>
      <c r="N168" s="1797"/>
      <c r="O168" s="1797"/>
      <c r="P168" s="1798"/>
      <c r="T168" s="1253" t="s">
        <v>2925</v>
      </c>
      <c r="U168" s="125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40" zoomScale="90" zoomScaleNormal="90" workbookViewId="0">
      <selection activeCell="A40"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2014-055 Trinity Walk Phase I, Decatur, DeKalb County</v>
      </c>
      <c r="B1" s="2187"/>
      <c r="C1" s="2187"/>
      <c r="D1" s="2187"/>
      <c r="E1" s="2187"/>
      <c r="F1" s="2187"/>
      <c r="G1" s="2187"/>
      <c r="H1" s="2187"/>
      <c r="I1" s="2187"/>
      <c r="J1" s="2187"/>
      <c r="K1" s="2083"/>
      <c r="L1" s="11"/>
      <c r="M1" s="1409" t="str">
        <f>A1</f>
        <v>PART SEVEN - OPERATING PRO FORMA  -  2014-055 Trinity Walk Phase I, Decatur, DeKalb County</v>
      </c>
      <c r="N1" s="1409"/>
      <c r="O1" s="11"/>
    </row>
    <row r="2" spans="1:15" ht="13.5" customHeight="1">
      <c r="A2" s="641"/>
      <c r="B2" s="641"/>
      <c r="C2" s="641"/>
      <c r="D2" s="641"/>
      <c r="E2" s="641"/>
      <c r="F2" s="641"/>
      <c r="G2" s="641"/>
      <c r="H2" s="641"/>
      <c r="I2" s="641"/>
      <c r="J2" s="641"/>
      <c r="K2" s="641"/>
      <c r="M2" s="1410" t="s">
        <v>1975</v>
      </c>
      <c r="N2" s="1410"/>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2330</v>
      </c>
      <c r="B5" s="91">
        <v>0.02</v>
      </c>
      <c r="C5" s="19"/>
      <c r="D5" s="19" t="s">
        <v>838</v>
      </c>
      <c r="F5" s="19"/>
      <c r="G5" s="2188">
        <v>7500</v>
      </c>
      <c r="H5" s="113" t="s">
        <v>2042</v>
      </c>
      <c r="K5" s="118">
        <f>IF(($B$14+$B$15+$B$16+$B$17)=0,"",B28/($B$14+$B$15+$B$16+$B$17))</f>
        <v>-1.5391541028718689E-2</v>
      </c>
      <c r="M5" s="1745"/>
      <c r="N5" s="1746"/>
    </row>
    <row r="6" spans="1:15">
      <c r="A6" s="19" t="s">
        <v>2331</v>
      </c>
      <c r="B6" s="91">
        <v>0.03</v>
      </c>
      <c r="C6" s="19"/>
      <c r="D6" s="19"/>
      <c r="E6" s="19"/>
      <c r="F6" s="19"/>
      <c r="G6" s="19"/>
      <c r="H6" s="19"/>
      <c r="I6" s="19"/>
      <c r="J6" s="19"/>
      <c r="K6" s="19"/>
      <c r="M6" s="1753"/>
      <c r="N6" s="1754"/>
    </row>
    <row r="7" spans="1:15">
      <c r="A7" s="19" t="s">
        <v>2333</v>
      </c>
      <c r="B7" s="91">
        <v>0.03</v>
      </c>
      <c r="C7" s="19"/>
      <c r="D7" s="93" t="s">
        <v>284</v>
      </c>
      <c r="G7" s="95"/>
      <c r="H7" s="113" t="s">
        <v>2532</v>
      </c>
      <c r="K7" s="118">
        <f>IF(($B$14+$B$15+$B$16+$B$17)=0,"",-B20/($B$14+$B$15+$B$16+$B$17))</f>
        <v>9.9999868166320574E-2</v>
      </c>
      <c r="M7" s="1753"/>
      <c r="N7" s="1754"/>
    </row>
    <row r="8" spans="1:15" ht="13.15" customHeight="1">
      <c r="A8" s="19" t="s">
        <v>2332</v>
      </c>
      <c r="B8" s="2189">
        <v>7.0000000000000007E-2</v>
      </c>
      <c r="C8" s="19"/>
      <c r="D8" s="92" t="s">
        <v>2679</v>
      </c>
      <c r="G8" s="2190" t="s">
        <v>3703</v>
      </c>
      <c r="H8" s="202" t="s">
        <v>1540</v>
      </c>
      <c r="K8" s="2191"/>
      <c r="M8" s="1753"/>
      <c r="N8" s="1754"/>
    </row>
    <row r="9" spans="1:15">
      <c r="A9" s="19" t="s">
        <v>1510</v>
      </c>
      <c r="B9" s="91">
        <v>0.02</v>
      </c>
      <c r="D9" s="92" t="s">
        <v>1839</v>
      </c>
      <c r="G9" s="2190" t="s">
        <v>3702</v>
      </c>
      <c r="H9" s="202" t="s">
        <v>2512</v>
      </c>
      <c r="K9" s="2192">
        <v>0.1</v>
      </c>
      <c r="M9" s="1761"/>
      <c r="N9" s="1762"/>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5" t="s">
        <v>2809</v>
      </c>
      <c r="N13" s="1255"/>
    </row>
    <row r="14" spans="1:15" ht="13.15" customHeight="1">
      <c r="A14" s="21" t="s">
        <v>2567</v>
      </c>
      <c r="B14" s="22">
        <f>'Part VI-Revenues &amp; Expenses'!L49</f>
        <v>513684</v>
      </c>
      <c r="C14" s="22">
        <f t="shared" ref="C14:K14" si="1">$B$14*(1+$B$5)^(C13-1)</f>
        <v>523957.68</v>
      </c>
      <c r="D14" s="22">
        <f t="shared" si="1"/>
        <v>534436.83360000001</v>
      </c>
      <c r="E14" s="22">
        <f t="shared" si="1"/>
        <v>545125.57027199992</v>
      </c>
      <c r="F14" s="22">
        <f t="shared" si="1"/>
        <v>556028.08167743997</v>
      </c>
      <c r="G14" s="22">
        <f t="shared" si="1"/>
        <v>567148.64331098879</v>
      </c>
      <c r="H14" s="22">
        <f t="shared" si="1"/>
        <v>578491.61617720861</v>
      </c>
      <c r="I14" s="22">
        <f t="shared" si="1"/>
        <v>590061.44850075268</v>
      </c>
      <c r="J14" s="22">
        <f t="shared" si="1"/>
        <v>601862.67747076775</v>
      </c>
      <c r="K14" s="23">
        <f t="shared" si="1"/>
        <v>613899.93102018314</v>
      </c>
      <c r="M14" s="1745"/>
      <c r="N14" s="1746"/>
    </row>
    <row r="15" spans="1:15" ht="13.15" customHeight="1">
      <c r="A15" s="24" t="s">
        <v>1078</v>
      </c>
      <c r="B15" s="25">
        <f>MIN(B14*B9,'Part VI-Revenues &amp; Expenses'!H104)</f>
        <v>10273.68</v>
      </c>
      <c r="C15" s="25">
        <f t="shared" ref="C15:K15" si="2">$B$15*(1+$B$5)^(C13-1)</f>
        <v>10479.1536</v>
      </c>
      <c r="D15" s="25">
        <f t="shared" si="2"/>
        <v>10688.736672000001</v>
      </c>
      <c r="E15" s="25">
        <f t="shared" si="2"/>
        <v>10902.51140544</v>
      </c>
      <c r="F15" s="25">
        <f t="shared" si="2"/>
        <v>11120.561633548799</v>
      </c>
      <c r="G15" s="25">
        <f t="shared" si="2"/>
        <v>11342.972866219776</v>
      </c>
      <c r="H15" s="25">
        <f t="shared" si="2"/>
        <v>11569.832323544173</v>
      </c>
      <c r="I15" s="25">
        <f t="shared" si="2"/>
        <v>11801.228970015054</v>
      </c>
      <c r="J15" s="25">
        <f t="shared" si="2"/>
        <v>12037.253549415356</v>
      </c>
      <c r="K15" s="26">
        <f t="shared" si="2"/>
        <v>12277.998620403663</v>
      </c>
      <c r="M15" s="1753"/>
      <c r="N15" s="1754"/>
    </row>
    <row r="16" spans="1:15" ht="13.15" customHeight="1">
      <c r="A16" s="24" t="s">
        <v>2568</v>
      </c>
      <c r="B16" s="25">
        <f t="shared" ref="B16:K16" si="3">-(B14+B15)*$B$8</f>
        <v>-36677.037600000003</v>
      </c>
      <c r="C16" s="25">
        <f t="shared" si="3"/>
        <v>-37410.578352000004</v>
      </c>
      <c r="D16" s="25">
        <f t="shared" si="3"/>
        <v>-38158.789919040006</v>
      </c>
      <c r="E16" s="25">
        <f t="shared" si="3"/>
        <v>-38921.965717420804</v>
      </c>
      <c r="F16" s="25">
        <f t="shared" si="3"/>
        <v>-39700.405031769216</v>
      </c>
      <c r="G16" s="25">
        <f t="shared" si="3"/>
        <v>-40494.413132404603</v>
      </c>
      <c r="H16" s="25">
        <f t="shared" si="3"/>
        <v>-41304.301395052702</v>
      </c>
      <c r="I16" s="25">
        <f t="shared" si="3"/>
        <v>-42130.387422953747</v>
      </c>
      <c r="J16" s="25">
        <f t="shared" si="3"/>
        <v>-42972.995171412826</v>
      </c>
      <c r="K16" s="26">
        <f t="shared" si="3"/>
        <v>-43832.455074841084</v>
      </c>
      <c r="M16" s="1753"/>
      <c r="N16" s="175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3"/>
      <c r="N17" s="175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3"/>
      <c r="N18" s="1754"/>
    </row>
    <row r="19" spans="1:14" ht="13.15" customHeight="1">
      <c r="A19" s="24" t="s">
        <v>655</v>
      </c>
      <c r="B19" s="25">
        <f>-('Part VI-Revenues &amp; Expenses'!P157-'Part VI-Revenues &amp; Expenses'!P147)</f>
        <v>-287425</v>
      </c>
      <c r="C19" s="25">
        <f t="shared" ref="C19:K19" si="4">$B$19*(1+$B$6)^(C13-1)</f>
        <v>-296047.75</v>
      </c>
      <c r="D19" s="25">
        <f t="shared" si="4"/>
        <v>-304929.1825</v>
      </c>
      <c r="E19" s="25">
        <f t="shared" si="4"/>
        <v>-314077.057975</v>
      </c>
      <c r="F19" s="25">
        <f t="shared" si="4"/>
        <v>-323499.36971424997</v>
      </c>
      <c r="G19" s="25">
        <f t="shared" si="4"/>
        <v>-333204.35080567747</v>
      </c>
      <c r="H19" s="25">
        <f t="shared" si="4"/>
        <v>-343200.48132984783</v>
      </c>
      <c r="I19" s="25">
        <f t="shared" si="4"/>
        <v>-353496.49576974328</v>
      </c>
      <c r="J19" s="25">
        <f t="shared" si="4"/>
        <v>-364101.39064283553</v>
      </c>
      <c r="K19" s="26">
        <f t="shared" si="4"/>
        <v>-375024.4323621206</v>
      </c>
      <c r="M19" s="1753"/>
      <c r="N19" s="1754"/>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-48728</v>
      </c>
      <c r="C20" s="25">
        <f>IF(AND('Part VII-Pro Forma'!$G$8="Yes",'Part VII-Pro Forma'!$G$9="Yes"),"Choose One!",IF('Part VII-Pro Forma'!$G$8="Yes",ROUND((-$K$8*(1+'Part VII-Pro Forma'!$B$6)^('Part VII-Pro Forma'!C13-1)),),IF('Part VII-Pro Forma'!$G$9="Yes",ROUND((-(SUM(C14:C17)*'Part VII-Pro Forma'!$K$9)),),"Choose mgt fee")))</f>
        <v>-49703</v>
      </c>
      <c r="D20" s="25">
        <f>IF(AND('Part VII-Pro Forma'!$G$8="Yes",'Part VII-Pro Forma'!$G$9="Yes"),"Choose One!",IF('Part VII-Pro Forma'!$G$8="Yes",ROUND((-$K$8*(1+'Part VII-Pro Forma'!$B$6)^('Part VII-Pro Forma'!D13-1)),),IF('Part VII-Pro Forma'!$G$9="Yes",ROUND((-(SUM(D14:D17)*'Part VII-Pro Forma'!$K$9)),),"Choose mgt fee")))</f>
        <v>-50697</v>
      </c>
      <c r="E20" s="25">
        <f>IF(AND('Part VII-Pro Forma'!$G$8="Yes",'Part VII-Pro Forma'!$G$9="Yes"),"Choose One!",IF('Part VII-Pro Forma'!$G$8="Yes",ROUND((-$K$8*(1+'Part VII-Pro Forma'!$B$6)^('Part VII-Pro Forma'!E13-1)),),IF('Part VII-Pro Forma'!$G$9="Yes",ROUND((-(SUM(E14:E17)*'Part VII-Pro Forma'!$K$9)),),"Choose mgt fee")))</f>
        <v>-51711</v>
      </c>
      <c r="F20" s="25">
        <f>IF(AND('Part VII-Pro Forma'!$G$8="Yes",'Part VII-Pro Forma'!$G$9="Yes"),"Choose One!",IF('Part VII-Pro Forma'!$G$8="Yes",ROUND((-$K$8*(1+'Part VII-Pro Forma'!$B$6)^('Part VII-Pro Forma'!F13-1)),),IF('Part VII-Pro Forma'!$G$9="Yes",ROUND((-(SUM(F14:F17)*'Part VII-Pro Forma'!$K$9)),),"Choose mgt fee")))</f>
        <v>-52745</v>
      </c>
      <c r="G20" s="25">
        <f>IF(AND('Part VII-Pro Forma'!$G$8="Yes",'Part VII-Pro Forma'!$G$9="Yes"),"Choose One!",IF('Part VII-Pro Forma'!$G$8="Yes",ROUND((-$K$8*(1+'Part VII-Pro Forma'!$B$6)^('Part VII-Pro Forma'!G13-1)),),IF('Part VII-Pro Forma'!$G$9="Yes",ROUND((-(SUM(G14:G17)*'Part VII-Pro Forma'!$K$9)),),"Choose mgt fee")))</f>
        <v>-53800</v>
      </c>
      <c r="H20" s="25">
        <f>IF(AND('Part VII-Pro Forma'!$G$8="Yes",'Part VII-Pro Forma'!$G$9="Yes"),"Choose One!",IF('Part VII-Pro Forma'!$G$8="Yes",ROUND((-$K$8*(1+'Part VII-Pro Forma'!$B$6)^('Part VII-Pro Forma'!H13-1)),),IF('Part VII-Pro Forma'!$G$9="Yes",ROUND((-(SUM(H14:H17)*'Part VII-Pro Forma'!$K$9)),),"Choose mgt fee")))</f>
        <v>-54876</v>
      </c>
      <c r="I20" s="25">
        <f>IF(AND('Part VII-Pro Forma'!$G$8="Yes",'Part VII-Pro Forma'!$G$9="Yes"),"Choose One!",IF('Part VII-Pro Forma'!$G$8="Yes",ROUND((-$K$8*(1+'Part VII-Pro Forma'!$B$6)^('Part VII-Pro Forma'!I13-1)),),IF('Part VII-Pro Forma'!$G$9="Yes",ROUND((-(SUM(I14:I17)*'Part VII-Pro Forma'!$K$9)),),"Choose mgt fee")))</f>
        <v>-55973</v>
      </c>
      <c r="J20" s="25">
        <f>IF(AND('Part VII-Pro Forma'!$G$8="Yes",'Part VII-Pro Forma'!$G$9="Yes"),"Choose One!",IF('Part VII-Pro Forma'!$G$8="Yes",ROUND((-$K$8*(1+'Part VII-Pro Forma'!$B$6)^('Part VII-Pro Forma'!J13-1)),),IF('Part VII-Pro Forma'!$G$9="Yes",ROUND((-(SUM(J14:J17)*'Part VII-Pro Forma'!$K$9)),),"Choose mgt fee")))</f>
        <v>-57093</v>
      </c>
      <c r="K20" s="25">
        <f>IF(AND('Part VII-Pro Forma'!$G$8="Yes",'Part VII-Pro Forma'!$G$9="Yes"),"Choose One!",IF('Part VII-Pro Forma'!$G$8="Yes",ROUND((-$K$8*(1+'Part VII-Pro Forma'!$B$6)^('Part VII-Pro Forma'!K13-1)),),IF('Part VII-Pro Forma'!$G$9="Yes",ROUND((-(SUM(K14:K17)*'Part VII-Pro Forma'!$K$9)),),"Choose mgt fee")))</f>
        <v>-58235</v>
      </c>
      <c r="M20" s="1753"/>
      <c r="N20" s="1754"/>
    </row>
    <row r="21" spans="1:14" ht="13.15" customHeight="1">
      <c r="A21" s="24" t="s">
        <v>1278</v>
      </c>
      <c r="B21" s="25">
        <f>-('Part VI-Revenues &amp; Expenses'!P160)</f>
        <v>-17250</v>
      </c>
      <c r="C21" s="25">
        <f t="shared" ref="C21:K21" si="5">$B$21*(1+$B$7)^(C13-1)</f>
        <v>-17767.5</v>
      </c>
      <c r="D21" s="25">
        <f t="shared" si="5"/>
        <v>-18300.524999999998</v>
      </c>
      <c r="E21" s="25">
        <f t="shared" si="5"/>
        <v>-18849.54075</v>
      </c>
      <c r="F21" s="25">
        <f t="shared" si="5"/>
        <v>-19415.0269725</v>
      </c>
      <c r="G21" s="25">
        <f t="shared" si="5"/>
        <v>-19997.477781674996</v>
      </c>
      <c r="H21" s="25">
        <f t="shared" si="5"/>
        <v>-20597.402115125249</v>
      </c>
      <c r="I21" s="25">
        <f t="shared" si="5"/>
        <v>-21215.324178579009</v>
      </c>
      <c r="J21" s="25">
        <f t="shared" si="5"/>
        <v>-21851.783903936375</v>
      </c>
      <c r="K21" s="26">
        <f t="shared" si="5"/>
        <v>-22507.337421054468</v>
      </c>
      <c r="M21" s="1753"/>
      <c r="N21" s="1754"/>
    </row>
    <row r="22" spans="1:14" ht="13.15" customHeight="1">
      <c r="A22" s="24" t="s">
        <v>1279</v>
      </c>
      <c r="B22" s="25">
        <f t="shared" ref="B22:K22" si="6">SUM(B14:B21)</f>
        <v>133877.64240000001</v>
      </c>
      <c r="C22" s="25">
        <f t="shared" si="6"/>
        <v>133508.00524800003</v>
      </c>
      <c r="D22" s="25">
        <f t="shared" si="6"/>
        <v>133040.07285296006</v>
      </c>
      <c r="E22" s="25">
        <f t="shared" si="6"/>
        <v>132468.51723501919</v>
      </c>
      <c r="F22" s="25">
        <f t="shared" si="6"/>
        <v>131788.84159246963</v>
      </c>
      <c r="G22" s="25">
        <f t="shared" si="6"/>
        <v>130995.37445745157</v>
      </c>
      <c r="H22" s="25">
        <f t="shared" si="6"/>
        <v>130083.26366072703</v>
      </c>
      <c r="I22" s="25">
        <f t="shared" si="6"/>
        <v>129047.47009949174</v>
      </c>
      <c r="J22" s="25">
        <f t="shared" si="6"/>
        <v>127880.76130199841</v>
      </c>
      <c r="K22" s="26">
        <f t="shared" si="6"/>
        <v>126578.70478257073</v>
      </c>
      <c r="M22" s="1753"/>
      <c r="N22" s="1754"/>
    </row>
    <row r="23" spans="1:14" ht="13.15" customHeight="1">
      <c r="A23" s="522" t="s">
        <v>1699</v>
      </c>
      <c r="B23" s="2193">
        <f>IF('Part III-Sources of Funds'!$M$32="", 0,-'Part III-Sources of Funds'!$M$32)</f>
        <v>-77923</v>
      </c>
      <c r="C23" s="2193">
        <f>IF('Part III-Sources of Funds'!$M$32="", 0,-'Part III-Sources of Funds'!$M$32)</f>
        <v>-77923</v>
      </c>
      <c r="D23" s="2193">
        <f>IF('Part III-Sources of Funds'!$M$32="", 0,-'Part III-Sources of Funds'!$M$32)</f>
        <v>-77923</v>
      </c>
      <c r="E23" s="2193">
        <f>IF('Part III-Sources of Funds'!$M$32="", 0,-'Part III-Sources of Funds'!$M$32)</f>
        <v>-77923</v>
      </c>
      <c r="F23" s="2193">
        <f>IF('Part III-Sources of Funds'!$M$32="", 0,-'Part III-Sources of Funds'!$M$32)</f>
        <v>-77923</v>
      </c>
      <c r="G23" s="2193">
        <f>IF('Part III-Sources of Funds'!$M$32="", 0,-'Part III-Sources of Funds'!$M$32)</f>
        <v>-77923</v>
      </c>
      <c r="H23" s="2193">
        <f>IF('Part III-Sources of Funds'!$M$32="", 0,-'Part III-Sources of Funds'!$M$32)</f>
        <v>-77923</v>
      </c>
      <c r="I23" s="2193">
        <f>IF('Part III-Sources of Funds'!$M$32="", 0,-'Part III-Sources of Funds'!$M$32)</f>
        <v>-77923</v>
      </c>
      <c r="J23" s="2193">
        <f>IF('Part III-Sources of Funds'!$M$32="", 0,-'Part III-Sources of Funds'!$M$32)</f>
        <v>-77923</v>
      </c>
      <c r="K23" s="2193">
        <f>IF('Part III-Sources of Funds'!$M$32="", 0,-'Part III-Sources of Funds'!$M$32)</f>
        <v>-77923</v>
      </c>
      <c r="M23" s="1753"/>
      <c r="N23" s="1754"/>
    </row>
    <row r="24" spans="1:14" ht="13.15" customHeight="1">
      <c r="A24" s="522" t="s">
        <v>1700</v>
      </c>
      <c r="B24" s="2194">
        <f>IF('Part III-Sources of Funds'!$M$33="", 0,-'Part III-Sources of Funds'!$M$33)</f>
        <v>0</v>
      </c>
      <c r="C24" s="2194">
        <f>IF('Part III-Sources of Funds'!$M$33="", 0,-'Part III-Sources of Funds'!$M$33)</f>
        <v>0</v>
      </c>
      <c r="D24" s="2194">
        <f>IF('Part III-Sources of Funds'!$M$33="", 0,-'Part III-Sources of Funds'!$M$33)</f>
        <v>0</v>
      </c>
      <c r="E24" s="2194">
        <f>IF('Part III-Sources of Funds'!$M$33="", 0,-'Part III-Sources of Funds'!$M$33)</f>
        <v>0</v>
      </c>
      <c r="F24" s="2194">
        <f>IF('Part III-Sources of Funds'!$M$33="", 0,-'Part III-Sources of Funds'!$M$33)</f>
        <v>0</v>
      </c>
      <c r="G24" s="2194">
        <f>IF('Part III-Sources of Funds'!$M$33="", 0,-'Part III-Sources of Funds'!$M$33)</f>
        <v>0</v>
      </c>
      <c r="H24" s="2194">
        <f>IF('Part III-Sources of Funds'!$M$33="", 0,-'Part III-Sources of Funds'!$M$33)</f>
        <v>0</v>
      </c>
      <c r="I24" s="2194">
        <f>IF('Part III-Sources of Funds'!$M$33="", 0,-'Part III-Sources of Funds'!$M$33)</f>
        <v>0</v>
      </c>
      <c r="J24" s="2194">
        <f>IF('Part III-Sources of Funds'!$M$33="", 0,-'Part III-Sources of Funds'!$M$33)</f>
        <v>0</v>
      </c>
      <c r="K24" s="2194">
        <f>IF('Part III-Sources of Funds'!$M$33="", 0,-'Part III-Sources of Funds'!$M$33)</f>
        <v>0</v>
      </c>
      <c r="M24" s="1753"/>
      <c r="N24" s="1754"/>
    </row>
    <row r="25" spans="1:14" ht="13.15" customHeight="1">
      <c r="A25" s="522" t="s">
        <v>1701</v>
      </c>
      <c r="B25" s="2194">
        <f>IF('Part III-Sources of Funds'!$M$34="", 0,-'Part III-Sources of Funds'!$M$34)</f>
        <v>0</v>
      </c>
      <c r="C25" s="2194">
        <f>IF('Part III-Sources of Funds'!$M$34="", 0,-'Part III-Sources of Funds'!$M$34)</f>
        <v>0</v>
      </c>
      <c r="D25" s="2194">
        <f>IF('Part III-Sources of Funds'!$M$34="", 0,-'Part III-Sources of Funds'!$M$34)</f>
        <v>0</v>
      </c>
      <c r="E25" s="2194">
        <f>IF('Part III-Sources of Funds'!$M$34="", 0,-'Part III-Sources of Funds'!$M$34)</f>
        <v>0</v>
      </c>
      <c r="F25" s="2194">
        <f>IF('Part III-Sources of Funds'!$M$34="", 0,-'Part III-Sources of Funds'!$M$34)</f>
        <v>0</v>
      </c>
      <c r="G25" s="2194">
        <f>IF('Part III-Sources of Funds'!$M$34="", 0,-'Part III-Sources of Funds'!$M$34)</f>
        <v>0</v>
      </c>
      <c r="H25" s="2194">
        <f>IF('Part III-Sources of Funds'!$M$34="", 0,-'Part III-Sources of Funds'!$M$34)</f>
        <v>0</v>
      </c>
      <c r="I25" s="2194">
        <f>IF('Part III-Sources of Funds'!$M$34="", 0,-'Part III-Sources of Funds'!$M$34)</f>
        <v>0</v>
      </c>
      <c r="J25" s="2194">
        <f>IF('Part III-Sources of Funds'!$M$34="", 0,-'Part III-Sources of Funds'!$M$34)</f>
        <v>0</v>
      </c>
      <c r="K25" s="2194">
        <f>IF('Part III-Sources of Funds'!$M$34="", 0,-'Part III-Sources of Funds'!$M$34)</f>
        <v>0</v>
      </c>
      <c r="M25" s="1753"/>
      <c r="N25" s="1754"/>
    </row>
    <row r="26" spans="1:14" ht="13.15" customHeight="1">
      <c r="A26" s="24" t="s">
        <v>835</v>
      </c>
      <c r="B26" s="2194">
        <f>IF('Part III-Sources of Funds'!$M$35="", 0,-'Part III-Sources of Funds'!$M$35)</f>
        <v>0</v>
      </c>
      <c r="C26" s="2194">
        <f>IF('Part III-Sources of Funds'!$M$35="", 0,-'Part III-Sources of Funds'!$M$35)</f>
        <v>0</v>
      </c>
      <c r="D26" s="2194">
        <f>IF('Part III-Sources of Funds'!$M$35="", 0,-'Part III-Sources of Funds'!$M$35)</f>
        <v>0</v>
      </c>
      <c r="E26" s="2194">
        <f>IF('Part III-Sources of Funds'!$M$35="", 0,-'Part III-Sources of Funds'!$M$35)</f>
        <v>0</v>
      </c>
      <c r="F26" s="2194">
        <f>IF('Part III-Sources of Funds'!$M$35="", 0,-'Part III-Sources of Funds'!$M$35)</f>
        <v>0</v>
      </c>
      <c r="G26" s="2194">
        <f>IF('Part III-Sources of Funds'!$M$35="", 0,-'Part III-Sources of Funds'!$M$35)</f>
        <v>0</v>
      </c>
      <c r="H26" s="2194">
        <f>IF('Part III-Sources of Funds'!$M$35="", 0,-'Part III-Sources of Funds'!$M$35)</f>
        <v>0</v>
      </c>
      <c r="I26" s="2194">
        <f>IF('Part III-Sources of Funds'!$M$35="", 0,-'Part III-Sources of Funds'!$M$35)</f>
        <v>0</v>
      </c>
      <c r="J26" s="2194">
        <f>IF('Part III-Sources of Funds'!$M$35="", 0,-'Part III-Sources of Funds'!$M$35)</f>
        <v>0</v>
      </c>
      <c r="K26" s="2194">
        <f>IF('Part III-Sources of Funds'!$M$35="", 0,-'Part III-Sources of Funds'!$M$35)</f>
        <v>0</v>
      </c>
      <c r="M26" s="1753"/>
      <c r="N26" s="1754"/>
    </row>
    <row r="27" spans="1:14" ht="13.15" customHeight="1">
      <c r="A27" s="24" t="s">
        <v>814</v>
      </c>
      <c r="B27" s="2195"/>
      <c r="C27" s="2195"/>
      <c r="D27" s="2195"/>
      <c r="E27" s="2195"/>
      <c r="F27" s="2195"/>
      <c r="G27" s="2195"/>
      <c r="H27" s="2195"/>
      <c r="I27" s="2195"/>
      <c r="J27" s="2195"/>
      <c r="K27" s="2195"/>
      <c r="M27" s="1753"/>
      <c r="N27" s="1754"/>
    </row>
    <row r="28" spans="1:14" ht="13.15" customHeight="1" thickBot="1">
      <c r="A28" s="24" t="s">
        <v>1234</v>
      </c>
      <c r="B28" s="2194">
        <f>-$G$5</f>
        <v>-7500</v>
      </c>
      <c r="C28" s="2194">
        <f t="shared" ref="C28:K28" si="7">+B28</f>
        <v>-7500</v>
      </c>
      <c r="D28" s="2194">
        <f t="shared" si="7"/>
        <v>-7500</v>
      </c>
      <c r="E28" s="2194">
        <f t="shared" si="7"/>
        <v>-7500</v>
      </c>
      <c r="F28" s="2194">
        <f t="shared" si="7"/>
        <v>-7500</v>
      </c>
      <c r="G28" s="2194">
        <f t="shared" si="7"/>
        <v>-7500</v>
      </c>
      <c r="H28" s="2194">
        <f t="shared" si="7"/>
        <v>-7500</v>
      </c>
      <c r="I28" s="2194">
        <f t="shared" si="7"/>
        <v>-7500</v>
      </c>
      <c r="J28" s="2194">
        <f t="shared" si="7"/>
        <v>-7500</v>
      </c>
      <c r="K28" s="2194">
        <f t="shared" si="7"/>
        <v>-7500</v>
      </c>
      <c r="M28" s="1753"/>
      <c r="N28" s="1754"/>
    </row>
    <row r="29" spans="1:14" ht="13.15" customHeight="1" thickBot="1">
      <c r="A29" s="24" t="s">
        <v>1280</v>
      </c>
      <c r="B29" s="2196" t="s">
        <v>3851</v>
      </c>
      <c r="C29" s="2197" t="s">
        <v>3852</v>
      </c>
      <c r="D29" s="2197" t="s">
        <v>3853</v>
      </c>
      <c r="E29" s="2197" t="s">
        <v>3854</v>
      </c>
      <c r="F29" s="2197" t="s">
        <v>3855</v>
      </c>
      <c r="G29" s="2197" t="s">
        <v>3856</v>
      </c>
      <c r="H29" s="2197" t="s">
        <v>3857</v>
      </c>
      <c r="I29" s="2197" t="s">
        <v>3858</v>
      </c>
      <c r="J29" s="2197" t="s">
        <v>3859</v>
      </c>
      <c r="K29" s="2197" t="s">
        <v>3860</v>
      </c>
      <c r="M29" s="1753"/>
      <c r="N29" s="1754"/>
    </row>
    <row r="30" spans="1:14" ht="13.15" customHeight="1">
      <c r="A30" s="24" t="s">
        <v>1235</v>
      </c>
      <c r="B30" s="25">
        <f t="shared" ref="B30:K30" si="8">SUM(B22:B29)</f>
        <v>48454.642400000012</v>
      </c>
      <c r="C30" s="25">
        <f t="shared" si="8"/>
        <v>48085.00524800003</v>
      </c>
      <c r="D30" s="25">
        <f t="shared" si="8"/>
        <v>47617.07285296006</v>
      </c>
      <c r="E30" s="25">
        <f t="shared" si="8"/>
        <v>47045.517235019186</v>
      </c>
      <c r="F30" s="25">
        <f t="shared" si="8"/>
        <v>46365.841592469631</v>
      </c>
      <c r="G30" s="25">
        <f t="shared" si="8"/>
        <v>45572.374457451573</v>
      </c>
      <c r="H30" s="25">
        <f t="shared" si="8"/>
        <v>44660.263660727025</v>
      </c>
      <c r="I30" s="25">
        <f t="shared" si="8"/>
        <v>43624.470099491737</v>
      </c>
      <c r="J30" s="25">
        <f t="shared" si="8"/>
        <v>42457.761301998413</v>
      </c>
      <c r="K30" s="26">
        <f t="shared" si="8"/>
        <v>41155.704782570727</v>
      </c>
      <c r="M30" s="1753"/>
      <c r="N30" s="1754"/>
    </row>
    <row r="31" spans="1:14" ht="13.15" customHeight="1">
      <c r="A31" s="24" t="str">
        <f>IF('Part III-Sources of Funds'!$E$32 = "Neither", "", "DCR Mortgage A")</f>
        <v>DCR Mortgage A</v>
      </c>
      <c r="B31" s="27">
        <f>IF(B23=0,"",-B22/B23)</f>
        <v>1.7180760802330508</v>
      </c>
      <c r="C31" s="27">
        <f t="shared" ref="C31:K31" si="9">IF(C23=0,"",-C22/C23)</f>
        <v>1.7133324595818953</v>
      </c>
      <c r="D31" s="27">
        <f t="shared" si="9"/>
        <v>1.7073273982387749</v>
      </c>
      <c r="E31" s="27">
        <f t="shared" si="9"/>
        <v>1.6999925212712446</v>
      </c>
      <c r="F31" s="27">
        <f t="shared" si="9"/>
        <v>1.6912701204069354</v>
      </c>
      <c r="G31" s="27">
        <f t="shared" si="9"/>
        <v>1.6810874126695785</v>
      </c>
      <c r="H31" s="27">
        <f t="shared" si="9"/>
        <v>1.6693821292908002</v>
      </c>
      <c r="I31" s="27">
        <f t="shared" si="9"/>
        <v>1.6560896025498471</v>
      </c>
      <c r="J31" s="27">
        <f t="shared" si="9"/>
        <v>1.6411170168242806</v>
      </c>
      <c r="K31" s="28">
        <f t="shared" si="9"/>
        <v>1.6244074892210352</v>
      </c>
      <c r="M31" s="1753"/>
      <c r="N31" s="175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3"/>
      <c r="N32" s="175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3"/>
      <c r="N33" s="1754"/>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3"/>
      <c r="N34" s="1754"/>
    </row>
    <row r="35" spans="1:14" ht="13.15" customHeight="1">
      <c r="A35" s="24" t="s">
        <v>821</v>
      </c>
      <c r="B35" s="320">
        <f>IF(OR(B20="Choose mgt fee",B20="Choose One!"),"",(B14+B15+B16+B17+B18) / -(B19+B20+B21))</f>
        <v>1.3788242952097181</v>
      </c>
      <c r="C35" s="320">
        <f t="shared" ref="C35:K35" si="13">IF(OR(C20="Choose mgt fee",C20="Choose One!"),"",(C14+C15+C16+C17+C18) / -(C19+C20+C21))</f>
        <v>1.3672663071193814</v>
      </c>
      <c r="D35" s="320">
        <f t="shared" si="13"/>
        <v>1.3557918441890382</v>
      </c>
      <c r="E35" s="320">
        <f t="shared" si="13"/>
        <v>1.3443982535096073</v>
      </c>
      <c r="F35" s="320">
        <f t="shared" si="13"/>
        <v>1.333086595935971</v>
      </c>
      <c r="G35" s="320">
        <f t="shared" si="13"/>
        <v>1.3218545108559305</v>
      </c>
      <c r="H35" s="320">
        <f t="shared" si="13"/>
        <v>1.3107030765577334</v>
      </c>
      <c r="I35" s="320">
        <f t="shared" si="13"/>
        <v>1.2996331983908234</v>
      </c>
      <c r="J35" s="320">
        <f t="shared" si="13"/>
        <v>1.288639804717461</v>
      </c>
      <c r="K35" s="321">
        <f t="shared" si="13"/>
        <v>1.2777269278380887</v>
      </c>
      <c r="M35" s="1753"/>
      <c r="N35" s="1754"/>
    </row>
    <row r="36" spans="1:14" ht="13.15" customHeight="1">
      <c r="A36" s="522" t="s">
        <v>2802</v>
      </c>
      <c r="B36" s="2198">
        <f>IF('Part III-Sources of Funds'!$H$32="","",-FV('Part III-Sources of Funds'!$J$32/12,12,B23/12,'Part III-Sources of Funds'!$H$32))</f>
        <v>1108268.4691409278</v>
      </c>
      <c r="C36" s="2198">
        <f>IF('Part III-Sources of Funds'!$H$32="","",-FV('Part III-Sources of Funds'!$J$32/12,12,C23/12,B36))</f>
        <v>1065181.7681490604</v>
      </c>
      <c r="D36" s="2198">
        <f>IF('Part III-Sources of Funds'!$H$32="","",-FV('Part III-Sources of Funds'!$J$32/12,12,D23/12,C36))</f>
        <v>1020695.889865997</v>
      </c>
      <c r="E36" s="2198">
        <f>IF('Part III-Sources of Funds'!$H$32="","",-FV('Part III-Sources of Funds'!$J$32/12,12,E23/12,D36))</f>
        <v>974765.39806554443</v>
      </c>
      <c r="F36" s="2198">
        <f>IF('Part III-Sources of Funds'!$H$32="","",-FV('Part III-Sources of Funds'!$J$32/12,12,F23/12,E36))</f>
        <v>927343.38104683987</v>
      </c>
      <c r="G36" s="2198">
        <f>IF('Part III-Sources of Funds'!$H$32="","",-FV('Part III-Sources of Funds'!$J$32/12,12,G23/12,F36))</f>
        <v>878381.40372048027</v>
      </c>
      <c r="H36" s="2198">
        <f>IF('Part III-Sources of Funds'!$H$32="","",-FV('Part III-Sources of Funds'!$J$32/12,12,H23/12,G36))</f>
        <v>827829.45813871815</v>
      </c>
      <c r="I36" s="2198">
        <f>IF('Part III-Sources of Funds'!$H$32="","",-FV('Part III-Sources of Funds'!$J$32/12,12,I23/12,H36))</f>
        <v>775635.91241919843</v>
      </c>
      <c r="J36" s="2198">
        <f>IF('Part III-Sources of Funds'!$H$32="","",-FV('Part III-Sources of Funds'!$J$32/12,12,J23/12,I36))</f>
        <v>721747.45801006863</v>
      </c>
      <c r="K36" s="2198">
        <f>IF('Part III-Sources of Funds'!$H$32="","",-FV('Part III-Sources of Funds'!$J$32/12,12,K23/12,J36))</f>
        <v>666109.05524260132</v>
      </c>
      <c r="M36" s="1753"/>
      <c r="N36" s="1754"/>
    </row>
    <row r="37" spans="1:14" ht="13.15" customHeight="1">
      <c r="A37" s="522" t="s">
        <v>2803</v>
      </c>
      <c r="B37" s="2194" t="str">
        <f>IF('Part III-Sources of Funds'!$H$33="","",-FV('Part III-Sources of Funds'!$J$33/12,12,B24/12,'Part III-Sources of Funds'!$H$33))</f>
        <v/>
      </c>
      <c r="C37" s="2194" t="str">
        <f>IF('Part III-Sources of Funds'!$H$33="","",-FV('Part III-Sources of Funds'!$J$33/12,12,C24/12,B37))</f>
        <v/>
      </c>
      <c r="D37" s="2194" t="str">
        <f>IF('Part III-Sources of Funds'!$H$33="","",-FV('Part III-Sources of Funds'!$J$33/12,12,D24/12,C37))</f>
        <v/>
      </c>
      <c r="E37" s="2194" t="str">
        <f>IF('Part III-Sources of Funds'!$H$33="","",-FV('Part III-Sources of Funds'!$J$33/12,12,E24/12,D37))</f>
        <v/>
      </c>
      <c r="F37" s="2194" t="str">
        <f>IF('Part III-Sources of Funds'!$H$33="","",-FV('Part III-Sources of Funds'!$J$33/12,12,F24/12,E37))</f>
        <v/>
      </c>
      <c r="G37" s="2194" t="str">
        <f>IF('Part III-Sources of Funds'!$H$33="","",-FV('Part III-Sources of Funds'!$J$33/12,12,G24/12,F37))</f>
        <v/>
      </c>
      <c r="H37" s="2194" t="str">
        <f>IF('Part III-Sources of Funds'!$H$33="","",-FV('Part III-Sources of Funds'!$J$33/12,12,H24/12,G37))</f>
        <v/>
      </c>
      <c r="I37" s="2194" t="str">
        <f>IF('Part III-Sources of Funds'!$H$33="","",-FV('Part III-Sources of Funds'!$J$33/12,12,I24/12,H37))</f>
        <v/>
      </c>
      <c r="J37" s="2194" t="str">
        <f>IF('Part III-Sources of Funds'!$H$33="","",-FV('Part III-Sources of Funds'!$J$33/12,12,J24/12,I37))</f>
        <v/>
      </c>
      <c r="K37" s="2194" t="str">
        <f>IF('Part III-Sources of Funds'!$H$33="","",-FV('Part III-Sources of Funds'!$J$33/12,12,K24/12,J37))</f>
        <v/>
      </c>
      <c r="M37" s="1753"/>
      <c r="N37" s="1754"/>
    </row>
    <row r="38" spans="1:14" ht="13.15" customHeight="1">
      <c r="A38" s="522" t="s">
        <v>2804</v>
      </c>
      <c r="B38" s="2194" t="str">
        <f>IF('Part III-Sources of Funds'!$H$34="","",-FV('Part III-Sources of Funds'!$J$34/12,12,B25/12,'Part III-Sources of Funds'!$H$34))</f>
        <v/>
      </c>
      <c r="C38" s="2194" t="str">
        <f>IF('Part III-Sources of Funds'!$H$34="","",-FV('Part III-Sources of Funds'!$J$34/12,12,C25/12,B38))</f>
        <v/>
      </c>
      <c r="D38" s="2194" t="str">
        <f>IF('Part III-Sources of Funds'!$H$34="","",-FV('Part III-Sources of Funds'!$J$34/12,12,D25/12,C38))</f>
        <v/>
      </c>
      <c r="E38" s="2194" t="str">
        <f>IF('Part III-Sources of Funds'!$H$34="","",-FV('Part III-Sources of Funds'!$J$34/12,12,E25/12,D38))</f>
        <v/>
      </c>
      <c r="F38" s="2194" t="str">
        <f>IF('Part III-Sources of Funds'!$H$34="","",-FV('Part III-Sources of Funds'!$J$34/12,12,F25/12,E38))</f>
        <v/>
      </c>
      <c r="G38" s="2194" t="str">
        <f>IF('Part III-Sources of Funds'!$H$34="","",-FV('Part III-Sources of Funds'!$J$34/12,12,G25/12,F38))</f>
        <v/>
      </c>
      <c r="H38" s="2194" t="str">
        <f>IF('Part III-Sources of Funds'!$H$34="","",-FV('Part III-Sources of Funds'!$J$34/12,12,H25/12,G38))</f>
        <v/>
      </c>
      <c r="I38" s="2194" t="str">
        <f>IF('Part III-Sources of Funds'!$H$34="","",-FV('Part III-Sources of Funds'!$J$34/12,12,I25/12,H38))</f>
        <v/>
      </c>
      <c r="J38" s="2194" t="str">
        <f>IF('Part III-Sources of Funds'!$H$34="","",-FV('Part III-Sources of Funds'!$J$34/12,12,J25/12,I38))</f>
        <v/>
      </c>
      <c r="K38" s="2194" t="str">
        <f>IF('Part III-Sources of Funds'!$H$34="","",-FV('Part III-Sources of Funds'!$J$34/12,12,K25/12,J38))</f>
        <v/>
      </c>
      <c r="M38" s="1753"/>
      <c r="N38" s="1754"/>
    </row>
    <row r="39" spans="1:14" ht="13.15" customHeight="1" thickBot="1">
      <c r="A39" s="24" t="s">
        <v>837</v>
      </c>
      <c r="B39" s="2194" t="str">
        <f>IF('Part III-Sources of Funds'!$H$35="","",-FV('Part III-Sources of Funds'!$J$35/12,12,B24/12,'Part III-Sources of Funds'!$H$35))</f>
        <v/>
      </c>
      <c r="C39" s="2194" t="str">
        <f>IF('Part III-Sources of Funds'!$H$35="","",-FV('Part III-Sources of Funds'!$J$35/12,12,C26/12,B39))</f>
        <v/>
      </c>
      <c r="D39" s="2194" t="str">
        <f>IF('Part III-Sources of Funds'!$H$35="","",-FV('Part III-Sources of Funds'!$J$35/12,12,D26/12,C39))</f>
        <v/>
      </c>
      <c r="E39" s="2194" t="str">
        <f>IF('Part III-Sources of Funds'!$H$35="","",-FV('Part III-Sources of Funds'!$J$35/12,12,E26/12,D39))</f>
        <v/>
      </c>
      <c r="F39" s="2194" t="str">
        <f>IF('Part III-Sources of Funds'!$H$35="","",-FV('Part III-Sources of Funds'!$J$35/12,12,F26/12,E39))</f>
        <v/>
      </c>
      <c r="G39" s="2194" t="str">
        <f>IF('Part III-Sources of Funds'!$H$35="","",-FV('Part III-Sources of Funds'!$J$35/12,12,G26/12,F39))</f>
        <v/>
      </c>
      <c r="H39" s="2194" t="str">
        <f>IF('Part III-Sources of Funds'!$H$35="","",-FV('Part III-Sources of Funds'!$J$35/12,12,H26/12,G39))</f>
        <v/>
      </c>
      <c r="I39" s="2194" t="str">
        <f>IF('Part III-Sources of Funds'!$H$35="","",-FV('Part III-Sources of Funds'!$J$35/12,12,I26/12,H39))</f>
        <v/>
      </c>
      <c r="J39" s="2194" t="str">
        <f>IF('Part III-Sources of Funds'!$H$35="","",-FV('Part III-Sources of Funds'!$J$35/12,12,J26/12,I39))</f>
        <v/>
      </c>
      <c r="K39" s="2194" t="str">
        <f>IF('Part III-Sources of Funds'!$H$35="","",-FV('Part III-Sources of Funds'!$J$35/12,12,K26/12,J39))</f>
        <v/>
      </c>
      <c r="M39" s="1753"/>
      <c r="N39" s="1754"/>
    </row>
    <row r="40" spans="1:14" ht="13.15" customHeight="1" thickBot="1">
      <c r="A40" s="29" t="s">
        <v>1315</v>
      </c>
      <c r="B40" s="2196" t="s">
        <v>3861</v>
      </c>
      <c r="C40" s="2197" t="s">
        <v>3862</v>
      </c>
      <c r="D40" s="2197" t="s">
        <v>3863</v>
      </c>
      <c r="E40" s="2197" t="s">
        <v>3864</v>
      </c>
      <c r="F40" s="2197" t="s">
        <v>3865</v>
      </c>
      <c r="G40" s="2197" t="s">
        <v>3866</v>
      </c>
      <c r="H40" s="2197" t="s">
        <v>3867</v>
      </c>
      <c r="I40" s="2197" t="s">
        <v>3868</v>
      </c>
      <c r="J40" s="2197" t="s">
        <v>3869</v>
      </c>
      <c r="K40" s="2197" t="s">
        <v>3869</v>
      </c>
      <c r="M40" s="1761"/>
      <c r="N40" s="1762"/>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55" t="s">
        <v>2807</v>
      </c>
      <c r="N42" s="1255"/>
    </row>
    <row r="43" spans="1:14" ht="13.15" customHeight="1">
      <c r="A43" s="21" t="s">
        <v>2567</v>
      </c>
      <c r="B43" s="22">
        <f t="shared" ref="B43:K43" si="15">$B$14*(1+$B$5)^(B42-1)</f>
        <v>626177.92964058684</v>
      </c>
      <c r="C43" s="22">
        <f t="shared" si="15"/>
        <v>638701.48823339841</v>
      </c>
      <c r="D43" s="22">
        <f t="shared" si="15"/>
        <v>651475.5179980665</v>
      </c>
      <c r="E43" s="22">
        <f t="shared" si="15"/>
        <v>664505.0283580278</v>
      </c>
      <c r="F43" s="22">
        <f t="shared" si="15"/>
        <v>677795.12892518844</v>
      </c>
      <c r="G43" s="22">
        <f t="shared" si="15"/>
        <v>691351.03150369204</v>
      </c>
      <c r="H43" s="22">
        <f t="shared" si="15"/>
        <v>705178.052133766</v>
      </c>
      <c r="I43" s="22">
        <f t="shared" si="15"/>
        <v>719281.61317644129</v>
      </c>
      <c r="J43" s="22">
        <f t="shared" si="15"/>
        <v>733667.24543997005</v>
      </c>
      <c r="K43" s="23">
        <f t="shared" si="15"/>
        <v>748340.59034876944</v>
      </c>
      <c r="M43" s="1745"/>
      <c r="N43" s="1746"/>
    </row>
    <row r="44" spans="1:14" ht="13.15" customHeight="1">
      <c r="A44" s="24" t="s">
        <v>1078</v>
      </c>
      <c r="B44" s="25">
        <f t="shared" ref="B44:K44" si="16">$B$15*(1+$B$5)^(B42-1)</f>
        <v>12523.558592811736</v>
      </c>
      <c r="C44" s="25">
        <f t="shared" si="16"/>
        <v>12774.029764667968</v>
      </c>
      <c r="D44" s="25">
        <f t="shared" si="16"/>
        <v>13029.51035996133</v>
      </c>
      <c r="E44" s="25">
        <f t="shared" si="16"/>
        <v>13290.100567160556</v>
      </c>
      <c r="F44" s="25">
        <f t="shared" si="16"/>
        <v>13555.902578503768</v>
      </c>
      <c r="G44" s="25">
        <f t="shared" si="16"/>
        <v>13827.020630073841</v>
      </c>
      <c r="H44" s="25">
        <f t="shared" si="16"/>
        <v>14103.561042675319</v>
      </c>
      <c r="I44" s="25">
        <f t="shared" si="16"/>
        <v>14385.632263528827</v>
      </c>
      <c r="J44" s="25">
        <f t="shared" si="16"/>
        <v>14673.344908799401</v>
      </c>
      <c r="K44" s="26">
        <f t="shared" si="16"/>
        <v>14966.811806975389</v>
      </c>
      <c r="M44" s="1753"/>
      <c r="N44" s="1754"/>
    </row>
    <row r="45" spans="1:14" ht="13.15" customHeight="1">
      <c r="A45" s="24" t="s">
        <v>2568</v>
      </c>
      <c r="B45" s="25">
        <f t="shared" ref="B45:K45" si="17">-(B43+B44)*$B$8</f>
        <v>-44709.104176337903</v>
      </c>
      <c r="C45" s="25">
        <f t="shared" si="17"/>
        <v>-45603.286259864653</v>
      </c>
      <c r="D45" s="25">
        <f t="shared" si="17"/>
        <v>-46515.351985061949</v>
      </c>
      <c r="E45" s="25">
        <f t="shared" si="17"/>
        <v>-47445.65902476319</v>
      </c>
      <c r="F45" s="25">
        <f t="shared" si="17"/>
        <v>-48394.572205258461</v>
      </c>
      <c r="G45" s="25">
        <f t="shared" si="17"/>
        <v>-49362.463649363614</v>
      </c>
      <c r="H45" s="25">
        <f t="shared" si="17"/>
        <v>-50349.712922350896</v>
      </c>
      <c r="I45" s="25">
        <f t="shared" si="17"/>
        <v>-51356.707180797915</v>
      </c>
      <c r="J45" s="25">
        <f t="shared" si="17"/>
        <v>-52383.841324413865</v>
      </c>
      <c r="K45" s="26">
        <f t="shared" si="17"/>
        <v>-53431.518150902142</v>
      </c>
      <c r="M45" s="1753"/>
      <c r="N45" s="175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3"/>
      <c r="N46" s="175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3"/>
      <c r="N47" s="1754"/>
    </row>
    <row r="48" spans="1:14" ht="13.15" customHeight="1">
      <c r="A48" s="24" t="s">
        <v>655</v>
      </c>
      <c r="B48" s="25">
        <f t="shared" ref="B48:K48" si="18">$B$19*(1+$B$6)^(B42-1)</f>
        <v>-386275.16533298418</v>
      </c>
      <c r="C48" s="25">
        <f t="shared" si="18"/>
        <v>-397863.42029297375</v>
      </c>
      <c r="D48" s="25">
        <f t="shared" si="18"/>
        <v>-409799.32290176291</v>
      </c>
      <c r="E48" s="25">
        <f t="shared" si="18"/>
        <v>-422093.30258881574</v>
      </c>
      <c r="F48" s="25">
        <f t="shared" si="18"/>
        <v>-434756.1016664803</v>
      </c>
      <c r="G48" s="25">
        <f t="shared" si="18"/>
        <v>-447798.78471647471</v>
      </c>
      <c r="H48" s="25">
        <f t="shared" si="18"/>
        <v>-461232.74825796887</v>
      </c>
      <c r="I48" s="25">
        <f t="shared" si="18"/>
        <v>-475069.73070570792</v>
      </c>
      <c r="J48" s="25">
        <f t="shared" si="18"/>
        <v>-489321.82262687921</v>
      </c>
      <c r="K48" s="26">
        <f t="shared" si="18"/>
        <v>-504001.47730568552</v>
      </c>
      <c r="M48" s="1753"/>
      <c r="N48" s="1754"/>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-59399</v>
      </c>
      <c r="C49" s="25">
        <f>IF(AND('Part VII-Pro Forma'!$G$8="Yes",'Part VII-Pro Forma'!$G$9="Yes"),"Choose One!",IF('Part VII-Pro Forma'!$G$8="Yes",ROUND((-$K$8*(1+'Part VII-Pro Forma'!$B$6)^('Part VII-Pro Forma'!C42-1)),),IF('Part VII-Pro Forma'!$G$9="Yes",ROUND((-(SUM(C43:C46)*'Part VII-Pro Forma'!$K$9)),),"Choose mgt fee")))</f>
        <v>-60587</v>
      </c>
      <c r="D49" s="25">
        <f>IF(AND('Part VII-Pro Forma'!$G$8="Yes",'Part VII-Pro Forma'!$G$9="Yes"),"Choose One!",IF('Part VII-Pro Forma'!$G$8="Yes",ROUND((-$K$8*(1+'Part VII-Pro Forma'!$B$6)^('Part VII-Pro Forma'!D42-1)),),IF('Part VII-Pro Forma'!$G$9="Yes",ROUND((-(SUM(D43:D46)*'Part VII-Pro Forma'!$K$9)),),"Choose mgt fee")))</f>
        <v>-61799</v>
      </c>
      <c r="E49" s="25">
        <f>IF(AND('Part VII-Pro Forma'!$G$8="Yes",'Part VII-Pro Forma'!$G$9="Yes"),"Choose One!",IF('Part VII-Pro Forma'!$G$8="Yes",ROUND((-$K$8*(1+'Part VII-Pro Forma'!$B$6)^('Part VII-Pro Forma'!E42-1)),),IF('Part VII-Pro Forma'!$G$9="Yes",ROUND((-(SUM(E43:E46)*'Part VII-Pro Forma'!$K$9)),),"Choose mgt fee")))</f>
        <v>-63035</v>
      </c>
      <c r="F49" s="25">
        <f>IF(AND('Part VII-Pro Forma'!$G$8="Yes",'Part VII-Pro Forma'!$G$9="Yes"),"Choose One!",IF('Part VII-Pro Forma'!$G$8="Yes",ROUND((-$K$8*(1+'Part VII-Pro Forma'!$B$6)^('Part VII-Pro Forma'!F42-1)),),IF('Part VII-Pro Forma'!$G$9="Yes",ROUND((-(SUM(F43:F46)*'Part VII-Pro Forma'!$K$9)),),"Choose mgt fee")))</f>
        <v>-64296</v>
      </c>
      <c r="G49" s="25">
        <f>IF(AND('Part VII-Pro Forma'!$G$8="Yes",'Part VII-Pro Forma'!$G$9="Yes"),"Choose One!",IF('Part VII-Pro Forma'!$G$8="Yes",ROUND((-$K$8*(1+'Part VII-Pro Forma'!$B$6)^('Part VII-Pro Forma'!G42-1)),),IF('Part VII-Pro Forma'!$G$9="Yes",ROUND((-(SUM(G43:G46)*'Part VII-Pro Forma'!$K$9)),),"Choose mgt fee")))</f>
        <v>-65582</v>
      </c>
      <c r="H49" s="25">
        <f>IF(AND('Part VII-Pro Forma'!$G$8="Yes",'Part VII-Pro Forma'!$G$9="Yes"),"Choose One!",IF('Part VII-Pro Forma'!$G$8="Yes",ROUND((-$K$8*(1+'Part VII-Pro Forma'!$B$6)^('Part VII-Pro Forma'!H42-1)),),IF('Part VII-Pro Forma'!$G$9="Yes",ROUND((-(SUM(H43:H46)*'Part VII-Pro Forma'!$K$9)),),"Choose mgt fee")))</f>
        <v>-66893</v>
      </c>
      <c r="I49" s="25">
        <f>IF(AND('Part VII-Pro Forma'!$G$8="Yes",'Part VII-Pro Forma'!$G$9="Yes"),"Choose One!",IF('Part VII-Pro Forma'!$G$8="Yes",ROUND((-$K$8*(1+'Part VII-Pro Forma'!$B$6)^('Part VII-Pro Forma'!I42-1)),),IF('Part VII-Pro Forma'!$G$9="Yes",ROUND((-(SUM(I43:I46)*'Part VII-Pro Forma'!$K$9)),),"Choose mgt fee")))</f>
        <v>-68231</v>
      </c>
      <c r="J49" s="25">
        <f>IF(AND('Part VII-Pro Forma'!$G$8="Yes",'Part VII-Pro Forma'!$G$9="Yes"),"Choose One!",IF('Part VII-Pro Forma'!$G$8="Yes",ROUND((-$K$8*(1+'Part VII-Pro Forma'!$B$6)^('Part VII-Pro Forma'!J42-1)),),IF('Part VII-Pro Forma'!$G$9="Yes",ROUND((-(SUM(J43:J46)*'Part VII-Pro Forma'!$K$9)),),"Choose mgt fee")))</f>
        <v>-69596</v>
      </c>
      <c r="K49" s="25">
        <f>IF(AND('Part VII-Pro Forma'!$G$8="Yes",'Part VII-Pro Forma'!$G$9="Yes"),"Choose One!",IF('Part VII-Pro Forma'!$G$8="Yes",ROUND((-$K$8*(1+'Part VII-Pro Forma'!$B$6)^('Part VII-Pro Forma'!K42-1)),),IF('Part VII-Pro Forma'!$G$9="Yes",ROUND((-(SUM(K43:K46)*'Part VII-Pro Forma'!$K$9)),),"Choose mgt fee")))</f>
        <v>-70988</v>
      </c>
      <c r="M49" s="1753"/>
      <c r="N49" s="1754"/>
    </row>
    <row r="50" spans="1:14" ht="13.15" customHeight="1">
      <c r="A50" s="24" t="s">
        <v>1278</v>
      </c>
      <c r="B50" s="25">
        <f t="shared" ref="B50:K50" si="19">$B$21*(1+$B$7)^(B42-1)</f>
        <v>-23182.5575436861</v>
      </c>
      <c r="C50" s="25">
        <f t="shared" si="19"/>
        <v>-23878.034269996686</v>
      </c>
      <c r="D50" s="25">
        <f t="shared" si="19"/>
        <v>-24594.37529809658</v>
      </c>
      <c r="E50" s="25">
        <f t="shared" si="19"/>
        <v>-25332.206557039477</v>
      </c>
      <c r="F50" s="25">
        <f t="shared" si="19"/>
        <v>-26092.172753750663</v>
      </c>
      <c r="G50" s="25">
        <f t="shared" si="19"/>
        <v>-26874.937936363185</v>
      </c>
      <c r="H50" s="25">
        <f t="shared" si="19"/>
        <v>-27681.186074454075</v>
      </c>
      <c r="I50" s="25">
        <f t="shared" si="19"/>
        <v>-28511.621656687701</v>
      </c>
      <c r="J50" s="25">
        <f t="shared" si="19"/>
        <v>-29366.970306388332</v>
      </c>
      <c r="K50" s="26">
        <f t="shared" si="19"/>
        <v>-30247.979415579979</v>
      </c>
      <c r="M50" s="1753"/>
      <c r="N50" s="1754"/>
    </row>
    <row r="51" spans="1:14" ht="13.15" customHeight="1">
      <c r="A51" s="24" t="s">
        <v>1279</v>
      </c>
      <c r="B51" s="25">
        <f t="shared" ref="B51:K51" si="20">SUM(B43:B50)</f>
        <v>125135.66118039031</v>
      </c>
      <c r="C51" s="25">
        <f t="shared" si="20"/>
        <v>123543.77717523125</v>
      </c>
      <c r="D51" s="25">
        <f t="shared" si="20"/>
        <v>121796.97817310631</v>
      </c>
      <c r="E51" s="25">
        <f t="shared" si="20"/>
        <v>119888.96075456995</v>
      </c>
      <c r="F51" s="25">
        <f t="shared" si="20"/>
        <v>117812.18487820288</v>
      </c>
      <c r="G51" s="25">
        <f t="shared" si="20"/>
        <v>115559.86583156438</v>
      </c>
      <c r="H51" s="25">
        <f t="shared" si="20"/>
        <v>113124.96592166749</v>
      </c>
      <c r="I51" s="25">
        <f t="shared" si="20"/>
        <v>110498.18589677662</v>
      </c>
      <c r="J51" s="25">
        <f t="shared" si="20"/>
        <v>107671.95609108801</v>
      </c>
      <c r="K51" s="26">
        <f t="shared" si="20"/>
        <v>104638.42728357723</v>
      </c>
      <c r="M51" s="1753"/>
      <c r="N51" s="1754"/>
    </row>
    <row r="52" spans="1:14" ht="13.15" customHeight="1">
      <c r="A52" s="24" t="str">
        <f>$A23</f>
        <v>Mortgage A</v>
      </c>
      <c r="B52" s="2193">
        <f>IF('Part III-Sources of Funds'!$M$32="", 0,-'Part III-Sources of Funds'!$M$32)</f>
        <v>-77923</v>
      </c>
      <c r="C52" s="2193">
        <f>IF('Part III-Sources of Funds'!$M$32="", 0,-'Part III-Sources of Funds'!$M$32)</f>
        <v>-77923</v>
      </c>
      <c r="D52" s="2193">
        <f>IF('Part III-Sources of Funds'!$M$32="", 0,-'Part III-Sources of Funds'!$M$32)</f>
        <v>-77923</v>
      </c>
      <c r="E52" s="2193">
        <f>IF('Part III-Sources of Funds'!$M$32="", 0,-'Part III-Sources of Funds'!$M$32)</f>
        <v>-77923</v>
      </c>
      <c r="F52" s="2193">
        <f>IF('Part III-Sources of Funds'!$M$32="", 0,-'Part III-Sources of Funds'!$M$32)</f>
        <v>-77923</v>
      </c>
      <c r="G52" s="2193">
        <f>IF('Part III-Sources of Funds'!$M$32="", 0,-'Part III-Sources of Funds'!$M$32)</f>
        <v>-77923</v>
      </c>
      <c r="H52" s="2193">
        <f>IF('Part III-Sources of Funds'!$M$32="", 0,-'Part III-Sources of Funds'!$M$32)</f>
        <v>-77923</v>
      </c>
      <c r="I52" s="2193">
        <f>IF('Part III-Sources of Funds'!$M$32="", 0,-'Part III-Sources of Funds'!$M$32)</f>
        <v>-77923</v>
      </c>
      <c r="J52" s="2193">
        <f>IF('Part III-Sources of Funds'!$M$32="", 0,-'Part III-Sources of Funds'!$M$32)</f>
        <v>-77923</v>
      </c>
      <c r="K52" s="2193">
        <f>IF('Part III-Sources of Funds'!$M$32="", 0,-'Part III-Sources of Funds'!$M$32)</f>
        <v>-77923</v>
      </c>
      <c r="M52" s="1753"/>
      <c r="N52" s="1754"/>
    </row>
    <row r="53" spans="1:14" ht="13.15" customHeight="1">
      <c r="A53" s="24" t="str">
        <f>$A24</f>
        <v>Mortgage B</v>
      </c>
      <c r="B53" s="2194">
        <f>IF('Part III-Sources of Funds'!$M$33="", 0,-'Part III-Sources of Funds'!$M$33)</f>
        <v>0</v>
      </c>
      <c r="C53" s="2194">
        <f>IF('Part III-Sources of Funds'!$M$33="", 0,-'Part III-Sources of Funds'!$M$33)</f>
        <v>0</v>
      </c>
      <c r="D53" s="2194">
        <f>IF('Part III-Sources of Funds'!$M$33="", 0,-'Part III-Sources of Funds'!$M$33)</f>
        <v>0</v>
      </c>
      <c r="E53" s="2194">
        <f>IF('Part III-Sources of Funds'!$M$33="", 0,-'Part III-Sources of Funds'!$M$33)</f>
        <v>0</v>
      </c>
      <c r="F53" s="2194">
        <f>IF('Part III-Sources of Funds'!$M$33="", 0,-'Part III-Sources of Funds'!$M$33)</f>
        <v>0</v>
      </c>
      <c r="G53" s="2194">
        <f>IF('Part III-Sources of Funds'!$M$33="", 0,-'Part III-Sources of Funds'!$M$33)</f>
        <v>0</v>
      </c>
      <c r="H53" s="2194">
        <f>IF('Part III-Sources of Funds'!$M$33="", 0,-'Part III-Sources of Funds'!$M$33)</f>
        <v>0</v>
      </c>
      <c r="I53" s="2194">
        <f>IF('Part III-Sources of Funds'!$M$33="", 0,-'Part III-Sources of Funds'!$M$33)</f>
        <v>0</v>
      </c>
      <c r="J53" s="2194">
        <f>IF('Part III-Sources of Funds'!$M$33="", 0,-'Part III-Sources of Funds'!$M$33)</f>
        <v>0</v>
      </c>
      <c r="K53" s="2194">
        <f>IF('Part III-Sources of Funds'!$M$33="", 0,-'Part III-Sources of Funds'!$M$33)</f>
        <v>0</v>
      </c>
      <c r="M53" s="1753"/>
      <c r="N53" s="1754"/>
    </row>
    <row r="54" spans="1:14" ht="13.15" customHeight="1">
      <c r="A54" s="24" t="str">
        <f>$A25</f>
        <v>Mortgage C</v>
      </c>
      <c r="B54" s="2194">
        <f>IF('Part III-Sources of Funds'!$M$34="", 0,-'Part III-Sources of Funds'!$M$34)</f>
        <v>0</v>
      </c>
      <c r="C54" s="2194">
        <f>IF('Part III-Sources of Funds'!$M$34="", 0,-'Part III-Sources of Funds'!$M$34)</f>
        <v>0</v>
      </c>
      <c r="D54" s="2194">
        <f>IF('Part III-Sources of Funds'!$M$34="", 0,-'Part III-Sources of Funds'!$M$34)</f>
        <v>0</v>
      </c>
      <c r="E54" s="2194">
        <f>IF('Part III-Sources of Funds'!$M$34="", 0,-'Part III-Sources of Funds'!$M$34)</f>
        <v>0</v>
      </c>
      <c r="F54" s="2194">
        <f>IF('Part III-Sources of Funds'!$M$34="", 0,-'Part III-Sources of Funds'!$M$34)</f>
        <v>0</v>
      </c>
      <c r="G54" s="2194">
        <f>IF('Part III-Sources of Funds'!$M$34="", 0,-'Part III-Sources of Funds'!$M$34)</f>
        <v>0</v>
      </c>
      <c r="H54" s="2194">
        <f>IF('Part III-Sources of Funds'!$M$34="", 0,-'Part III-Sources of Funds'!$M$34)</f>
        <v>0</v>
      </c>
      <c r="I54" s="2194">
        <f>IF('Part III-Sources of Funds'!$M$34="", 0,-'Part III-Sources of Funds'!$M$34)</f>
        <v>0</v>
      </c>
      <c r="J54" s="2194">
        <f>IF('Part III-Sources of Funds'!$M$34="", 0,-'Part III-Sources of Funds'!$M$34)</f>
        <v>0</v>
      </c>
      <c r="K54" s="2194">
        <f>IF('Part III-Sources of Funds'!$M$34="", 0,-'Part III-Sources of Funds'!$M$34)</f>
        <v>0</v>
      </c>
      <c r="M54" s="1753"/>
      <c r="N54" s="1754"/>
    </row>
    <row r="55" spans="1:14" ht="13.15" customHeight="1">
      <c r="A55" s="24" t="str">
        <f>$A26</f>
        <v>D/S Other Source</v>
      </c>
      <c r="B55" s="2194">
        <f>IF('Part III-Sources of Funds'!$M$35="", 0,-'Part III-Sources of Funds'!$M$35)</f>
        <v>0</v>
      </c>
      <c r="C55" s="2194">
        <f>IF('Part III-Sources of Funds'!$M$35="", 0,-'Part III-Sources of Funds'!$M$35)</f>
        <v>0</v>
      </c>
      <c r="D55" s="2194">
        <f>IF('Part III-Sources of Funds'!$M$35="", 0,-'Part III-Sources of Funds'!$M$35)</f>
        <v>0</v>
      </c>
      <c r="E55" s="2194">
        <f>IF('Part III-Sources of Funds'!$M$35="", 0,-'Part III-Sources of Funds'!$M$35)</f>
        <v>0</v>
      </c>
      <c r="F55" s="2194">
        <f>IF('Part III-Sources of Funds'!$M$35="", 0,-'Part III-Sources of Funds'!$M$35)</f>
        <v>0</v>
      </c>
      <c r="G55" s="2194">
        <f>IF('Part III-Sources of Funds'!$M$35="", 0,-'Part III-Sources of Funds'!$M$35)</f>
        <v>0</v>
      </c>
      <c r="H55" s="2194">
        <f>IF('Part III-Sources of Funds'!$M$35="", 0,-'Part III-Sources of Funds'!$M$35)</f>
        <v>0</v>
      </c>
      <c r="I55" s="2194">
        <f>IF('Part III-Sources of Funds'!$M$35="", 0,-'Part III-Sources of Funds'!$M$35)</f>
        <v>0</v>
      </c>
      <c r="J55" s="2194">
        <f>IF('Part III-Sources of Funds'!$M$35="", 0,-'Part III-Sources of Funds'!$M$35)</f>
        <v>0</v>
      </c>
      <c r="K55" s="2194">
        <f>IF('Part III-Sources of Funds'!$M$35="", 0,-'Part III-Sources of Funds'!$M$35)</f>
        <v>0</v>
      </c>
      <c r="M55" s="1753"/>
      <c r="N55" s="1754"/>
    </row>
    <row r="56" spans="1:14" ht="13.15" customHeight="1">
      <c r="A56" s="24" t="s">
        <v>814</v>
      </c>
      <c r="B56" s="2195"/>
      <c r="C56" s="2195"/>
      <c r="D56" s="2195"/>
      <c r="E56" s="2195"/>
      <c r="F56" s="2195"/>
      <c r="G56" s="2195"/>
      <c r="H56" s="2195"/>
      <c r="I56" s="2195"/>
      <c r="J56" s="2195"/>
      <c r="K56" s="2195"/>
      <c r="M56" s="1753"/>
      <c r="N56" s="1754"/>
    </row>
    <row r="57" spans="1:14" ht="13.15" customHeight="1">
      <c r="A57" s="24" t="s">
        <v>1234</v>
      </c>
      <c r="B57" s="2194">
        <f>+K28</f>
        <v>-7500</v>
      </c>
      <c r="C57" s="2194">
        <f t="shared" ref="C57:K57" si="21">+B57</f>
        <v>-7500</v>
      </c>
      <c r="D57" s="2194">
        <f t="shared" si="21"/>
        <v>-7500</v>
      </c>
      <c r="E57" s="2194">
        <f t="shared" si="21"/>
        <v>-7500</v>
      </c>
      <c r="F57" s="2194">
        <f t="shared" si="21"/>
        <v>-7500</v>
      </c>
      <c r="G57" s="2194">
        <f t="shared" si="21"/>
        <v>-7500</v>
      </c>
      <c r="H57" s="2194">
        <f t="shared" si="21"/>
        <v>-7500</v>
      </c>
      <c r="I57" s="2194">
        <f t="shared" si="21"/>
        <v>-7500</v>
      </c>
      <c r="J57" s="2194">
        <f t="shared" si="21"/>
        <v>-7500</v>
      </c>
      <c r="K57" s="2194">
        <f t="shared" si="21"/>
        <v>-7500</v>
      </c>
      <c r="M57" s="1753"/>
      <c r="N57" s="1754"/>
    </row>
    <row r="58" spans="1:14" ht="13.15" customHeight="1">
      <c r="A58" s="24" t="s">
        <v>1280</v>
      </c>
      <c r="B58" s="2199">
        <f>IF('Part III-Sources of Funds'!$M$37="", 0,-'Part III-Sources of Funds'!$M$37)</f>
        <v>0</v>
      </c>
      <c r="C58" s="2199">
        <f>IF('Part III-Sources of Funds'!$M$37="", 0,-'Part III-Sources of Funds'!$M$37)</f>
        <v>0</v>
      </c>
      <c r="D58" s="2199">
        <f>IF('Part III-Sources of Funds'!$M$37="", 0,-'Part III-Sources of Funds'!$M$37)</f>
        <v>0</v>
      </c>
      <c r="E58" s="2199">
        <f>IF('Part III-Sources of Funds'!$M$37="", 0,-'Part III-Sources of Funds'!$M$37)</f>
        <v>0</v>
      </c>
      <c r="F58" s="2199">
        <f>IF('Part III-Sources of Funds'!$M$37="", 0,-'Part III-Sources of Funds'!$M$37)</f>
        <v>0</v>
      </c>
      <c r="G58" s="2199">
        <f>IF('Part III-Sources of Funds'!$M$37="", 0,-'Part III-Sources of Funds'!$M$37)</f>
        <v>0</v>
      </c>
      <c r="H58" s="2199">
        <f>IF('Part III-Sources of Funds'!$M$37="", 0,-'Part III-Sources of Funds'!$M$37)</f>
        <v>0</v>
      </c>
      <c r="I58" s="2199">
        <f>IF('Part III-Sources of Funds'!$M$37="", 0,-'Part III-Sources of Funds'!$M$37)</f>
        <v>0</v>
      </c>
      <c r="J58" s="2199">
        <f>IF('Part III-Sources of Funds'!$M$37="", 0,-'Part III-Sources of Funds'!$M$37)</f>
        <v>0</v>
      </c>
      <c r="K58" s="2194">
        <f>IF('Part III-Sources of Funds'!$M$37="", 0,-'Part III-Sources of Funds'!$M$37)</f>
        <v>0</v>
      </c>
      <c r="M58" s="1753"/>
      <c r="N58" s="1754"/>
    </row>
    <row r="59" spans="1:14" ht="13.15" customHeight="1">
      <c r="A59" s="24" t="s">
        <v>1235</v>
      </c>
      <c r="B59" s="25">
        <f t="shared" ref="B59:K59" si="22">SUM(B51:B58)</f>
        <v>39712.661180390307</v>
      </c>
      <c r="C59" s="25">
        <f t="shared" si="22"/>
        <v>38120.777175231255</v>
      </c>
      <c r="D59" s="25">
        <f t="shared" si="22"/>
        <v>36373.978173106312</v>
      </c>
      <c r="E59" s="25">
        <f t="shared" si="22"/>
        <v>34465.960754569955</v>
      </c>
      <c r="F59" s="25">
        <f t="shared" si="22"/>
        <v>32389.184878202883</v>
      </c>
      <c r="G59" s="25">
        <f t="shared" si="22"/>
        <v>30136.865831564384</v>
      </c>
      <c r="H59" s="25">
        <f t="shared" si="22"/>
        <v>27701.965921667492</v>
      </c>
      <c r="I59" s="25">
        <f t="shared" si="22"/>
        <v>25075.185896776617</v>
      </c>
      <c r="J59" s="25">
        <f t="shared" si="22"/>
        <v>22248.95609108801</v>
      </c>
      <c r="K59" s="23">
        <f t="shared" si="22"/>
        <v>19215.427283577228</v>
      </c>
      <c r="M59" s="1753"/>
      <c r="N59" s="1754"/>
    </row>
    <row r="60" spans="1:14" ht="13.15" customHeight="1">
      <c r="A60" s="24" t="str">
        <f>$A31</f>
        <v>DCR Mortgage A</v>
      </c>
      <c r="B60" s="27">
        <f>IF(B52=0,"",-B51/B52)</f>
        <v>1.6058886487993316</v>
      </c>
      <c r="C60" s="27">
        <f t="shared" ref="C60:K60" si="23">IF(C52=0,"",-C51/C52)</f>
        <v>1.5854597124755367</v>
      </c>
      <c r="D60" s="27">
        <f t="shared" si="23"/>
        <v>1.5630427238826317</v>
      </c>
      <c r="E60" s="27">
        <f t="shared" si="23"/>
        <v>1.538556790094965</v>
      </c>
      <c r="F60" s="27">
        <f t="shared" si="23"/>
        <v>1.5119051483926811</v>
      </c>
      <c r="G60" s="27">
        <f t="shared" si="23"/>
        <v>1.4830007293297791</v>
      </c>
      <c r="H60" s="27">
        <f t="shared" si="23"/>
        <v>1.4517532169149994</v>
      </c>
      <c r="I60" s="27">
        <f t="shared" si="23"/>
        <v>1.4180432721632459</v>
      </c>
      <c r="J60" s="27">
        <f t="shared" si="23"/>
        <v>1.3817737521795621</v>
      </c>
      <c r="K60" s="28">
        <f t="shared" si="23"/>
        <v>1.342843926486111</v>
      </c>
      <c r="M60" s="1753"/>
      <c r="N60" s="175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3"/>
      <c r="N61" s="175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3"/>
      <c r="N62" s="175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3"/>
      <c r="N63" s="1754"/>
    </row>
    <row r="64" spans="1:14" ht="13.15" customHeight="1">
      <c r="A64" s="24" t="s">
        <v>821</v>
      </c>
      <c r="B64" s="320">
        <f>IF(OR(B49="Choose mgt fee",B49="Choose One!"),"",(B43+B44+B45+B46+B47) / -(B48+B49+B50))</f>
        <v>1.2668953116692461</v>
      </c>
      <c r="C64" s="320">
        <f t="shared" ref="C64:K64" si="27">IF(OR(C49="Choose mgt fee",C49="Choose One!"),"",(C43+C44+C45+C46+C47) / -(C48+C49+C50))</f>
        <v>1.2561403458710976</v>
      </c>
      <c r="D64" s="320">
        <f t="shared" si="27"/>
        <v>1.2454630602485171</v>
      </c>
      <c r="E64" s="320">
        <f t="shared" si="27"/>
        <v>1.2348643207584815</v>
      </c>
      <c r="F64" s="320">
        <f t="shared" si="27"/>
        <v>1.2243425104620433</v>
      </c>
      <c r="G64" s="320">
        <f t="shared" si="27"/>
        <v>1.2138984576861611</v>
      </c>
      <c r="H64" s="320">
        <f t="shared" si="27"/>
        <v>1.2035328437518351</v>
      </c>
      <c r="I64" s="320">
        <f t="shared" si="27"/>
        <v>1.1932420407503659</v>
      </c>
      <c r="J64" s="320">
        <f t="shared" si="27"/>
        <v>1.1830269240077091</v>
      </c>
      <c r="K64" s="321">
        <f t="shared" si="27"/>
        <v>1.1728882211792242</v>
      </c>
      <c r="M64" s="1753"/>
      <c r="N64" s="1754"/>
    </row>
    <row r="65" spans="1:14" ht="13.15" customHeight="1">
      <c r="A65" s="522" t="s">
        <v>2802</v>
      </c>
      <c r="B65" s="2198">
        <f>IF('Part III-Sources of Funds'!$H$32="","",-FV('Part III-Sources of Funds'!$J$32/12,12,B52/12,K36))</f>
        <v>608663.87711571762</v>
      </c>
      <c r="C65" s="2198">
        <f>IF('Part III-Sources of Funds'!$H$32="","",-FV('Part III-Sources of Funds'!$J$32/12,12,C52/12,B65))</f>
        <v>549353.25125499582</v>
      </c>
      <c r="D65" s="2198">
        <f>IF('Part III-Sources of Funds'!$H$32="","",-FV('Part III-Sources of Funds'!$J$32/12,12,D52/12,C65))</f>
        <v>488116.59998688439</v>
      </c>
      <c r="E65" s="2198">
        <f>IF('Part III-Sources of Funds'!$H$32="","",-FV('Part III-Sources of Funds'!$J$32/12,12,E52/12,D65))</f>
        <v>424891.37846691289</v>
      </c>
      <c r="F65" s="2198">
        <f>IF('Part III-Sources of Funds'!$H$32="","",-FV('Part III-Sources of Funds'!$J$32/12,12,F52/12,E65))</f>
        <v>359613.01079870714</v>
      </c>
      <c r="G65" s="2198">
        <f>IF('Part III-Sources of Funds'!$H$32="","",-FV('Part III-Sources of Funds'!$J$32/12,12,G52/12,F65))</f>
        <v>292214.82407856407</v>
      </c>
      <c r="H65" s="2198">
        <f>IF('Part III-Sources of Funds'!$H$32="","",-FV('Part III-Sources of Funds'!$J$32/12,12,H52/12,G65))</f>
        <v>222627.98029822038</v>
      </c>
      <c r="I65" s="2198">
        <f>IF('Part III-Sources of Funds'!$H$32="","",-FV('Part III-Sources of Funds'!$J$32/12,12,I52/12,H65))</f>
        <v>150781.40603626409</v>
      </c>
      <c r="J65" s="2198">
        <f>IF('Part III-Sources of Funds'!$H$32="","",-FV('Part III-Sources of Funds'!$J$32/12,12,J52/12,I65))</f>
        <v>76601.719866377767</v>
      </c>
      <c r="K65" s="2198"/>
      <c r="M65" s="1753"/>
      <c r="N65" s="1754"/>
    </row>
    <row r="66" spans="1:14" ht="13.15" customHeight="1">
      <c r="A66" s="522" t="s">
        <v>2803</v>
      </c>
      <c r="B66" s="2194" t="str">
        <f>IF('Part III-Sources of Funds'!$H$33="","",-FV('Part III-Sources of Funds'!$J$33/12,12,B53/12,K37))</f>
        <v/>
      </c>
      <c r="C66" s="2194" t="str">
        <f>IF('Part III-Sources of Funds'!$H$33="","",-FV('Part III-Sources of Funds'!$J$33/12,12,C53/12,B66))</f>
        <v/>
      </c>
      <c r="D66" s="2194" t="str">
        <f>IF('Part III-Sources of Funds'!$H$33="","",-FV('Part III-Sources of Funds'!$J$33/12,12,D53/12,C66))</f>
        <v/>
      </c>
      <c r="E66" s="2194" t="str">
        <f>IF('Part III-Sources of Funds'!$H$33="","",-FV('Part III-Sources of Funds'!$J$33/12,12,E53/12,D66))</f>
        <v/>
      </c>
      <c r="F66" s="2194" t="str">
        <f>IF('Part III-Sources of Funds'!$H$33="","",-FV('Part III-Sources of Funds'!$J$33/12,12,F53/12,E66))</f>
        <v/>
      </c>
      <c r="G66" s="2194" t="str">
        <f>IF('Part III-Sources of Funds'!$H$33="","",-FV('Part III-Sources of Funds'!$J$33/12,12,G53/12,F66))</f>
        <v/>
      </c>
      <c r="H66" s="2194" t="str">
        <f>IF('Part III-Sources of Funds'!$H$33="","",-FV('Part III-Sources of Funds'!$J$33/12,12,H53/12,G66))</f>
        <v/>
      </c>
      <c r="I66" s="2194" t="str">
        <f>IF('Part III-Sources of Funds'!$H$33="","",-FV('Part III-Sources of Funds'!$J$33/12,12,I53/12,H66))</f>
        <v/>
      </c>
      <c r="J66" s="2194" t="str">
        <f>IF('Part III-Sources of Funds'!$H$33="","",-FV('Part III-Sources of Funds'!$J$33/12,12,J53/12,I66))</f>
        <v/>
      </c>
      <c r="K66" s="2194" t="str">
        <f>IF('Part III-Sources of Funds'!$H$33="","",-FV('Part III-Sources of Funds'!$J$33/12,12,K53/12,J66))</f>
        <v/>
      </c>
      <c r="M66" s="1753"/>
      <c r="N66" s="1754"/>
    </row>
    <row r="67" spans="1:14" ht="13.15" customHeight="1">
      <c r="A67" s="522" t="s">
        <v>2804</v>
      </c>
      <c r="B67" s="2194" t="str">
        <f>IF('Part III-Sources of Funds'!$H$34="","",-FV('Part III-Sources of Funds'!$J$34/12,12,B54/12,K38))</f>
        <v/>
      </c>
      <c r="C67" s="2194" t="str">
        <f>IF('Part III-Sources of Funds'!$H$34="","",-FV('Part III-Sources of Funds'!$J$34/12,12,C54/12,B67))</f>
        <v/>
      </c>
      <c r="D67" s="2194" t="str">
        <f>IF('Part III-Sources of Funds'!$H$34="","",-FV('Part III-Sources of Funds'!$J$34/12,12,D54/12,C67))</f>
        <v/>
      </c>
      <c r="E67" s="2194" t="str">
        <f>IF('Part III-Sources of Funds'!$H$34="","",-FV('Part III-Sources of Funds'!$J$34/12,12,E54/12,D67))</f>
        <v/>
      </c>
      <c r="F67" s="2194" t="str">
        <f>IF('Part III-Sources of Funds'!$H$34="","",-FV('Part III-Sources of Funds'!$J$34/12,12,F54/12,E67))</f>
        <v/>
      </c>
      <c r="G67" s="2194" t="str">
        <f>IF('Part III-Sources of Funds'!$H$34="","",-FV('Part III-Sources of Funds'!$J$34/12,12,G54/12,F67))</f>
        <v/>
      </c>
      <c r="H67" s="2194" t="str">
        <f>IF('Part III-Sources of Funds'!$H$34="","",-FV('Part III-Sources of Funds'!$J$34/12,12,H54/12,G67))</f>
        <v/>
      </c>
      <c r="I67" s="2194" t="str">
        <f>IF('Part III-Sources of Funds'!$H$34="","",-FV('Part III-Sources of Funds'!$J$34/12,12,I54/12,H67))</f>
        <v/>
      </c>
      <c r="J67" s="2194" t="str">
        <f>IF('Part III-Sources of Funds'!$H$34="","",-FV('Part III-Sources of Funds'!$J$34/12,12,J54/12,I67))</f>
        <v/>
      </c>
      <c r="K67" s="2194" t="str">
        <f>IF('Part III-Sources of Funds'!$H$34="","",-FV('Part III-Sources of Funds'!$J$34/12,12,K54/12,J67))</f>
        <v/>
      </c>
      <c r="M67" s="1753"/>
      <c r="N67" s="1754"/>
    </row>
    <row r="68" spans="1:14" ht="13.15" customHeight="1">
      <c r="A68" s="24" t="s">
        <v>837</v>
      </c>
      <c r="B68" s="2194" t="str">
        <f>IF('Part III-Sources of Funds'!$H$35="","",-FV('Part III-Sources of Funds'!$J$35/12,12,B55/12,K39))</f>
        <v/>
      </c>
      <c r="C68" s="2194" t="str">
        <f>IF('Part III-Sources of Funds'!$H$35="","",-FV('Part III-Sources of Funds'!$J$35/12,12,C55/12,B68))</f>
        <v/>
      </c>
      <c r="D68" s="2194" t="str">
        <f>IF('Part III-Sources of Funds'!$H$35="","",-FV('Part III-Sources of Funds'!$J$35/12,12,D55/12,C68))</f>
        <v/>
      </c>
      <c r="E68" s="2194" t="str">
        <f>IF('Part III-Sources of Funds'!$H$35="","",-FV('Part III-Sources of Funds'!$J$35/12,12,E55/12,D68))</f>
        <v/>
      </c>
      <c r="F68" s="2194" t="str">
        <f>IF('Part III-Sources of Funds'!$H$35="","",-FV('Part III-Sources of Funds'!$J$35/12,12,F55/12,E68))</f>
        <v/>
      </c>
      <c r="G68" s="2194" t="str">
        <f>IF('Part III-Sources of Funds'!$H$35="","",-FV('Part III-Sources of Funds'!$J$35/12,12,G55/12,F68))</f>
        <v/>
      </c>
      <c r="H68" s="2194" t="str">
        <f>IF('Part III-Sources of Funds'!$H$35="","",-FV('Part III-Sources of Funds'!$J$35/12,12,H55/12,G68))</f>
        <v/>
      </c>
      <c r="I68" s="2194" t="str">
        <f>IF('Part III-Sources of Funds'!$H$35="","",-FV('Part III-Sources of Funds'!$J$35/12,12,I55/12,H68))</f>
        <v/>
      </c>
      <c r="J68" s="2194" t="str">
        <f>IF('Part III-Sources of Funds'!$H$35="","",-FV('Part III-Sources of Funds'!$J$35/12,12,J55/12,I68))</f>
        <v/>
      </c>
      <c r="K68" s="2194" t="str">
        <f>IF('Part III-Sources of Funds'!$H$35="","",-FV('Part III-Sources of Funds'!$J$35/12,12,K55/12,J68))</f>
        <v/>
      </c>
      <c r="M68" s="1753"/>
      <c r="N68" s="1754"/>
    </row>
    <row r="69" spans="1:14" ht="13.15" customHeight="1">
      <c r="A69" s="29" t="s">
        <v>1315</v>
      </c>
      <c r="B69" s="2199">
        <v>0</v>
      </c>
      <c r="C69" s="2199">
        <v>0</v>
      </c>
      <c r="D69" s="2199">
        <f>IF('Part III-Sources of Funds'!$H$37="","",-FV('Part III-Sources of Funds'!$J$37/12,12,D58/12,C69))</f>
        <v>0</v>
      </c>
      <c r="E69" s="2199">
        <f>IF('Part III-Sources of Funds'!$H$37="","",-FV('Part III-Sources of Funds'!$J$37/12,12,E58/12,D69))</f>
        <v>0</v>
      </c>
      <c r="F69" s="2199">
        <f>IF('Part III-Sources of Funds'!$H$37="","",-FV('Part III-Sources of Funds'!$J$37/12,12,F58/12,E69))</f>
        <v>0</v>
      </c>
      <c r="G69" s="2199">
        <f>IF('Part III-Sources of Funds'!$H$37="","",-FV('Part III-Sources of Funds'!$J$37/12,12,G58/12,F69))</f>
        <v>0</v>
      </c>
      <c r="H69" s="2199">
        <f>IF('Part III-Sources of Funds'!$H$37="","",-FV('Part III-Sources of Funds'!$J$37/12,12,H58/12,G69))</f>
        <v>0</v>
      </c>
      <c r="I69" s="2199">
        <f>IF('Part III-Sources of Funds'!$H$37="","",-FV('Part III-Sources of Funds'!$J$37/12,12,I58/12,H69))</f>
        <v>0</v>
      </c>
      <c r="J69" s="2199">
        <f>IF('Part III-Sources of Funds'!$H$37="","",-FV('Part III-Sources of Funds'!$J$37/12,12,J58/12,I69))</f>
        <v>0</v>
      </c>
      <c r="K69" s="2199">
        <f>IF('Part III-Sources of Funds'!$H$37="","",-FV('Part III-Sources of Funds'!$J$37/12,12,K58/12,J69))</f>
        <v>0</v>
      </c>
      <c r="M69" s="1761"/>
      <c r="N69" s="1762"/>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55" t="s">
        <v>2808</v>
      </c>
      <c r="N71" s="1255"/>
    </row>
    <row r="72" spans="1:14" ht="13.15" customHeight="1">
      <c r="A72" s="21" t="s">
        <v>2567</v>
      </c>
      <c r="B72" s="22">
        <f t="shared" ref="B72:K72" si="29">$B$14*(1+$B$5)^(B71-1)</f>
        <v>763307.40215574496</v>
      </c>
      <c r="C72" s="22">
        <f t="shared" si="29"/>
        <v>778573.55019885977</v>
      </c>
      <c r="D72" s="22">
        <f t="shared" si="29"/>
        <v>794145.021202837</v>
      </c>
      <c r="E72" s="22">
        <f t="shared" si="29"/>
        <v>810027.92162689357</v>
      </c>
      <c r="F72" s="22">
        <f t="shared" si="29"/>
        <v>826228.48005943152</v>
      </c>
      <c r="G72" s="22">
        <f t="shared" si="29"/>
        <v>842753.04966062016</v>
      </c>
      <c r="H72" s="22">
        <f t="shared" si="29"/>
        <v>859608.11065383267</v>
      </c>
      <c r="I72" s="22">
        <f t="shared" si="29"/>
        <v>876800.27286690916</v>
      </c>
      <c r="J72" s="22">
        <f t="shared" si="29"/>
        <v>894336.27832424745</v>
      </c>
      <c r="K72" s="23">
        <f t="shared" si="29"/>
        <v>912223.0038907323</v>
      </c>
      <c r="M72" s="1745"/>
      <c r="N72" s="1746"/>
    </row>
    <row r="73" spans="1:14" ht="13.15" customHeight="1">
      <c r="A73" s="24" t="s">
        <v>1078</v>
      </c>
      <c r="B73" s="25">
        <f t="shared" ref="B73:K73" si="30">$B$15*(1+$B$5)^(B71-1)</f>
        <v>15266.148043114899</v>
      </c>
      <c r="C73" s="25">
        <f t="shared" si="30"/>
        <v>15571.471003977196</v>
      </c>
      <c r="D73" s="25">
        <f t="shared" si="30"/>
        <v>15882.900424056741</v>
      </c>
      <c r="E73" s="25">
        <f t="shared" si="30"/>
        <v>16200.558432537873</v>
      </c>
      <c r="F73" s="25">
        <f t="shared" si="30"/>
        <v>16524.569601188632</v>
      </c>
      <c r="G73" s="25">
        <f t="shared" si="30"/>
        <v>16855.060993212403</v>
      </c>
      <c r="H73" s="25">
        <f t="shared" si="30"/>
        <v>17192.162213076652</v>
      </c>
      <c r="I73" s="25">
        <f t="shared" si="30"/>
        <v>17536.005457338182</v>
      </c>
      <c r="J73" s="25">
        <f t="shared" si="30"/>
        <v>17886.725566484951</v>
      </c>
      <c r="K73" s="26">
        <f t="shared" si="30"/>
        <v>18244.460077814645</v>
      </c>
      <c r="M73" s="1753"/>
      <c r="N73" s="1754"/>
    </row>
    <row r="74" spans="1:14" ht="13.15" customHeight="1">
      <c r="A74" s="24" t="s">
        <v>2568</v>
      </c>
      <c r="B74" s="25">
        <f t="shared" ref="B74:K74" si="31">-(B72+B73)*$B$8</f>
        <v>-54500.148513920198</v>
      </c>
      <c r="C74" s="25">
        <f t="shared" si="31"/>
        <v>-55590.151484198592</v>
      </c>
      <c r="D74" s="25">
        <f t="shared" si="31"/>
        <v>-56701.954513882563</v>
      </c>
      <c r="E74" s="25">
        <f t="shared" si="31"/>
        <v>-57835.993604160205</v>
      </c>
      <c r="F74" s="25">
        <f t="shared" si="31"/>
        <v>-58992.713476243414</v>
      </c>
      <c r="G74" s="25">
        <f t="shared" si="31"/>
        <v>-60172.567745768283</v>
      </c>
      <c r="H74" s="25">
        <f t="shared" si="31"/>
        <v>-61376.019100683654</v>
      </c>
      <c r="I74" s="25">
        <f t="shared" si="31"/>
        <v>-62603.539482697321</v>
      </c>
      <c r="J74" s="25">
        <f t="shared" si="31"/>
        <v>-63855.610272351274</v>
      </c>
      <c r="K74" s="26">
        <f t="shared" si="31"/>
        <v>-65132.722477798292</v>
      </c>
      <c r="M74" s="1753"/>
      <c r="N74" s="175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3"/>
      <c r="N75" s="175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3"/>
      <c r="N76" s="1754"/>
    </row>
    <row r="77" spans="1:14" ht="13.15" customHeight="1">
      <c r="A77" s="24" t="s">
        <v>655</v>
      </c>
      <c r="B77" s="25">
        <f t="shared" ref="B77:K77" si="32">$B$19*(1+$B$6)^(B71-1)</f>
        <v>-519121.5216248561</v>
      </c>
      <c r="C77" s="25">
        <f t="shared" si="32"/>
        <v>-534695.16727360175</v>
      </c>
      <c r="D77" s="25">
        <f t="shared" si="32"/>
        <v>-550736.02229180979</v>
      </c>
      <c r="E77" s="25">
        <f t="shared" si="32"/>
        <v>-567258.1029605642</v>
      </c>
      <c r="F77" s="25">
        <f t="shared" si="32"/>
        <v>-584275.84604938095</v>
      </c>
      <c r="G77" s="25">
        <f t="shared" si="32"/>
        <v>-601804.12143086246</v>
      </c>
      <c r="H77" s="25">
        <f t="shared" si="32"/>
        <v>-619858.24507378833</v>
      </c>
      <c r="I77" s="25">
        <f t="shared" si="32"/>
        <v>-638453.99242600193</v>
      </c>
      <c r="J77" s="25">
        <f t="shared" si="32"/>
        <v>-657607.61219878204</v>
      </c>
      <c r="K77" s="26">
        <f t="shared" si="32"/>
        <v>-677335.84056474536</v>
      </c>
      <c r="M77" s="1753"/>
      <c r="N77" s="1754"/>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-72407</v>
      </c>
      <c r="C78" s="25">
        <f>IF(AND('Part VII-Pro Forma'!$G$8="Yes",'Part VII-Pro Forma'!$G$9="Yes"),"Choose One!",IF('Part VII-Pro Forma'!$G$8="Yes",ROUND((-$K$8*(1+'Part VII-Pro Forma'!$B$6)^('Part VII-Pro Forma'!C71-1)),),IF('Part VII-Pro Forma'!$G$9="Yes",ROUND((-(SUM(C72:C75)*'Part VII-Pro Forma'!$K$9)),),"Choose mgt fee")))</f>
        <v>-73855</v>
      </c>
      <c r="D78" s="25">
        <f>IF(AND('Part VII-Pro Forma'!$G$8="Yes",'Part VII-Pro Forma'!$G$9="Yes"),"Choose One!",IF('Part VII-Pro Forma'!$G$8="Yes",ROUND((-$K$8*(1+'Part VII-Pro Forma'!$B$6)^('Part VII-Pro Forma'!D71-1)),),IF('Part VII-Pro Forma'!$G$9="Yes",ROUND((-(SUM(D72:D75)*'Part VII-Pro Forma'!$K$9)),),"Choose mgt fee")))</f>
        <v>-75333</v>
      </c>
      <c r="E78" s="25">
        <f>IF(AND('Part VII-Pro Forma'!$G$8="Yes",'Part VII-Pro Forma'!$G$9="Yes"),"Choose One!",IF('Part VII-Pro Forma'!$G$8="Yes",ROUND((-$K$8*(1+'Part VII-Pro Forma'!$B$6)^('Part VII-Pro Forma'!E71-1)),),IF('Part VII-Pro Forma'!$G$9="Yes",ROUND((-(SUM(E72:E75)*'Part VII-Pro Forma'!$K$9)),),"Choose mgt fee")))</f>
        <v>-76839</v>
      </c>
      <c r="F78" s="25">
        <f>IF(AND('Part VII-Pro Forma'!$G$8="Yes",'Part VII-Pro Forma'!$G$9="Yes"),"Choose One!",IF('Part VII-Pro Forma'!$G$8="Yes",ROUND((-$K$8*(1+'Part VII-Pro Forma'!$B$6)^('Part VII-Pro Forma'!F71-1)),),IF('Part VII-Pro Forma'!$G$9="Yes",ROUND((-(SUM(F72:F75)*'Part VII-Pro Forma'!$K$9)),),"Choose mgt fee")))</f>
        <v>-78376</v>
      </c>
      <c r="G78" s="25">
        <f>IF(AND('Part VII-Pro Forma'!$G$8="Yes",'Part VII-Pro Forma'!$G$9="Yes"),"Choose One!",IF('Part VII-Pro Forma'!$G$8="Yes",ROUND((-$K$8*(1+'Part VII-Pro Forma'!$B$6)^('Part VII-Pro Forma'!G71-1)),),IF('Part VII-Pro Forma'!$G$9="Yes",ROUND((-(SUM(G72:G75)*'Part VII-Pro Forma'!$K$9)),),"Choose mgt fee")))</f>
        <v>-79944</v>
      </c>
      <c r="H78" s="25">
        <f>IF(AND('Part VII-Pro Forma'!$G$8="Yes",'Part VII-Pro Forma'!$G$9="Yes"),"Choose One!",IF('Part VII-Pro Forma'!$G$8="Yes",ROUND((-$K$8*(1+'Part VII-Pro Forma'!$B$6)^('Part VII-Pro Forma'!H71-1)),),IF('Part VII-Pro Forma'!$G$9="Yes",ROUND((-(SUM(H72:H75)*'Part VII-Pro Forma'!$K$9)),),"Choose mgt fee")))</f>
        <v>-81542</v>
      </c>
      <c r="I78" s="25">
        <f>IF(AND('Part VII-Pro Forma'!$G$8="Yes",'Part VII-Pro Forma'!$G$9="Yes"),"Choose One!",IF('Part VII-Pro Forma'!$G$8="Yes",ROUND((-$K$8*(1+'Part VII-Pro Forma'!$B$6)^('Part VII-Pro Forma'!I71-1)),),IF('Part VII-Pro Forma'!$G$9="Yes",ROUND((-(SUM(I72:I75)*'Part VII-Pro Forma'!$K$9)),),"Choose mgt fee")))</f>
        <v>-83173</v>
      </c>
      <c r="J78" s="25">
        <f>IF(AND('Part VII-Pro Forma'!$G$8="Yes",'Part VII-Pro Forma'!$G$9="Yes"),"Choose One!",IF('Part VII-Pro Forma'!$G$8="Yes",ROUND((-$K$8*(1+'Part VII-Pro Forma'!$B$6)^('Part VII-Pro Forma'!J71-1)),),IF('Part VII-Pro Forma'!$G$9="Yes",ROUND((-(SUM(J72:J75)*'Part VII-Pro Forma'!$K$9)),),"Choose mgt fee")))</f>
        <v>-84837</v>
      </c>
      <c r="K78" s="25">
        <f>IF(AND('Part VII-Pro Forma'!$G$8="Yes",'Part VII-Pro Forma'!$G$9="Yes"),"Choose One!",IF('Part VII-Pro Forma'!$G$8="Yes",ROUND((-$K$8*(1+'Part VII-Pro Forma'!$B$6)^('Part VII-Pro Forma'!K71-1)),),IF('Part VII-Pro Forma'!$G$9="Yes",ROUND((-(SUM(K72:K75)*'Part VII-Pro Forma'!$K$9)),),"Choose mgt fee")))</f>
        <v>-86533</v>
      </c>
      <c r="M78" s="1753"/>
      <c r="N78" s="1754"/>
    </row>
    <row r="79" spans="1:14" ht="13.15" customHeight="1">
      <c r="A79" s="24" t="s">
        <v>1278</v>
      </c>
      <c r="B79" s="25">
        <f t="shared" ref="B79:K79" si="33">$B$21*(1+$B$7)^(B71-1)</f>
        <v>-31155.41879804738</v>
      </c>
      <c r="C79" s="25">
        <f t="shared" si="33"/>
        <v>-32090.081361988796</v>
      </c>
      <c r="D79" s="25">
        <f t="shared" si="33"/>
        <v>-33052.783802848462</v>
      </c>
      <c r="E79" s="25">
        <f t="shared" si="33"/>
        <v>-34044.367316933916</v>
      </c>
      <c r="F79" s="25">
        <f t="shared" si="33"/>
        <v>-35065.698336441928</v>
      </c>
      <c r="G79" s="25">
        <f t="shared" si="33"/>
        <v>-36117.669286535187</v>
      </c>
      <c r="H79" s="25">
        <f t="shared" si="33"/>
        <v>-37201.199365131251</v>
      </c>
      <c r="I79" s="25">
        <f t="shared" si="33"/>
        <v>-38317.235346085181</v>
      </c>
      <c r="J79" s="25">
        <f t="shared" si="33"/>
        <v>-39466.752406467742</v>
      </c>
      <c r="K79" s="26">
        <f t="shared" si="33"/>
        <v>-40650.754978661767</v>
      </c>
      <c r="M79" s="1753"/>
      <c r="N79" s="1754"/>
    </row>
    <row r="80" spans="1:14" ht="13.15" customHeight="1">
      <c r="A80" s="24" t="s">
        <v>1279</v>
      </c>
      <c r="B80" s="25">
        <f t="shared" ref="B80:K80" si="34">SUM(B72:B79)</f>
        <v>101389.46126203614</v>
      </c>
      <c r="C80" s="25">
        <f t="shared" si="34"/>
        <v>97914.621083047823</v>
      </c>
      <c r="D80" s="25">
        <f t="shared" si="34"/>
        <v>94204.161018352926</v>
      </c>
      <c r="E80" s="25">
        <f t="shared" si="34"/>
        <v>90251.016177773141</v>
      </c>
      <c r="F80" s="25">
        <f t="shared" si="34"/>
        <v>86042.791798553852</v>
      </c>
      <c r="G80" s="25">
        <f t="shared" si="34"/>
        <v>81569.752190666681</v>
      </c>
      <c r="H80" s="25">
        <f t="shared" si="34"/>
        <v>76822.809327306066</v>
      </c>
      <c r="I80" s="25">
        <f t="shared" si="34"/>
        <v>71788.511069462838</v>
      </c>
      <c r="J80" s="25">
        <f t="shared" si="34"/>
        <v>66456.029013131338</v>
      </c>
      <c r="K80" s="26">
        <f t="shared" si="34"/>
        <v>60815.145947341582</v>
      </c>
      <c r="M80" s="1753"/>
      <c r="N80" s="1754"/>
    </row>
    <row r="81" spans="1:14" ht="13.15" customHeight="1">
      <c r="A81" s="24" t="str">
        <f>$A52</f>
        <v>Mortgage A</v>
      </c>
      <c r="B81" s="2193">
        <f>IF('Part III-Sources of Funds'!$M$32="", 0,-'Part III-Sources of Funds'!$M$32)</f>
        <v>-77923</v>
      </c>
      <c r="C81" s="2193">
        <f>IF('Part III-Sources of Funds'!$M$32="", 0,-'Part III-Sources of Funds'!$M$32)</f>
        <v>-77923</v>
      </c>
      <c r="D81" s="2193">
        <f>IF('Part III-Sources of Funds'!$M$32="", 0,-'Part III-Sources of Funds'!$M$32)</f>
        <v>-77923</v>
      </c>
      <c r="E81" s="2193">
        <f>IF('Part III-Sources of Funds'!$M$32="", 0,-'Part III-Sources of Funds'!$M$32)</f>
        <v>-77923</v>
      </c>
      <c r="F81" s="2193">
        <f>IF('Part III-Sources of Funds'!$M$32="", 0,-'Part III-Sources of Funds'!$M$32)</f>
        <v>-77923</v>
      </c>
      <c r="G81" s="2193">
        <f>IF('Part III-Sources of Funds'!$M$32="", 0,-'Part III-Sources of Funds'!$M$32)</f>
        <v>-77923</v>
      </c>
      <c r="H81" s="2193">
        <f>IF('Part III-Sources of Funds'!$M$32="", 0,-'Part III-Sources of Funds'!$M$32)</f>
        <v>-77923</v>
      </c>
      <c r="I81" s="2193">
        <f>IF('Part III-Sources of Funds'!$M$32="", 0,-'Part III-Sources of Funds'!$M$32)</f>
        <v>-77923</v>
      </c>
      <c r="J81" s="2193">
        <f>IF('Part III-Sources of Funds'!$M$32="", 0,-'Part III-Sources of Funds'!$M$32)</f>
        <v>-77923</v>
      </c>
      <c r="K81" s="2193">
        <f>IF('Part III-Sources of Funds'!$M$32="", 0,-'Part III-Sources of Funds'!$M$32)</f>
        <v>-77923</v>
      </c>
      <c r="M81" s="1753"/>
      <c r="N81" s="1754"/>
    </row>
    <row r="82" spans="1:14" ht="13.15" customHeight="1">
      <c r="A82" s="24" t="str">
        <f>$A53</f>
        <v>Mortgage B</v>
      </c>
      <c r="B82" s="2194">
        <f>IF('Part III-Sources of Funds'!$M$33="", 0,-'Part III-Sources of Funds'!$M$33)</f>
        <v>0</v>
      </c>
      <c r="C82" s="2194">
        <f>IF('Part III-Sources of Funds'!$M$33="", 0,-'Part III-Sources of Funds'!$M$33)</f>
        <v>0</v>
      </c>
      <c r="D82" s="2194">
        <f>IF('Part III-Sources of Funds'!$M$33="", 0,-'Part III-Sources of Funds'!$M$33)</f>
        <v>0</v>
      </c>
      <c r="E82" s="2194">
        <f>IF('Part III-Sources of Funds'!$M$33="", 0,-'Part III-Sources of Funds'!$M$33)</f>
        <v>0</v>
      </c>
      <c r="F82" s="2194">
        <f>IF('Part III-Sources of Funds'!$M$33="", 0,-'Part III-Sources of Funds'!$M$33)</f>
        <v>0</v>
      </c>
      <c r="G82" s="2194">
        <f>IF('Part III-Sources of Funds'!$M$33="", 0,-'Part III-Sources of Funds'!$M$33)</f>
        <v>0</v>
      </c>
      <c r="H82" s="2194">
        <f>IF('Part III-Sources of Funds'!$M$33="", 0,-'Part III-Sources of Funds'!$M$33)</f>
        <v>0</v>
      </c>
      <c r="I82" s="2194">
        <f>IF('Part III-Sources of Funds'!$M$33="", 0,-'Part III-Sources of Funds'!$M$33)</f>
        <v>0</v>
      </c>
      <c r="J82" s="2194">
        <f>IF('Part III-Sources of Funds'!$M$33="", 0,-'Part III-Sources of Funds'!$M$33)</f>
        <v>0</v>
      </c>
      <c r="K82" s="2194">
        <f>IF('Part III-Sources of Funds'!$M$33="", 0,-'Part III-Sources of Funds'!$M$33)</f>
        <v>0</v>
      </c>
      <c r="M82" s="1753"/>
      <c r="N82" s="1754"/>
    </row>
    <row r="83" spans="1:14" ht="13.15" customHeight="1">
      <c r="A83" s="24" t="str">
        <f>$A54</f>
        <v>Mortgage C</v>
      </c>
      <c r="B83" s="2194">
        <f>IF('Part III-Sources of Funds'!$M$34="", 0,-'Part III-Sources of Funds'!$M$34)</f>
        <v>0</v>
      </c>
      <c r="C83" s="2194">
        <f>IF('Part III-Sources of Funds'!$M$34="", 0,-'Part III-Sources of Funds'!$M$34)</f>
        <v>0</v>
      </c>
      <c r="D83" s="2194">
        <f>IF('Part III-Sources of Funds'!$M$34="", 0,-'Part III-Sources of Funds'!$M$34)</f>
        <v>0</v>
      </c>
      <c r="E83" s="2194">
        <f>IF('Part III-Sources of Funds'!$M$34="", 0,-'Part III-Sources of Funds'!$M$34)</f>
        <v>0</v>
      </c>
      <c r="F83" s="2194">
        <f>IF('Part III-Sources of Funds'!$M$34="", 0,-'Part III-Sources of Funds'!$M$34)</f>
        <v>0</v>
      </c>
      <c r="G83" s="2194">
        <f>IF('Part III-Sources of Funds'!$M$34="", 0,-'Part III-Sources of Funds'!$M$34)</f>
        <v>0</v>
      </c>
      <c r="H83" s="2194">
        <f>IF('Part III-Sources of Funds'!$M$34="", 0,-'Part III-Sources of Funds'!$M$34)</f>
        <v>0</v>
      </c>
      <c r="I83" s="2194">
        <f>IF('Part III-Sources of Funds'!$M$34="", 0,-'Part III-Sources of Funds'!$M$34)</f>
        <v>0</v>
      </c>
      <c r="J83" s="2194">
        <f>IF('Part III-Sources of Funds'!$M$34="", 0,-'Part III-Sources of Funds'!$M$34)</f>
        <v>0</v>
      </c>
      <c r="K83" s="2194">
        <f>IF('Part III-Sources of Funds'!$M$34="", 0,-'Part III-Sources of Funds'!$M$34)</f>
        <v>0</v>
      </c>
      <c r="M83" s="1753"/>
      <c r="N83" s="1754"/>
    </row>
    <row r="84" spans="1:14" ht="13.15" customHeight="1">
      <c r="A84" s="24" t="str">
        <f>$A55</f>
        <v>D/S Other Source</v>
      </c>
      <c r="B84" s="2194">
        <f>IF('Part III-Sources of Funds'!$M$35="", 0,-'Part III-Sources of Funds'!$M$35)</f>
        <v>0</v>
      </c>
      <c r="C84" s="2194">
        <f>IF('Part III-Sources of Funds'!$M$35="", 0,-'Part III-Sources of Funds'!$M$35)</f>
        <v>0</v>
      </c>
      <c r="D84" s="2194">
        <f>IF('Part III-Sources of Funds'!$M$35="", 0,-'Part III-Sources of Funds'!$M$35)</f>
        <v>0</v>
      </c>
      <c r="E84" s="2194">
        <f>IF('Part III-Sources of Funds'!$M$35="", 0,-'Part III-Sources of Funds'!$M$35)</f>
        <v>0</v>
      </c>
      <c r="F84" s="2194">
        <f>IF('Part III-Sources of Funds'!$M$35="", 0,-'Part III-Sources of Funds'!$M$35)</f>
        <v>0</v>
      </c>
      <c r="G84" s="2194">
        <f>IF('Part III-Sources of Funds'!$M$35="", 0,-'Part III-Sources of Funds'!$M$35)</f>
        <v>0</v>
      </c>
      <c r="H84" s="2194">
        <f>IF('Part III-Sources of Funds'!$M$35="", 0,-'Part III-Sources of Funds'!$M$35)</f>
        <v>0</v>
      </c>
      <c r="I84" s="2194">
        <f>IF('Part III-Sources of Funds'!$M$35="", 0,-'Part III-Sources of Funds'!$M$35)</f>
        <v>0</v>
      </c>
      <c r="J84" s="2194">
        <f>IF('Part III-Sources of Funds'!$M$35="", 0,-'Part III-Sources of Funds'!$M$35)</f>
        <v>0</v>
      </c>
      <c r="K84" s="2194">
        <f>IF('Part III-Sources of Funds'!$M$35="", 0,-'Part III-Sources of Funds'!$M$35)</f>
        <v>0</v>
      </c>
      <c r="M84" s="1753"/>
      <c r="N84" s="1754"/>
    </row>
    <row r="85" spans="1:14" ht="13.15" customHeight="1">
      <c r="A85" s="24" t="s">
        <v>814</v>
      </c>
      <c r="B85" s="2195"/>
      <c r="C85" s="2195"/>
      <c r="D85" s="2195"/>
      <c r="E85" s="2195"/>
      <c r="F85" s="2195"/>
      <c r="G85" s="2195"/>
      <c r="H85" s="2195"/>
      <c r="I85" s="2195"/>
      <c r="J85" s="2195"/>
      <c r="K85" s="2195"/>
      <c r="M85" s="1753"/>
      <c r="N85" s="1754"/>
    </row>
    <row r="86" spans="1:14" ht="13.15" customHeight="1">
      <c r="A86" s="24" t="s">
        <v>1234</v>
      </c>
      <c r="B86" s="2194">
        <f>+K57</f>
        <v>-7500</v>
      </c>
      <c r="C86" s="2194">
        <f t="shared" ref="C86:K86" si="35">+B86</f>
        <v>-7500</v>
      </c>
      <c r="D86" s="2194">
        <f t="shared" si="35"/>
        <v>-7500</v>
      </c>
      <c r="E86" s="2194">
        <f t="shared" si="35"/>
        <v>-7500</v>
      </c>
      <c r="F86" s="2194">
        <f t="shared" si="35"/>
        <v>-7500</v>
      </c>
      <c r="G86" s="2194">
        <f t="shared" si="35"/>
        <v>-7500</v>
      </c>
      <c r="H86" s="2194">
        <f t="shared" si="35"/>
        <v>-7500</v>
      </c>
      <c r="I86" s="2194">
        <f t="shared" si="35"/>
        <v>-7500</v>
      </c>
      <c r="J86" s="2194">
        <f t="shared" si="35"/>
        <v>-7500</v>
      </c>
      <c r="K86" s="2194">
        <f t="shared" si="35"/>
        <v>-7500</v>
      </c>
      <c r="M86" s="1753"/>
      <c r="N86" s="1754"/>
    </row>
    <row r="87" spans="1:14" ht="13.15" customHeight="1">
      <c r="A87" s="24" t="s">
        <v>1280</v>
      </c>
      <c r="B87" s="2199">
        <f>IF('Part III-Sources of Funds'!$M$37="", 0,-'Part III-Sources of Funds'!$M$37)</f>
        <v>0</v>
      </c>
      <c r="C87" s="2199">
        <f>IF('Part III-Sources of Funds'!$M$37="", 0,-'Part III-Sources of Funds'!$M$37)</f>
        <v>0</v>
      </c>
      <c r="D87" s="2199">
        <f>IF('Part III-Sources of Funds'!$M$37="", 0,-'Part III-Sources of Funds'!$M$37)</f>
        <v>0</v>
      </c>
      <c r="E87" s="2199">
        <f>IF('Part III-Sources of Funds'!$M$37="", 0,-'Part III-Sources of Funds'!$M$37)</f>
        <v>0</v>
      </c>
      <c r="F87" s="2199">
        <f>IF('Part III-Sources of Funds'!$M$37="", 0,-'Part III-Sources of Funds'!$M$37)</f>
        <v>0</v>
      </c>
      <c r="G87" s="2199">
        <f>IF('Part III-Sources of Funds'!$M$37="", 0,-'Part III-Sources of Funds'!$M$37)</f>
        <v>0</v>
      </c>
      <c r="H87" s="2199">
        <f>IF('Part III-Sources of Funds'!$M$37="", 0,-'Part III-Sources of Funds'!$M$37)</f>
        <v>0</v>
      </c>
      <c r="I87" s="2199">
        <f>IF('Part III-Sources of Funds'!$M$37="", 0,-'Part III-Sources of Funds'!$M$37)</f>
        <v>0</v>
      </c>
      <c r="J87" s="2199">
        <f>IF('Part III-Sources of Funds'!$M$37="", 0,-'Part III-Sources of Funds'!$M$37)</f>
        <v>0</v>
      </c>
      <c r="K87" s="2194">
        <f>IF('Part III-Sources of Funds'!$M$37="", 0,-'Part III-Sources of Funds'!$M$37)</f>
        <v>0</v>
      </c>
      <c r="M87" s="1753"/>
      <c r="N87" s="1754"/>
    </row>
    <row r="88" spans="1:14" ht="13.15" customHeight="1">
      <c r="A88" s="24" t="s">
        <v>1235</v>
      </c>
      <c r="B88" s="25">
        <f t="shared" ref="B88:K88" si="36">SUM(B80:B87)</f>
        <v>15966.461262036144</v>
      </c>
      <c r="C88" s="25">
        <f t="shared" si="36"/>
        <v>12491.621083047823</v>
      </c>
      <c r="D88" s="25">
        <f t="shared" si="36"/>
        <v>8781.1610183529265</v>
      </c>
      <c r="E88" s="25">
        <f t="shared" si="36"/>
        <v>4828.016177773141</v>
      </c>
      <c r="F88" s="25">
        <f t="shared" si="36"/>
        <v>619.79179855385155</v>
      </c>
      <c r="G88" s="25">
        <f t="shared" si="36"/>
        <v>-3853.2478093333193</v>
      </c>
      <c r="H88" s="25">
        <f t="shared" si="36"/>
        <v>-8600.1906726939342</v>
      </c>
      <c r="I88" s="25">
        <f t="shared" si="36"/>
        <v>-13634.488930537162</v>
      </c>
      <c r="J88" s="25">
        <f t="shared" si="36"/>
        <v>-18966.970986868662</v>
      </c>
      <c r="K88" s="23">
        <f t="shared" si="36"/>
        <v>-24607.854052658418</v>
      </c>
      <c r="M88" s="1753"/>
      <c r="N88" s="1754"/>
    </row>
    <row r="89" spans="1:14" ht="13.15" customHeight="1">
      <c r="A89" s="24" t="str">
        <f>$A60</f>
        <v>DCR Mortgage A</v>
      </c>
      <c r="B89" s="27">
        <f>IF(B81=0,"",-B80/B81)</f>
        <v>1.3011493559287519</v>
      </c>
      <c r="C89" s="27">
        <f t="shared" ref="C89:K89" si="37">IF(C81=0,"",-C80/C81)</f>
        <v>1.2565561013185815</v>
      </c>
      <c r="D89" s="27">
        <f t="shared" si="37"/>
        <v>1.2089390939562508</v>
      </c>
      <c r="E89" s="27">
        <f t="shared" si="37"/>
        <v>1.1582076688240075</v>
      </c>
      <c r="F89" s="27">
        <f t="shared" si="37"/>
        <v>1.1042027616820944</v>
      </c>
      <c r="G89" s="27">
        <f t="shared" si="37"/>
        <v>1.0467994326536028</v>
      </c>
      <c r="H89" s="27">
        <f t="shared" si="37"/>
        <v>0.98588105344129551</v>
      </c>
      <c r="I89" s="27">
        <f t="shared" si="37"/>
        <v>0.92127499030405446</v>
      </c>
      <c r="J89" s="27">
        <f t="shared" si="37"/>
        <v>0.85284228036820109</v>
      </c>
      <c r="K89" s="28">
        <f t="shared" si="37"/>
        <v>0.78045180431119932</v>
      </c>
      <c r="M89" s="1753"/>
      <c r="N89" s="175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3"/>
      <c r="N90" s="175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3"/>
      <c r="N91" s="175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3"/>
      <c r="N92" s="1754"/>
    </row>
    <row r="93" spans="1:14" ht="13.15" customHeight="1">
      <c r="A93" s="24" t="s">
        <v>821</v>
      </c>
      <c r="B93" s="320">
        <f>IF(OR(B78="Choose mgt fee",B78="Choose One!"),"",(B72+B73+B74+B75+B76) / -(B77+B78+B79))</f>
        <v>1.1628265235059319</v>
      </c>
      <c r="C93" s="320">
        <f t="shared" ref="C93:K93" si="41">IF(OR(C78="Choose mgt fee",C78="Choose One!"),"",(C72+C73+C74+C75+C76) / -(C77+C78+C79))</f>
        <v>1.1528386973681133</v>
      </c>
      <c r="D93" s="320">
        <f t="shared" si="41"/>
        <v>1.1429237511902679</v>
      </c>
      <c r="E93" s="320">
        <f t="shared" si="41"/>
        <v>1.1330858237306178</v>
      </c>
      <c r="F93" s="320">
        <f t="shared" si="41"/>
        <v>1.1233203786989396</v>
      </c>
      <c r="G93" s="320">
        <f t="shared" si="41"/>
        <v>1.1136281366871517</v>
      </c>
      <c r="H93" s="320">
        <f t="shared" si="41"/>
        <v>1.1040111820870655</v>
      </c>
      <c r="I93" s="320">
        <f t="shared" si="41"/>
        <v>1.0944654995010934</v>
      </c>
      <c r="J93" s="320">
        <f t="shared" si="41"/>
        <v>1.0849917676368366</v>
      </c>
      <c r="K93" s="321">
        <f t="shared" si="41"/>
        <v>1.0755918765487178</v>
      </c>
      <c r="M93" s="1753"/>
      <c r="N93" s="1754"/>
    </row>
    <row r="94" spans="1:14" ht="13.15" customHeight="1">
      <c r="A94" s="522" t="s">
        <v>2802</v>
      </c>
      <c r="B94" s="2198"/>
      <c r="C94" s="2198"/>
      <c r="D94" s="2198"/>
      <c r="E94" s="2198"/>
      <c r="F94" s="2198"/>
      <c r="G94" s="2198"/>
      <c r="H94" s="2198"/>
      <c r="I94" s="2198"/>
      <c r="J94" s="2198"/>
      <c r="K94" s="2198"/>
      <c r="M94" s="1753"/>
      <c r="N94" s="1754"/>
    </row>
    <row r="95" spans="1:14" ht="13.15" customHeight="1">
      <c r="A95" s="522" t="s">
        <v>2803</v>
      </c>
      <c r="B95" s="2194" t="str">
        <f>IF('Part III-Sources of Funds'!$H$33="","",-FV('Part III-Sources of Funds'!$J$33/12,12,B82/12,K66))</f>
        <v/>
      </c>
      <c r="C95" s="2194" t="str">
        <f>IF('Part III-Sources of Funds'!$H$33="","",-FV('Part III-Sources of Funds'!$J$33/12,12,C82/12,B95))</f>
        <v/>
      </c>
      <c r="D95" s="2194" t="str">
        <f>IF('Part III-Sources of Funds'!$H$33="","",-FV('Part III-Sources of Funds'!$J$33/12,12,D82/12,C95))</f>
        <v/>
      </c>
      <c r="E95" s="2194" t="str">
        <f>IF('Part III-Sources of Funds'!$H$33="","",-FV('Part III-Sources of Funds'!$J$33/12,12,E82/12,D95))</f>
        <v/>
      </c>
      <c r="F95" s="2194" t="str">
        <f>IF('Part III-Sources of Funds'!$H$33="","",-FV('Part III-Sources of Funds'!$J$33/12,12,F82/12,E95))</f>
        <v/>
      </c>
      <c r="G95" s="2194" t="str">
        <f>IF('Part III-Sources of Funds'!$H$33="","",-FV('Part III-Sources of Funds'!$J$33/12,12,G82/12,F95))</f>
        <v/>
      </c>
      <c r="H95" s="2194" t="str">
        <f>IF('Part III-Sources of Funds'!$H$33="","",-FV('Part III-Sources of Funds'!$J$33/12,12,H82/12,G95))</f>
        <v/>
      </c>
      <c r="I95" s="2194" t="str">
        <f>IF('Part III-Sources of Funds'!$H$33="","",-FV('Part III-Sources of Funds'!$J$33/12,12,I82/12,H95))</f>
        <v/>
      </c>
      <c r="J95" s="2194" t="str">
        <f>IF('Part III-Sources of Funds'!$H$33="","",-FV('Part III-Sources of Funds'!$J$33/12,12,J82/12,I95))</f>
        <v/>
      </c>
      <c r="K95" s="2194" t="str">
        <f>IF('Part III-Sources of Funds'!$H$33="","",-FV('Part III-Sources of Funds'!$J$33/12,12,K82/12,J95))</f>
        <v/>
      </c>
      <c r="M95" s="1753"/>
      <c r="N95" s="1754"/>
    </row>
    <row r="96" spans="1:14" ht="13.15" customHeight="1">
      <c r="A96" s="522" t="s">
        <v>2804</v>
      </c>
      <c r="B96" s="2194" t="str">
        <f>IF('Part III-Sources of Funds'!$H$34="","",-FV('Part III-Sources of Funds'!$J$34/12,12,B83/12,K67))</f>
        <v/>
      </c>
      <c r="C96" s="2194" t="str">
        <f>IF('Part III-Sources of Funds'!$H$34="","",-FV('Part III-Sources of Funds'!$J$34/12,12,C83/12,B96))</f>
        <v/>
      </c>
      <c r="D96" s="2194" t="str">
        <f>IF('Part III-Sources of Funds'!$H$34="","",-FV('Part III-Sources of Funds'!$J$34/12,12,D83/12,C96))</f>
        <v/>
      </c>
      <c r="E96" s="2194" t="str">
        <f>IF('Part III-Sources of Funds'!$H$34="","",-FV('Part III-Sources of Funds'!$J$34/12,12,E83/12,D96))</f>
        <v/>
      </c>
      <c r="F96" s="2194" t="str">
        <f>IF('Part III-Sources of Funds'!$H$34="","",-FV('Part III-Sources of Funds'!$J$34/12,12,F83/12,E96))</f>
        <v/>
      </c>
      <c r="G96" s="2194" t="str">
        <f>IF('Part III-Sources of Funds'!$H$34="","",-FV('Part III-Sources of Funds'!$J$34/12,12,G83/12,F96))</f>
        <v/>
      </c>
      <c r="H96" s="2194" t="str">
        <f>IF('Part III-Sources of Funds'!$H$34="","",-FV('Part III-Sources of Funds'!$J$34/12,12,H83/12,G96))</f>
        <v/>
      </c>
      <c r="I96" s="2194" t="str">
        <f>IF('Part III-Sources of Funds'!$H$34="","",-FV('Part III-Sources of Funds'!$J$34/12,12,I83/12,H96))</f>
        <v/>
      </c>
      <c r="J96" s="2194" t="str">
        <f>IF('Part III-Sources of Funds'!$H$34="","",-FV('Part III-Sources of Funds'!$J$34/12,12,J83/12,I96))</f>
        <v/>
      </c>
      <c r="K96" s="2194" t="str">
        <f>IF('Part III-Sources of Funds'!$H$34="","",-FV('Part III-Sources of Funds'!$J$34/12,12,K83/12,J96))</f>
        <v/>
      </c>
      <c r="M96" s="1753"/>
      <c r="N96" s="1754"/>
    </row>
    <row r="97" spans="1:14" ht="13.15" customHeight="1">
      <c r="A97" s="24" t="s">
        <v>837</v>
      </c>
      <c r="B97" s="2194" t="str">
        <f>IF('Part III-Sources of Funds'!$H$35="","",-FV('Part III-Sources of Funds'!$J$35/12,12,B84/12,K68))</f>
        <v/>
      </c>
      <c r="C97" s="2194" t="str">
        <f>IF('Part III-Sources of Funds'!$H$35="","",-FV('Part III-Sources of Funds'!$J$35/12,12,C84/12,B97))</f>
        <v/>
      </c>
      <c r="D97" s="2194" t="str">
        <f>IF('Part III-Sources of Funds'!$H$35="","",-FV('Part III-Sources of Funds'!$J$35/12,12,D84/12,C97))</f>
        <v/>
      </c>
      <c r="E97" s="2194" t="str">
        <f>IF('Part III-Sources of Funds'!$H$35="","",-FV('Part III-Sources of Funds'!$J$35/12,12,E84/12,D97))</f>
        <v/>
      </c>
      <c r="F97" s="2194" t="str">
        <f>IF('Part III-Sources of Funds'!$H$35="","",-FV('Part III-Sources of Funds'!$J$35/12,12,F84/12,E97))</f>
        <v/>
      </c>
      <c r="G97" s="2194" t="str">
        <f>IF('Part III-Sources of Funds'!$H$35="","",-FV('Part III-Sources of Funds'!$J$35/12,12,G84/12,F97))</f>
        <v/>
      </c>
      <c r="H97" s="2194" t="str">
        <f>IF('Part III-Sources of Funds'!$H$35="","",-FV('Part III-Sources of Funds'!$J$35/12,12,H84/12,G97))</f>
        <v/>
      </c>
      <c r="I97" s="2194" t="str">
        <f>IF('Part III-Sources of Funds'!$H$35="","",-FV('Part III-Sources of Funds'!$J$35/12,12,I84/12,H97))</f>
        <v/>
      </c>
      <c r="J97" s="2194" t="str">
        <f>IF('Part III-Sources of Funds'!$H$35="","",-FV('Part III-Sources of Funds'!$J$35/12,12,J84/12,I97))</f>
        <v/>
      </c>
      <c r="K97" s="2194" t="str">
        <f>IF('Part III-Sources of Funds'!$H$35="","",-FV('Part III-Sources of Funds'!$J$35/12,12,K84/12,J97))</f>
        <v/>
      </c>
      <c r="M97" s="1753"/>
      <c r="N97" s="1754"/>
    </row>
    <row r="98" spans="1:14" ht="13.15" customHeight="1">
      <c r="A98" s="29" t="s">
        <v>1315</v>
      </c>
      <c r="B98" s="2199">
        <f>IF('Part III-Sources of Funds'!$H$37="","",-FV('Part III-Sources of Funds'!$J$37/12,12,B87/12,K69))</f>
        <v>0</v>
      </c>
      <c r="C98" s="2199">
        <f>IF('Part III-Sources of Funds'!$H$37="","",-FV('Part III-Sources of Funds'!$J$37/12,12,C87/12,B98))</f>
        <v>0</v>
      </c>
      <c r="D98" s="2199">
        <f>IF('Part III-Sources of Funds'!$H$37="","",-FV('Part III-Sources of Funds'!$J$37/12,12,D87/12,C98))</f>
        <v>0</v>
      </c>
      <c r="E98" s="2199">
        <f>IF('Part III-Sources of Funds'!$H$37="","",-FV('Part III-Sources of Funds'!$J$37/12,12,E87/12,D98))</f>
        <v>0</v>
      </c>
      <c r="F98" s="2199">
        <f>IF('Part III-Sources of Funds'!$H$37="","",-FV('Part III-Sources of Funds'!$J$37/12,12,F87/12,E98))</f>
        <v>0</v>
      </c>
      <c r="G98" s="2199">
        <f>IF('Part III-Sources of Funds'!$H$37="","",-FV('Part III-Sources of Funds'!$J$37/12,12,G87/12,F98))</f>
        <v>0</v>
      </c>
      <c r="H98" s="2199">
        <f>IF('Part III-Sources of Funds'!$H$37="","",-FV('Part III-Sources of Funds'!$J$37/12,12,H87/12,G98))</f>
        <v>0</v>
      </c>
      <c r="I98" s="2199">
        <f>IF('Part III-Sources of Funds'!$H$37="","",-FV('Part III-Sources of Funds'!$J$37/12,12,I87/12,H98))</f>
        <v>0</v>
      </c>
      <c r="J98" s="2199">
        <f>IF('Part III-Sources of Funds'!$H$37="","",-FV('Part III-Sources of Funds'!$J$37/12,12,J87/12,I98))</f>
        <v>0</v>
      </c>
      <c r="K98" s="2199">
        <f>IF('Part III-Sources of Funds'!$H$37="","",-FV('Part III-Sources of Funds'!$J$37/12,12,K87/12,J98))</f>
        <v>0</v>
      </c>
      <c r="M98" s="1761"/>
      <c r="N98" s="1762"/>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793"/>
      <c r="B103" s="2200"/>
      <c r="C103" s="2200"/>
      <c r="D103" s="2200"/>
      <c r="E103" s="2200"/>
      <c r="F103" s="2201"/>
      <c r="G103" s="2202"/>
      <c r="H103" s="2203"/>
      <c r="I103" s="2203"/>
      <c r="J103" s="2203"/>
      <c r="K103" s="2204"/>
      <c r="M103" s="1253" t="s">
        <v>2925</v>
      </c>
      <c r="N103" s="125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220"/>
      <selection sqref="A1:XFD1048576"/>
      <selection pane="bottomLeft" activeCell="A267" sqref="A267"/>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6" t="str">
        <f>CONCATENATE("PART EIGHT - THRESHOLD CRITERIA","  -  ",'Part I-Project Information'!$O$4," ",'Part I-Project Information'!$F$23,", ",'Part I-Project Information'!F27,", ",'Part I-Project Information'!J28," County")</f>
        <v>PART EIGHT - THRESHOLD CRITERIA  -  2014-055 Trinity Walk Phase I, Decatur, DeKalb County</v>
      </c>
      <c r="B1" s="1297"/>
      <c r="C1" s="1297"/>
      <c r="D1" s="1297"/>
      <c r="E1" s="1297"/>
      <c r="F1" s="1297"/>
      <c r="G1" s="1297"/>
      <c r="H1" s="1297"/>
      <c r="I1" s="1297"/>
      <c r="J1" s="1297"/>
      <c r="K1" s="1297"/>
      <c r="L1" s="1297"/>
      <c r="M1" s="1297"/>
      <c r="N1" s="1297"/>
      <c r="O1" s="1297"/>
      <c r="P1" s="1297"/>
      <c r="Q1" s="1297"/>
    </row>
    <row r="2" spans="1:32" s="31" customFormat="1" ht="3" customHeight="1">
      <c r="S2" s="43"/>
      <c r="T2" s="43"/>
      <c r="AE2" s="137"/>
      <c r="AF2" s="137"/>
    </row>
    <row r="3" spans="1:32" ht="13.5" customHeight="1">
      <c r="A3" s="1428"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28"/>
      <c r="C3" s="1428"/>
      <c r="D3" s="1428"/>
      <c r="E3" s="1428"/>
      <c r="F3" s="1428"/>
      <c r="G3" s="1428"/>
      <c r="H3" s="1428"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28"/>
      <c r="J3" s="1428"/>
      <c r="K3" s="1428"/>
      <c r="L3" s="1428"/>
      <c r="M3" s="1428"/>
      <c r="N3" s="1429"/>
      <c r="O3" s="1430" t="s">
        <v>991</v>
      </c>
      <c r="P3" s="1431"/>
      <c r="Q3" s="810" t="s">
        <v>1971</v>
      </c>
    </row>
    <row r="4" spans="1:32" ht="3" customHeight="1">
      <c r="A4" s="1157"/>
      <c r="B4" s="1419"/>
      <c r="C4" s="1419"/>
      <c r="D4" s="1419"/>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600</v>
      </c>
      <c r="J6" s="1157"/>
      <c r="K6" s="1157"/>
      <c r="L6" s="1157"/>
      <c r="M6" s="1157"/>
      <c r="N6" s="1157"/>
      <c r="P6" s="1423"/>
      <c r="Q6" s="1424"/>
    </row>
    <row r="7" spans="1:32" ht="12.6" customHeight="1">
      <c r="A7" s="152" t="s">
        <v>290</v>
      </c>
      <c r="C7" s="153"/>
      <c r="D7" s="153"/>
      <c r="J7" s="1157"/>
      <c r="K7" s="1157"/>
      <c r="L7" s="1157"/>
      <c r="M7" s="1157"/>
      <c r="N7" s="1157"/>
    </row>
    <row r="8" spans="1:32" ht="24.6" customHeight="1">
      <c r="A8" s="1425" t="s">
        <v>1500</v>
      </c>
      <c r="B8" s="1426"/>
      <c r="C8" s="1426"/>
      <c r="D8" s="1426"/>
      <c r="E8" s="1426"/>
      <c r="F8" s="1426"/>
      <c r="G8" s="1426"/>
      <c r="H8" s="1426"/>
      <c r="I8" s="1426"/>
      <c r="J8" s="1426"/>
      <c r="K8" s="1426"/>
      <c r="L8" s="1426"/>
      <c r="M8" s="1426"/>
      <c r="N8" s="1426"/>
      <c r="O8" s="1426"/>
      <c r="P8" s="1426"/>
      <c r="Q8" s="1427"/>
      <c r="R8" s="1445" t="s">
        <v>2168</v>
      </c>
      <c r="S8" s="1181"/>
    </row>
    <row r="9" spans="1:32" ht="24.6" customHeight="1">
      <c r="A9" s="1420" t="s">
        <v>237</v>
      </c>
      <c r="B9" s="1421"/>
      <c r="C9" s="1421"/>
      <c r="D9" s="1421"/>
      <c r="E9" s="1421"/>
      <c r="F9" s="1421"/>
      <c r="G9" s="1421"/>
      <c r="H9" s="1421"/>
      <c r="I9" s="1421"/>
      <c r="J9" s="1421"/>
      <c r="K9" s="1421"/>
      <c r="L9" s="1421"/>
      <c r="M9" s="1421"/>
      <c r="N9" s="1421"/>
      <c r="O9" s="1421"/>
      <c r="P9" s="1421"/>
      <c r="Q9" s="1422"/>
      <c r="R9" s="1445"/>
      <c r="S9" s="1181"/>
    </row>
    <row r="10" spans="1:32" ht="24.6" customHeight="1">
      <c r="A10" s="1420" t="s">
        <v>1496</v>
      </c>
      <c r="B10" s="1421"/>
      <c r="C10" s="1421"/>
      <c r="D10" s="1421"/>
      <c r="E10" s="1421"/>
      <c r="F10" s="1421"/>
      <c r="G10" s="1421"/>
      <c r="H10" s="1421"/>
      <c r="I10" s="1421"/>
      <c r="J10" s="1421"/>
      <c r="K10" s="1421"/>
      <c r="L10" s="1421"/>
      <c r="M10" s="1421"/>
      <c r="N10" s="1421"/>
      <c r="O10" s="1421"/>
      <c r="P10" s="1421"/>
      <c r="Q10" s="1422"/>
      <c r="R10" s="1445"/>
      <c r="S10" s="1181"/>
    </row>
    <row r="11" spans="1:32" ht="24.6" customHeight="1">
      <c r="A11" s="1420" t="s">
        <v>1497</v>
      </c>
      <c r="B11" s="1421"/>
      <c r="C11" s="1421"/>
      <c r="D11" s="1421"/>
      <c r="E11" s="1421"/>
      <c r="F11" s="1421"/>
      <c r="G11" s="1421"/>
      <c r="H11" s="1421"/>
      <c r="I11" s="1421"/>
      <c r="J11" s="1421"/>
      <c r="K11" s="1421"/>
      <c r="L11" s="1421"/>
      <c r="M11" s="1421"/>
      <c r="N11" s="1421"/>
      <c r="O11" s="1421"/>
      <c r="P11" s="1421"/>
      <c r="Q11" s="1422"/>
      <c r="R11" s="1445"/>
      <c r="S11" s="1181"/>
    </row>
    <row r="12" spans="1:32" ht="24.6" customHeight="1">
      <c r="A12" s="1420" t="s">
        <v>1498</v>
      </c>
      <c r="B12" s="1421"/>
      <c r="C12" s="1421"/>
      <c r="D12" s="1421"/>
      <c r="E12" s="1421"/>
      <c r="F12" s="1421"/>
      <c r="G12" s="1421"/>
      <c r="H12" s="1421"/>
      <c r="I12" s="1421"/>
      <c r="J12" s="1421"/>
      <c r="K12" s="1421"/>
      <c r="L12" s="1421"/>
      <c r="M12" s="1421"/>
      <c r="N12" s="1421"/>
      <c r="O12" s="1421"/>
      <c r="P12" s="1421"/>
      <c r="Q12" s="1422"/>
      <c r="R12" s="1130"/>
      <c r="S12" s="1130"/>
    </row>
    <row r="13" spans="1:32" ht="24.6" customHeight="1">
      <c r="A13" s="1420" t="s">
        <v>1499</v>
      </c>
      <c r="B13" s="1421"/>
      <c r="C13" s="1421"/>
      <c r="D13" s="1421"/>
      <c r="E13" s="1421"/>
      <c r="F13" s="1421"/>
      <c r="G13" s="1421"/>
      <c r="H13" s="1421"/>
      <c r="I13" s="1421"/>
      <c r="J13" s="1421"/>
      <c r="K13" s="1421"/>
      <c r="L13" s="1421"/>
      <c r="M13" s="1421"/>
      <c r="N13" s="1421"/>
      <c r="O13" s="1421"/>
      <c r="P13" s="1421"/>
      <c r="Q13" s="1422"/>
      <c r="R13" s="1130"/>
      <c r="S13" s="1130"/>
    </row>
    <row r="14" spans="1:32" ht="24.6" customHeight="1">
      <c r="A14" s="1420" t="s">
        <v>1501</v>
      </c>
      <c r="B14" s="1421"/>
      <c r="C14" s="1421"/>
      <c r="D14" s="1421"/>
      <c r="E14" s="1421"/>
      <c r="F14" s="1421"/>
      <c r="G14" s="1421"/>
      <c r="H14" s="1421"/>
      <c r="I14" s="1421"/>
      <c r="J14" s="1421"/>
      <c r="K14" s="1421"/>
      <c r="L14" s="1421"/>
      <c r="M14" s="1421"/>
      <c r="N14" s="1421"/>
      <c r="O14" s="1421"/>
      <c r="P14" s="1421"/>
      <c r="Q14" s="1422"/>
    </row>
    <row r="15" spans="1:32" ht="24.6" customHeight="1">
      <c r="A15" s="1420" t="s">
        <v>2155</v>
      </c>
      <c r="B15" s="1421"/>
      <c r="C15" s="1421"/>
      <c r="D15" s="1421"/>
      <c r="E15" s="1421"/>
      <c r="F15" s="1421"/>
      <c r="G15" s="1421"/>
      <c r="H15" s="1421"/>
      <c r="I15" s="1421"/>
      <c r="J15" s="1421"/>
      <c r="K15" s="1421"/>
      <c r="L15" s="1421"/>
      <c r="M15" s="1421"/>
      <c r="N15" s="1421"/>
      <c r="O15" s="1421"/>
      <c r="P15" s="1421"/>
      <c r="Q15" s="1422"/>
      <c r="R15" s="1181" t="s">
        <v>2168</v>
      </c>
      <c r="S15" s="1181"/>
    </row>
    <row r="16" spans="1:32" ht="24.6" customHeight="1">
      <c r="A16" s="1420" t="s">
        <v>2156</v>
      </c>
      <c r="B16" s="1421"/>
      <c r="C16" s="1421"/>
      <c r="D16" s="1421"/>
      <c r="E16" s="1421"/>
      <c r="F16" s="1421"/>
      <c r="G16" s="1421"/>
      <c r="H16" s="1421"/>
      <c r="I16" s="1421"/>
      <c r="J16" s="1421"/>
      <c r="K16" s="1421"/>
      <c r="L16" s="1421"/>
      <c r="M16" s="1421"/>
      <c r="N16" s="1421"/>
      <c r="O16" s="1421"/>
      <c r="P16" s="1421"/>
      <c r="Q16" s="1422"/>
      <c r="R16" s="1181"/>
      <c r="S16" s="1181"/>
    </row>
    <row r="17" spans="1:19" ht="24.6" customHeight="1">
      <c r="A17" s="1420" t="s">
        <v>2157</v>
      </c>
      <c r="B17" s="1421"/>
      <c r="C17" s="1421"/>
      <c r="D17" s="1421"/>
      <c r="E17" s="1421"/>
      <c r="F17" s="1421"/>
      <c r="G17" s="1421"/>
      <c r="H17" s="1421"/>
      <c r="I17" s="1421"/>
      <c r="J17" s="1421"/>
      <c r="K17" s="1421"/>
      <c r="L17" s="1421"/>
      <c r="M17" s="1421"/>
      <c r="N17" s="1421"/>
      <c r="O17" s="1421"/>
      <c r="P17" s="1421"/>
      <c r="Q17" s="1422"/>
      <c r="R17" s="1181"/>
      <c r="S17" s="1181"/>
    </row>
    <row r="18" spans="1:19" ht="24.6" customHeight="1">
      <c r="A18" s="1420" t="s">
        <v>2158</v>
      </c>
      <c r="B18" s="1421"/>
      <c r="C18" s="1421"/>
      <c r="D18" s="1421"/>
      <c r="E18" s="1421"/>
      <c r="F18" s="1421"/>
      <c r="G18" s="1421"/>
      <c r="H18" s="1421"/>
      <c r="I18" s="1421"/>
      <c r="J18" s="1421"/>
      <c r="K18" s="1421"/>
      <c r="L18" s="1421"/>
      <c r="M18" s="1421"/>
      <c r="N18" s="1421"/>
      <c r="O18" s="1421"/>
      <c r="P18" s="1421"/>
      <c r="Q18" s="1422"/>
      <c r="R18" s="1181"/>
      <c r="S18" s="1181"/>
    </row>
    <row r="19" spans="1:19" ht="24.6" customHeight="1">
      <c r="A19" s="1420" t="s">
        <v>2159</v>
      </c>
      <c r="B19" s="1421"/>
      <c r="C19" s="1421"/>
      <c r="D19" s="1421"/>
      <c r="E19" s="1421"/>
      <c r="F19" s="1421"/>
      <c r="G19" s="1421"/>
      <c r="H19" s="1421"/>
      <c r="I19" s="1421"/>
      <c r="J19" s="1421"/>
      <c r="K19" s="1421"/>
      <c r="L19" s="1421"/>
      <c r="M19" s="1421"/>
      <c r="N19" s="1421"/>
      <c r="O19" s="1421"/>
      <c r="P19" s="1421"/>
      <c r="Q19" s="1422"/>
      <c r="R19" s="1130"/>
      <c r="S19" s="1130"/>
    </row>
    <row r="20" spans="1:19" ht="24.6" customHeight="1">
      <c r="A20" s="1420" t="s">
        <v>2160</v>
      </c>
      <c r="B20" s="1421"/>
      <c r="C20" s="1421"/>
      <c r="D20" s="1421"/>
      <c r="E20" s="1421"/>
      <c r="F20" s="1421"/>
      <c r="G20" s="1421"/>
      <c r="H20" s="1421"/>
      <c r="I20" s="1421"/>
      <c r="J20" s="1421"/>
      <c r="K20" s="1421"/>
      <c r="L20" s="1421"/>
      <c r="M20" s="1421"/>
      <c r="N20" s="1421"/>
      <c r="O20" s="1421"/>
      <c r="P20" s="1421"/>
      <c r="Q20" s="1422"/>
      <c r="R20" s="1130"/>
      <c r="S20" s="1130"/>
    </row>
    <row r="21" spans="1:19" ht="24.6" customHeight="1">
      <c r="A21" s="1420" t="s">
        <v>2161</v>
      </c>
      <c r="B21" s="1421"/>
      <c r="C21" s="1421"/>
      <c r="D21" s="1421"/>
      <c r="E21" s="1421"/>
      <c r="F21" s="1421"/>
      <c r="G21" s="1421"/>
      <c r="H21" s="1421"/>
      <c r="I21" s="1421"/>
      <c r="J21" s="1421"/>
      <c r="K21" s="1421"/>
      <c r="L21" s="1421"/>
      <c r="M21" s="1421"/>
      <c r="N21" s="1421"/>
      <c r="O21" s="1421"/>
      <c r="P21" s="1421"/>
      <c r="Q21" s="1422"/>
    </row>
    <row r="22" spans="1:19" ht="24.6" customHeight="1">
      <c r="A22" s="1420" t="s">
        <v>2162</v>
      </c>
      <c r="B22" s="1421"/>
      <c r="C22" s="1421"/>
      <c r="D22" s="1421"/>
      <c r="E22" s="1421"/>
      <c r="F22" s="1421"/>
      <c r="G22" s="1421"/>
      <c r="H22" s="1421"/>
      <c r="I22" s="1421"/>
      <c r="J22" s="1421"/>
      <c r="K22" s="1421"/>
      <c r="L22" s="1421"/>
      <c r="M22" s="1421"/>
      <c r="N22" s="1421"/>
      <c r="O22" s="1421"/>
      <c r="P22" s="1421"/>
      <c r="Q22" s="1422"/>
      <c r="R22" s="1181" t="s">
        <v>2168</v>
      </c>
      <c r="S22" s="1181"/>
    </row>
    <row r="23" spans="1:19" ht="24.6" customHeight="1">
      <c r="A23" s="1420" t="s">
        <v>2163</v>
      </c>
      <c r="B23" s="1421"/>
      <c r="C23" s="1421"/>
      <c r="D23" s="1421"/>
      <c r="E23" s="1421"/>
      <c r="F23" s="1421"/>
      <c r="G23" s="1421"/>
      <c r="H23" s="1421"/>
      <c r="I23" s="1421"/>
      <c r="J23" s="1421"/>
      <c r="K23" s="1421"/>
      <c r="L23" s="1421"/>
      <c r="M23" s="1421"/>
      <c r="N23" s="1421"/>
      <c r="O23" s="1421"/>
      <c r="P23" s="1421"/>
      <c r="Q23" s="1422"/>
      <c r="R23" s="1181"/>
      <c r="S23" s="1181"/>
    </row>
    <row r="24" spans="1:19" ht="24.6" customHeight="1">
      <c r="A24" s="1420" t="s">
        <v>2164</v>
      </c>
      <c r="B24" s="1421"/>
      <c r="C24" s="1421"/>
      <c r="D24" s="1421"/>
      <c r="E24" s="1421"/>
      <c r="F24" s="1421"/>
      <c r="G24" s="1421"/>
      <c r="H24" s="1421"/>
      <c r="I24" s="1421"/>
      <c r="J24" s="1421"/>
      <c r="K24" s="1421"/>
      <c r="L24" s="1421"/>
      <c r="M24" s="1421"/>
      <c r="N24" s="1421"/>
      <c r="O24" s="1421"/>
      <c r="P24" s="1421"/>
      <c r="Q24" s="1422"/>
      <c r="R24" s="1181"/>
      <c r="S24" s="1181"/>
    </row>
    <row r="25" spans="1:19" ht="24.6" customHeight="1">
      <c r="A25" s="1420" t="s">
        <v>2165</v>
      </c>
      <c r="B25" s="1421"/>
      <c r="C25" s="1421"/>
      <c r="D25" s="1421"/>
      <c r="E25" s="1421"/>
      <c r="F25" s="1421"/>
      <c r="G25" s="1421"/>
      <c r="H25" s="1421"/>
      <c r="I25" s="1421"/>
      <c r="J25" s="1421"/>
      <c r="K25" s="1421"/>
      <c r="L25" s="1421"/>
      <c r="M25" s="1421"/>
      <c r="N25" s="1421"/>
      <c r="O25" s="1421"/>
      <c r="P25" s="1421"/>
      <c r="Q25" s="1422"/>
      <c r="R25" s="1181"/>
      <c r="S25" s="1181"/>
    </row>
    <row r="26" spans="1:19" ht="24.6" customHeight="1">
      <c r="A26" s="1420" t="s">
        <v>2166</v>
      </c>
      <c r="B26" s="1421"/>
      <c r="C26" s="1421"/>
      <c r="D26" s="1421"/>
      <c r="E26" s="1421"/>
      <c r="F26" s="1421"/>
      <c r="G26" s="1421"/>
      <c r="H26" s="1421"/>
      <c r="I26" s="1421"/>
      <c r="J26" s="1421"/>
      <c r="K26" s="1421"/>
      <c r="L26" s="1421"/>
      <c r="M26" s="1421"/>
      <c r="N26" s="1421"/>
      <c r="O26" s="1421"/>
      <c r="P26" s="1421"/>
      <c r="Q26" s="1422"/>
      <c r="R26" s="1130"/>
      <c r="S26" s="1130"/>
    </row>
    <row r="27" spans="1:19" ht="24.6" customHeight="1">
      <c r="A27" s="1456" t="s">
        <v>2167</v>
      </c>
      <c r="B27" s="1457"/>
      <c r="C27" s="1457"/>
      <c r="D27" s="1457"/>
      <c r="E27" s="1457"/>
      <c r="F27" s="1457"/>
      <c r="G27" s="1457"/>
      <c r="H27" s="1457"/>
      <c r="I27" s="1457"/>
      <c r="J27" s="1457"/>
      <c r="K27" s="1457"/>
      <c r="L27" s="1457"/>
      <c r="M27" s="1457"/>
      <c r="N27" s="1457"/>
      <c r="O27" s="1457"/>
      <c r="P27" s="1457"/>
      <c r="Q27" s="1458"/>
      <c r="R27" s="1130"/>
      <c r="S27" s="1130"/>
    </row>
    <row r="28" spans="1:19" ht="6" customHeight="1"/>
    <row r="29" spans="1:19" ht="13.9" customHeight="1">
      <c r="A29" s="154">
        <v>1</v>
      </c>
      <c r="B29" s="155" t="s">
        <v>2850</v>
      </c>
      <c r="C29" s="156"/>
      <c r="D29" s="101"/>
      <c r="E29" s="101"/>
      <c r="F29" s="101"/>
      <c r="G29" s="101"/>
      <c r="I29" s="1175"/>
      <c r="J29" s="1175"/>
      <c r="K29" s="1175"/>
      <c r="L29" s="1157"/>
      <c r="M29" s="1157"/>
      <c r="O29" s="157" t="s">
        <v>1998</v>
      </c>
      <c r="P29" s="1414"/>
      <c r="Q29" s="1415"/>
    </row>
    <row r="30" spans="1:19" ht="3" customHeight="1"/>
    <row r="31" spans="1:19" ht="12" customHeight="1">
      <c r="B31" s="168" t="s">
        <v>2119</v>
      </c>
      <c r="C31" s="62" t="s">
        <v>3520</v>
      </c>
      <c r="E31" s="38"/>
      <c r="F31" s="38"/>
      <c r="G31" s="38"/>
      <c r="H31" s="38"/>
      <c r="I31" s="50"/>
      <c r="J31" s="40"/>
      <c r="K31" s="50"/>
      <c r="L31" s="40"/>
      <c r="M31" s="40"/>
      <c r="O31" s="78" t="s">
        <v>635</v>
      </c>
      <c r="P31" s="2205" t="s">
        <v>3703</v>
      </c>
      <c r="Q31" s="792"/>
    </row>
    <row r="32" spans="1:19" ht="12" customHeight="1">
      <c r="B32" s="55" t="s">
        <v>2122</v>
      </c>
      <c r="C32" s="62" t="s">
        <v>766</v>
      </c>
      <c r="E32" s="38"/>
      <c r="F32" s="38"/>
      <c r="G32" s="38"/>
      <c r="H32" s="38"/>
      <c r="J32" s="2206" t="s">
        <v>2298</v>
      </c>
      <c r="K32" s="2207"/>
      <c r="L32" s="2207"/>
      <c r="M32" s="2207"/>
      <c r="N32" s="2208"/>
      <c r="O32" s="78"/>
      <c r="P32" s="78"/>
      <c r="Q32" s="78"/>
    </row>
    <row r="33" spans="1:31" ht="11.25" customHeight="1">
      <c r="B33" s="79" t="s">
        <v>1996</v>
      </c>
      <c r="C33" s="79"/>
      <c r="D33" s="79"/>
      <c r="E33" s="79"/>
      <c r="F33" s="79"/>
      <c r="G33" s="1175"/>
      <c r="H33" s="1175"/>
      <c r="I33" s="1175"/>
      <c r="J33" s="1175"/>
      <c r="K33" s="1157"/>
      <c r="L33" s="1157"/>
      <c r="M33" s="1157"/>
      <c r="N33" s="1157"/>
      <c r="O33" s="1157"/>
      <c r="P33" s="60"/>
      <c r="S33" s="188"/>
      <c r="T33" s="188"/>
    </row>
    <row r="34" spans="1:31" ht="12" customHeight="1">
      <c r="A34" s="2209"/>
      <c r="B34" s="2210"/>
      <c r="C34" s="2210"/>
      <c r="D34" s="2210"/>
      <c r="E34" s="2210"/>
      <c r="F34" s="2210"/>
      <c r="G34" s="2210"/>
      <c r="H34" s="2210"/>
      <c r="I34" s="2210"/>
      <c r="J34" s="2210"/>
      <c r="K34" s="2210"/>
      <c r="L34" s="2210"/>
      <c r="M34" s="2210"/>
      <c r="N34" s="2210"/>
      <c r="O34" s="2210"/>
      <c r="P34" s="2210"/>
      <c r="Q34" s="2211"/>
      <c r="R34" s="561" t="s">
        <v>1332</v>
      </c>
      <c r="S34" s="562"/>
      <c r="T34" s="188"/>
      <c r="U34" s="162"/>
      <c r="V34" s="162"/>
      <c r="W34" s="162"/>
      <c r="X34" s="162"/>
      <c r="Y34" s="162"/>
      <c r="Z34" s="162"/>
      <c r="AA34" s="162"/>
      <c r="AB34" s="162"/>
      <c r="AC34" s="162"/>
      <c r="AD34" s="162"/>
      <c r="AE34" s="594"/>
    </row>
    <row r="35" spans="1:31" ht="11.25" customHeight="1">
      <c r="B35" s="163" t="s">
        <v>1997</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1332</v>
      </c>
      <c r="S36" s="562"/>
    </row>
    <row r="37" spans="1:31" ht="12" customHeight="1">
      <c r="A37" s="1434"/>
      <c r="B37" s="1435"/>
      <c r="C37" s="1435"/>
      <c r="D37" s="1435"/>
      <c r="E37" s="1435"/>
      <c r="F37" s="1435"/>
      <c r="G37" s="1435"/>
      <c r="H37" s="1435"/>
      <c r="I37" s="1435"/>
      <c r="J37" s="1435"/>
      <c r="K37" s="1435"/>
      <c r="L37" s="1435"/>
      <c r="M37" s="1435"/>
      <c r="N37" s="1435"/>
      <c r="O37" s="1435"/>
      <c r="P37" s="1435"/>
      <c r="Q37" s="1436"/>
    </row>
    <row r="38" spans="1:31" ht="12" customHeight="1">
      <c r="A38" s="1434"/>
      <c r="B38" s="1435"/>
      <c r="C38" s="1435"/>
      <c r="D38" s="1435"/>
      <c r="E38" s="1435"/>
      <c r="F38" s="1435"/>
      <c r="G38" s="1435"/>
      <c r="H38" s="1435"/>
      <c r="I38" s="1435"/>
      <c r="J38" s="1435"/>
      <c r="K38" s="1435"/>
      <c r="L38" s="1435"/>
      <c r="M38" s="1435"/>
      <c r="N38" s="1435"/>
      <c r="O38" s="1435"/>
      <c r="P38" s="1435"/>
      <c r="Q38" s="1436"/>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5"/>
      <c r="C40" s="1162"/>
      <c r="D40" s="1162"/>
      <c r="E40" s="1162"/>
      <c r="F40" s="1162"/>
      <c r="G40" s="1162"/>
      <c r="H40" s="1162"/>
      <c r="I40" s="1162"/>
      <c r="J40" s="1162"/>
      <c r="K40" s="1162"/>
      <c r="L40" s="1162"/>
      <c r="M40" s="1162"/>
      <c r="N40" s="1162"/>
      <c r="O40" s="1162"/>
      <c r="P40" s="1162"/>
      <c r="Q40" s="1157"/>
    </row>
    <row r="41" spans="1:31" ht="13.9" customHeight="1">
      <c r="A41" s="1166">
        <v>2</v>
      </c>
      <c r="B41" s="5" t="s">
        <v>2955</v>
      </c>
      <c r="C41" s="5"/>
      <c r="D41" s="5"/>
      <c r="E41" s="1162"/>
      <c r="F41" s="1162"/>
      <c r="G41" s="1162"/>
      <c r="H41" s="1162"/>
      <c r="K41" s="1162"/>
      <c r="L41" s="1162"/>
      <c r="M41" s="1162"/>
      <c r="O41" s="157" t="s">
        <v>1998</v>
      </c>
      <c r="P41" s="1414"/>
      <c r="Q41" s="1415"/>
    </row>
    <row r="42" spans="1:31" ht="3" customHeight="1">
      <c r="K42" s="1162"/>
      <c r="L42" s="1162"/>
    </row>
    <row r="43" spans="1:31" ht="12.75" customHeight="1">
      <c r="A43" s="1473" t="s">
        <v>3130</v>
      </c>
      <c r="B43" s="1473"/>
      <c r="C43" s="1473"/>
      <c r="D43" s="1473"/>
      <c r="E43" s="1473"/>
      <c r="F43" s="2212" t="s">
        <v>2962</v>
      </c>
      <c r="G43" s="2213"/>
      <c r="H43" s="2213"/>
      <c r="I43" s="2214"/>
      <c r="K43" s="2212" t="s">
        <v>2964</v>
      </c>
      <c r="L43" s="2213"/>
      <c r="M43" s="2213"/>
      <c r="N43" s="2214"/>
      <c r="P43" s="719" t="s">
        <v>3007</v>
      </c>
      <c r="Q43" s="2205" t="s">
        <v>3702</v>
      </c>
    </row>
    <row r="44" spans="1:31" ht="12.75" customHeight="1">
      <c r="A44" s="1473"/>
      <c r="B44" s="1473"/>
      <c r="C44" s="1473"/>
      <c r="D44" s="1473"/>
      <c r="E44" s="1473"/>
      <c r="F44" s="2215" t="s">
        <v>2963</v>
      </c>
      <c r="G44" s="2216"/>
      <c r="H44" s="2216"/>
      <c r="I44" s="2217"/>
      <c r="K44" s="2215" t="s">
        <v>2965</v>
      </c>
      <c r="L44" s="2216"/>
      <c r="M44" s="2216"/>
      <c r="N44" s="2217"/>
    </row>
    <row r="45" spans="1:31" ht="10.5" customHeight="1">
      <c r="A45" s="1473"/>
      <c r="B45" s="1473"/>
      <c r="C45" s="1473"/>
      <c r="D45" s="1473"/>
      <c r="E45" s="1473"/>
      <c r="F45" s="1439" t="s">
        <v>2959</v>
      </c>
      <c r="G45" s="1440"/>
      <c r="H45" s="1440"/>
      <c r="I45" s="1441"/>
      <c r="K45" s="2218" t="s">
        <v>2961</v>
      </c>
      <c r="L45" s="2219"/>
      <c r="M45" s="2219"/>
      <c r="N45" s="2220"/>
      <c r="P45" s="1442" t="s">
        <v>3215</v>
      </c>
      <c r="Q45" s="1442"/>
    </row>
    <row r="46" spans="1:31" ht="22.5" customHeight="1">
      <c r="A46" s="1473"/>
      <c r="B46" s="1473"/>
      <c r="C46" s="1473"/>
      <c r="D46" s="1473"/>
      <c r="E46" s="1473"/>
      <c r="F46" s="2221" t="s">
        <v>2975</v>
      </c>
      <c r="G46" s="166"/>
      <c r="I46" s="1432" t="s">
        <v>2974</v>
      </c>
      <c r="K46" s="2221" t="s">
        <v>2975</v>
      </c>
      <c r="M46" s="1162"/>
      <c r="N46" s="1432" t="s">
        <v>2974</v>
      </c>
      <c r="O46" s="1162"/>
      <c r="P46" s="1442"/>
      <c r="Q46" s="1442"/>
    </row>
    <row r="47" spans="1:31" ht="12.75" customHeight="1">
      <c r="A47" s="165"/>
      <c r="D47" s="2222" t="s">
        <v>2958</v>
      </c>
      <c r="F47" s="2223"/>
      <c r="G47" s="2224" t="s">
        <v>2960</v>
      </c>
      <c r="I47" s="1433"/>
      <c r="K47" s="2223"/>
      <c r="L47" s="2224" t="s">
        <v>2960</v>
      </c>
      <c r="N47" s="1433"/>
      <c r="O47" s="1162"/>
      <c r="P47" s="1437">
        <f>IF(AND('Part I-Project Information'!I160="Yes",'Part I-Project Information'!O160&gt;1),'Part I-Project Information'!O160, IF(AND('Part IV-Uses of Funds'!$T$163="Yes",'Part IX A-Scoring Criteria'!$O$241&gt;0),I53+N53,I53))</f>
        <v>10648053</v>
      </c>
      <c r="Q47" s="1438"/>
    </row>
    <row r="48" spans="1:31" ht="11.45" customHeight="1">
      <c r="A48" s="165"/>
      <c r="D48" s="2225" t="s">
        <v>601</v>
      </c>
      <c r="F48" s="718">
        <f>'Part VI-Revenues &amp; Expenses'!H62-'Part VI-Revenues &amp; Expenses'!H82</f>
        <v>0</v>
      </c>
      <c r="G48" s="2226">
        <f>'DCA Underwriting Assumptions'!$J$12</f>
        <v>110481</v>
      </c>
      <c r="H48" s="532" t="str">
        <f>CONCATENATE("x ", F48," units = ")</f>
        <v xml:space="preserve">x 0 units = </v>
      </c>
      <c r="I48" s="612">
        <f>F48*G48</f>
        <v>0</v>
      </c>
      <c r="K48" s="718">
        <f>IF(AND('Part IV-Uses of Funds'!$T$163 = "Yes", 'Part IX A-Scoring Criteria'!$O$241 &gt; 0),'Part VI-Revenues &amp; Expenses'!H$82,0)</f>
        <v>0</v>
      </c>
      <c r="L48" s="2226">
        <f>'DCA Underwriting Assumptions'!$J$13</f>
        <v>121529</v>
      </c>
      <c r="M48" s="532" t="str">
        <f>CONCATENATE("x ", K48," units = ")</f>
        <v xml:space="preserve">x 0 units = </v>
      </c>
      <c r="N48" s="612">
        <f>K48*L48</f>
        <v>0</v>
      </c>
      <c r="O48" s="1162"/>
      <c r="P48" s="1476" t="s">
        <v>3001</v>
      </c>
      <c r="Q48" s="1476"/>
    </row>
    <row r="49" spans="1:31" ht="11.45" customHeight="1">
      <c r="A49" s="165"/>
      <c r="D49" s="2225" t="s">
        <v>2956</v>
      </c>
      <c r="F49" s="718">
        <f>'Part VI-Revenues &amp; Expenses'!I62-'Part VI-Revenues &amp; Expenses'!I82</f>
        <v>24</v>
      </c>
      <c r="G49" s="2226">
        <f>'DCA Underwriting Assumptions'!$K$12</f>
        <v>126647</v>
      </c>
      <c r="H49" s="532" t="str">
        <f>CONCATENATE("x ", F49," units = ")</f>
        <v xml:space="preserve">x 24 units = </v>
      </c>
      <c r="I49" s="612">
        <f>F49*G49</f>
        <v>3039528</v>
      </c>
      <c r="K49" s="718">
        <f>IF(AND('Part IV-Uses of Funds'!$T$163 = "Yes", 'Part IX A-Scoring Criteria'!$O$241 &gt; 0),'Part VI-Revenues &amp; Expenses'!I$82,0)</f>
        <v>0</v>
      </c>
      <c r="L49" s="2226">
        <f>'DCA Underwriting Assumptions'!$K$13</f>
        <v>139312</v>
      </c>
      <c r="M49" s="532" t="str">
        <f>CONCATENATE("x ", K49," units = ")</f>
        <v xml:space="preserve">x 0 units = </v>
      </c>
      <c r="N49" s="612">
        <f>K49*L49</f>
        <v>0</v>
      </c>
      <c r="O49" s="1162"/>
      <c r="P49" s="1477"/>
      <c r="Q49" s="1477"/>
    </row>
    <row r="50" spans="1:31" ht="11.45" customHeight="1">
      <c r="A50" s="165"/>
      <c r="D50" s="2225" t="s">
        <v>2957</v>
      </c>
      <c r="F50" s="718">
        <f>'Part VI-Revenues &amp; Expenses'!J62-'Part VI-Revenues &amp; Expenses'!J82</f>
        <v>30</v>
      </c>
      <c r="G50" s="2226">
        <f>'DCA Underwriting Assumptions'!$L$12</f>
        <v>154003</v>
      </c>
      <c r="H50" s="532" t="str">
        <f>CONCATENATE("x ", F50," units = ")</f>
        <v xml:space="preserve">x 30 units = </v>
      </c>
      <c r="I50" s="612">
        <f>F50*G50</f>
        <v>4620090</v>
      </c>
      <c r="K50" s="718">
        <f>IF(AND('Part IV-Uses of Funds'!$T$163 = "Yes", 'Part IX A-Scoring Criteria'!$O$241 &gt; 0),'Part VI-Revenues &amp; Expenses'!J$82,0)</f>
        <v>0</v>
      </c>
      <c r="L50" s="2226">
        <f>'DCA Underwriting Assumptions'!$L$13</f>
        <v>169403</v>
      </c>
      <c r="M50" s="532" t="str">
        <f>CONCATENATE("x ", K50," units = ")</f>
        <v xml:space="preserve">x 0 units = </v>
      </c>
      <c r="N50" s="612">
        <f>K50*L50</f>
        <v>0</v>
      </c>
      <c r="O50" s="1162"/>
      <c r="P50" s="1477"/>
      <c r="Q50" s="1477"/>
    </row>
    <row r="51" spans="1:31" ht="11.45" customHeight="1">
      <c r="A51" s="165"/>
      <c r="D51" s="2225" t="s">
        <v>2966</v>
      </c>
      <c r="F51" s="718">
        <f>'Part VI-Revenues &amp; Expenses'!K62-'Part VI-Revenues &amp; Expenses'!K82</f>
        <v>15</v>
      </c>
      <c r="G51" s="2226">
        <f>'DCA Underwriting Assumptions'!$M$12</f>
        <v>199229</v>
      </c>
      <c r="H51" s="532" t="str">
        <f>CONCATENATE("x ", F51," units = ")</f>
        <v xml:space="preserve">x 15 units = </v>
      </c>
      <c r="I51" s="612">
        <f>F51*G51</f>
        <v>2988435</v>
      </c>
      <c r="K51" s="718">
        <f>IF(AND('Part IV-Uses of Funds'!$T$163 = "Yes", 'Part IX A-Scoring Criteria'!$O$241 &gt; 0),'Part VI-Revenues &amp; Expenses'!K$82,0)</f>
        <v>0</v>
      </c>
      <c r="L51" s="2226">
        <f>'DCA Underwriting Assumptions'!$M$13</f>
        <v>219152</v>
      </c>
      <c r="M51" s="532" t="str">
        <f>CONCATENATE("x ", K51," units = ")</f>
        <v xml:space="preserve">x 0 units = </v>
      </c>
      <c r="N51" s="612">
        <f>K51*L51</f>
        <v>0</v>
      </c>
      <c r="O51" s="1162"/>
      <c r="P51" s="1477"/>
      <c r="Q51" s="1477"/>
    </row>
    <row r="52" spans="1:31" ht="11.45" customHeight="1">
      <c r="A52" s="165"/>
      <c r="D52" s="2227" t="s">
        <v>2967</v>
      </c>
      <c r="F52" s="718">
        <f>'Part VI-Revenues &amp; Expenses'!L62-'Part VI-Revenues &amp; Expenses'!L82</f>
        <v>0</v>
      </c>
      <c r="G52" s="2226">
        <f>'DCA Underwriting Assumptions'!$N$12</f>
        <v>199229</v>
      </c>
      <c r="H52" s="532" t="str">
        <f>CONCATENATE("x ", F52," units = ")</f>
        <v xml:space="preserve">x 0 units = </v>
      </c>
      <c r="I52" s="612">
        <f>F52*G52</f>
        <v>0</v>
      </c>
      <c r="K52" s="718">
        <f>IF(AND('Part IV-Uses of Funds'!$T$163 = "Yes", 'Part IX A-Scoring Criteria'!$O$241 &gt; 0),'Part VI-Revenues &amp; Expenses'!L$82,0)</f>
        <v>0</v>
      </c>
      <c r="L52" s="2226">
        <f>'DCA Underwriting Assumptions'!$N$13</f>
        <v>219152</v>
      </c>
      <c r="M52" s="532" t="str">
        <f>CONCATENATE("x ", K52," units = ")</f>
        <v xml:space="preserve">x 0 units = </v>
      </c>
      <c r="N52" s="612">
        <f>K52*L52</f>
        <v>0</v>
      </c>
      <c r="O52" s="1162"/>
      <c r="P52" s="1477"/>
      <c r="Q52" s="1477"/>
    </row>
    <row r="53" spans="1:31" ht="11.45" customHeight="1">
      <c r="A53" s="165"/>
      <c r="C53" s="166"/>
      <c r="D53" s="610" t="s">
        <v>2968</v>
      </c>
      <c r="F53" s="609">
        <f>SUM(F48:F52)</f>
        <v>69</v>
      </c>
      <c r="G53" s="2228"/>
      <c r="H53" s="718"/>
      <c r="I53" s="611">
        <f>SUM(I48:I52)</f>
        <v>10648053</v>
      </c>
      <c r="K53" s="609">
        <f>SUM(K48:K52)</f>
        <v>0</v>
      </c>
      <c r="M53" s="718"/>
      <c r="N53" s="611">
        <f>SUM(N48:N52)</f>
        <v>0</v>
      </c>
      <c r="O53" s="1162"/>
      <c r="P53" s="1443" t="str">
        <f>IF('Part IV-Uses of Funds'!$G$130&gt;P47,"CHECK TDC !!!","")</f>
        <v/>
      </c>
      <c r="Q53" s="1443"/>
    </row>
    <row r="54" spans="1:31" ht="3.75" customHeight="1">
      <c r="A54" s="165"/>
      <c r="C54" s="166"/>
      <c r="E54" s="65"/>
      <c r="F54" s="2228"/>
      <c r="G54" s="65"/>
      <c r="I54" s="65"/>
      <c r="J54" s="65"/>
      <c r="K54" s="1162"/>
      <c r="L54" s="2229"/>
      <c r="M54" s="1162"/>
      <c r="N54" s="1162"/>
      <c r="O54" s="1162"/>
      <c r="P54" s="1162"/>
      <c r="Q54" s="1162"/>
    </row>
    <row r="55" spans="1:31" ht="11.25" customHeight="1">
      <c r="B55" s="112" t="s">
        <v>1996</v>
      </c>
      <c r="D55" s="112"/>
      <c r="E55" s="112"/>
      <c r="F55" s="112"/>
      <c r="G55" s="112"/>
      <c r="H55" s="48"/>
      <c r="I55" s="1175"/>
      <c r="J55" s="1175"/>
      <c r="K55" s="163" t="s">
        <v>1997</v>
      </c>
      <c r="L55" s="1157"/>
      <c r="M55" s="1157"/>
      <c r="N55" s="1157"/>
      <c r="O55" s="1157"/>
      <c r="P55" s="1157"/>
      <c r="Q55" s="60"/>
    </row>
    <row r="56" spans="1:31" ht="11.45" customHeight="1">
      <c r="A56" s="2209"/>
      <c r="B56" s="2210"/>
      <c r="C56" s="2210"/>
      <c r="D56" s="2210"/>
      <c r="E56" s="2210"/>
      <c r="F56" s="2210"/>
      <c r="G56" s="2210"/>
      <c r="H56" s="2210"/>
      <c r="I56" s="2210"/>
      <c r="J56" s="2211"/>
      <c r="K56" s="1416"/>
      <c r="L56" s="1417"/>
      <c r="M56" s="1417"/>
      <c r="N56" s="1417"/>
      <c r="O56" s="1417"/>
      <c r="P56" s="1417"/>
      <c r="Q56" s="1418"/>
      <c r="U56" s="162"/>
      <c r="V56" s="162"/>
      <c r="W56" s="162"/>
      <c r="X56" s="162"/>
      <c r="Y56" s="162"/>
      <c r="Z56" s="162"/>
      <c r="AA56" s="162"/>
      <c r="AB56" s="162"/>
      <c r="AC56" s="162"/>
      <c r="AD56" s="162"/>
      <c r="AE56" s="594"/>
    </row>
    <row r="57" spans="1:31" ht="3" customHeight="1">
      <c r="B57" s="1175"/>
      <c r="C57" s="1162"/>
      <c r="D57" s="1162"/>
      <c r="E57" s="1162"/>
      <c r="F57" s="1162"/>
      <c r="G57" s="1162"/>
      <c r="H57" s="1162"/>
      <c r="I57" s="1162"/>
      <c r="J57" s="1162"/>
      <c r="K57" s="1162"/>
      <c r="L57" s="1162"/>
      <c r="M57" s="1162"/>
      <c r="N57" s="1162"/>
      <c r="O57" s="1162"/>
      <c r="P57" s="1162"/>
      <c r="Q57" s="1157"/>
    </row>
    <row r="58" spans="1:31" ht="13.9" customHeight="1">
      <c r="A58" s="1166">
        <v>3</v>
      </c>
      <c r="B58" s="5" t="s">
        <v>1262</v>
      </c>
      <c r="C58" s="5"/>
      <c r="D58" s="5"/>
      <c r="E58" s="1162"/>
      <c r="F58" s="1162"/>
      <c r="G58" s="1162"/>
      <c r="H58" s="1162"/>
      <c r="M58" s="1162"/>
      <c r="O58" s="157" t="s">
        <v>1998</v>
      </c>
      <c r="P58" s="1414"/>
      <c r="Q58" s="1415"/>
    </row>
    <row r="59" spans="1:31" ht="3" customHeight="1"/>
    <row r="60" spans="1:31" ht="11.45" customHeight="1">
      <c r="A60" s="165"/>
      <c r="C60" s="166" t="s">
        <v>102</v>
      </c>
      <c r="D60" s="166"/>
      <c r="E60" s="166"/>
      <c r="F60" s="166"/>
      <c r="G60" s="166"/>
      <c r="H60" s="166"/>
      <c r="K60" s="2230" t="str">
        <f>'Part I-Project Information'!$H$66</f>
        <v>Family</v>
      </c>
      <c r="L60" s="2231"/>
      <c r="M60" s="2232"/>
      <c r="N60" s="1162"/>
    </row>
    <row r="61" spans="1:31" ht="11.25" customHeight="1">
      <c r="B61" s="112" t="s">
        <v>1996</v>
      </c>
      <c r="D61" s="112"/>
      <c r="E61" s="112"/>
      <c r="F61" s="112"/>
      <c r="G61" s="112"/>
      <c r="H61" s="48"/>
      <c r="I61" s="1175"/>
      <c r="J61" s="1175"/>
      <c r="K61" s="163" t="s">
        <v>1997</v>
      </c>
      <c r="L61" s="1157"/>
      <c r="M61" s="1157"/>
      <c r="N61" s="1157"/>
      <c r="O61" s="1157"/>
      <c r="P61" s="1157"/>
      <c r="Q61" s="60"/>
    </row>
    <row r="62" spans="1:31" ht="38.25" customHeight="1">
      <c r="A62" s="2209" t="s">
        <v>3846</v>
      </c>
      <c r="B62" s="2210"/>
      <c r="C62" s="2210"/>
      <c r="D62" s="2210"/>
      <c r="E62" s="2210"/>
      <c r="F62" s="2210"/>
      <c r="G62" s="2210"/>
      <c r="H62" s="2210"/>
      <c r="I62" s="2210"/>
      <c r="J62" s="2211"/>
      <c r="K62" s="1416"/>
      <c r="L62" s="1417"/>
      <c r="M62" s="1417"/>
      <c r="N62" s="1417"/>
      <c r="O62" s="1417"/>
      <c r="P62" s="1417"/>
      <c r="Q62" s="1418"/>
      <c r="U62" s="162"/>
      <c r="V62" s="162"/>
      <c r="W62" s="162"/>
      <c r="X62" s="162"/>
      <c r="Y62" s="162"/>
      <c r="Z62" s="162"/>
      <c r="AA62" s="162"/>
      <c r="AB62" s="162"/>
      <c r="AC62" s="162"/>
      <c r="AD62" s="162"/>
      <c r="AE62" s="594"/>
    </row>
    <row r="63" spans="1:31" ht="3" customHeight="1">
      <c r="A63" s="1157"/>
      <c r="B63" s="1175"/>
      <c r="C63" s="1162"/>
      <c r="D63" s="1162"/>
      <c r="E63" s="1162"/>
      <c r="F63" s="1162"/>
      <c r="G63" s="1162"/>
      <c r="H63" s="1162"/>
      <c r="I63" s="1162"/>
      <c r="J63" s="1162"/>
      <c r="K63" s="1162"/>
      <c r="L63" s="1162"/>
      <c r="M63" s="1162"/>
      <c r="N63" s="1162"/>
      <c r="O63" s="1162"/>
      <c r="P63" s="1162"/>
      <c r="Q63" s="1157"/>
    </row>
    <row r="64" spans="1:31" ht="13.9" customHeight="1">
      <c r="A64" s="1166">
        <v>4</v>
      </c>
      <c r="B64" s="1166" t="s">
        <v>2851</v>
      </c>
      <c r="C64" s="132"/>
      <c r="D64" s="1162"/>
      <c r="E64" s="1162"/>
      <c r="F64" s="1162"/>
      <c r="G64" s="1162"/>
      <c r="H64" s="1162"/>
      <c r="I64" s="1162"/>
      <c r="J64" s="1162"/>
      <c r="K64" s="1162"/>
      <c r="L64" s="1162"/>
      <c r="M64" s="1162"/>
      <c r="O64" s="157" t="s">
        <v>1998</v>
      </c>
      <c r="P64" s="1414"/>
      <c r="Q64" s="1415"/>
    </row>
    <row r="65" spans="1:31" ht="3" customHeight="1"/>
    <row r="66" spans="1:31" ht="12.6" customHeight="1">
      <c r="B66" s="168" t="s">
        <v>2119</v>
      </c>
      <c r="C66" s="1459" t="s">
        <v>322</v>
      </c>
      <c r="D66" s="1460"/>
      <c r="E66" s="1460"/>
      <c r="F66" s="1460"/>
      <c r="G66" s="1460"/>
      <c r="H66" s="1460"/>
      <c r="I66" s="1460"/>
      <c r="J66" s="1460"/>
      <c r="K66" s="1460"/>
      <c r="L66" s="1460"/>
      <c r="M66" s="1460"/>
      <c r="O66" s="169"/>
      <c r="P66" s="2205" t="s">
        <v>3758</v>
      </c>
    </row>
    <row r="67" spans="1:31" ht="12" customHeight="1">
      <c r="B67" s="55" t="s">
        <v>2122</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56"/>
      <c r="F68" s="1156"/>
      <c r="G68" s="1156"/>
      <c r="H68" s="40"/>
      <c r="I68" s="50"/>
      <c r="J68" s="44" t="s">
        <v>2946</v>
      </c>
      <c r="K68" s="2233" t="s">
        <v>3757</v>
      </c>
      <c r="L68" s="2234"/>
      <c r="M68" s="2234"/>
      <c r="N68" s="2234"/>
      <c r="O68" s="2234"/>
      <c r="P68" s="2234"/>
      <c r="Q68" s="2235"/>
    </row>
    <row r="69" spans="1:31" ht="10.9" customHeight="1">
      <c r="A69" s="170"/>
      <c r="B69" s="50"/>
      <c r="C69" s="78" t="s">
        <v>1860</v>
      </c>
      <c r="D69" s="38" t="s">
        <v>1935</v>
      </c>
      <c r="E69" s="1156"/>
      <c r="F69" s="1156"/>
      <c r="G69" s="1156"/>
      <c r="H69" s="40"/>
      <c r="I69" s="50"/>
      <c r="J69" s="44" t="s">
        <v>2946</v>
      </c>
      <c r="K69" s="2236" t="s">
        <v>3756</v>
      </c>
      <c r="L69" s="2237"/>
      <c r="M69" s="2237"/>
      <c r="N69" s="2237"/>
      <c r="O69" s="2237"/>
      <c r="P69" s="2237"/>
      <c r="Q69" s="2238"/>
    </row>
    <row r="70" spans="1:31" ht="10.9" customHeight="1">
      <c r="A70" s="170"/>
      <c r="B70" s="50"/>
      <c r="C70" s="78" t="s">
        <v>1861</v>
      </c>
      <c r="D70" s="38" t="s">
        <v>323</v>
      </c>
      <c r="E70" s="1156"/>
      <c r="J70" s="44" t="s">
        <v>2946</v>
      </c>
      <c r="K70" s="2239"/>
      <c r="L70" s="2240"/>
      <c r="M70" s="2240"/>
      <c r="N70" s="2240"/>
      <c r="O70" s="2240"/>
      <c r="P70" s="2240"/>
      <c r="Q70" s="2241"/>
    </row>
    <row r="71" spans="1:31" ht="11.25" customHeight="1">
      <c r="B71" s="112" t="s">
        <v>1996</v>
      </c>
      <c r="D71" s="112"/>
      <c r="E71" s="112"/>
      <c r="F71" s="112"/>
      <c r="G71" s="112"/>
      <c r="H71" s="48"/>
      <c r="I71" s="1175"/>
      <c r="J71" s="1175"/>
      <c r="K71" s="1175"/>
      <c r="L71" s="1157"/>
      <c r="M71" s="1157"/>
      <c r="N71" s="1157"/>
      <c r="O71" s="1157"/>
      <c r="P71" s="1157"/>
      <c r="Q71" s="60"/>
    </row>
    <row r="72" spans="1:31" ht="28.5" customHeight="1">
      <c r="A72" s="2209" t="s">
        <v>3755</v>
      </c>
      <c r="B72" s="2210"/>
      <c r="C72" s="2210"/>
      <c r="D72" s="2210"/>
      <c r="E72" s="2210"/>
      <c r="F72" s="2210"/>
      <c r="G72" s="2210"/>
      <c r="H72" s="2210"/>
      <c r="I72" s="2210"/>
      <c r="J72" s="2210"/>
      <c r="K72" s="2210"/>
      <c r="L72" s="2210"/>
      <c r="M72" s="2210"/>
      <c r="N72" s="2210"/>
      <c r="O72" s="2210"/>
      <c r="P72" s="2210"/>
      <c r="Q72" s="2211"/>
      <c r="U72" s="162"/>
      <c r="V72" s="162"/>
      <c r="W72" s="162"/>
      <c r="X72" s="162"/>
      <c r="Y72" s="162"/>
      <c r="Z72" s="162"/>
      <c r="AA72" s="162"/>
      <c r="AB72" s="162"/>
      <c r="AC72" s="162"/>
      <c r="AD72" s="162"/>
      <c r="AE72" s="594"/>
    </row>
    <row r="73" spans="1:31" ht="11.25" customHeight="1">
      <c r="B73" s="163" t="s">
        <v>1997</v>
      </c>
      <c r="C73" s="164"/>
      <c r="D73" s="1162"/>
      <c r="E73" s="1162"/>
      <c r="F73" s="1162"/>
      <c r="G73" s="1162"/>
      <c r="H73" s="1162"/>
      <c r="I73" s="1162"/>
      <c r="J73" s="1162"/>
      <c r="K73" s="1162"/>
      <c r="L73" s="1162"/>
      <c r="M73" s="1162"/>
      <c r="N73" s="1162"/>
      <c r="O73" s="1162"/>
      <c r="P73" s="1162"/>
      <c r="Q73" s="1162"/>
    </row>
    <row r="74" spans="1:31" ht="12" customHeight="1">
      <c r="A74" s="1416"/>
      <c r="B74" s="1417"/>
      <c r="C74" s="1417"/>
      <c r="D74" s="1417"/>
      <c r="E74" s="1417"/>
      <c r="F74" s="1417"/>
      <c r="G74" s="1417"/>
      <c r="H74" s="1417"/>
      <c r="I74" s="1417"/>
      <c r="J74" s="1417"/>
      <c r="K74" s="1417"/>
      <c r="L74" s="1417"/>
      <c r="M74" s="1417"/>
      <c r="N74" s="1417"/>
      <c r="O74" s="1417"/>
      <c r="P74" s="1417"/>
      <c r="Q74" s="1418"/>
    </row>
    <row r="75" spans="1:31" ht="4.9000000000000004" customHeight="1">
      <c r="A75" s="1157"/>
      <c r="B75" s="1175"/>
      <c r="C75" s="1162"/>
      <c r="D75" s="1162"/>
      <c r="E75" s="1162"/>
      <c r="F75" s="1162"/>
      <c r="G75" s="1162"/>
      <c r="H75" s="1162"/>
      <c r="I75" s="1162"/>
      <c r="J75" s="1162"/>
      <c r="K75" s="1162"/>
      <c r="L75" s="1162"/>
      <c r="M75" s="1162"/>
      <c r="N75" s="1162"/>
      <c r="O75" s="1162"/>
      <c r="P75" s="1162"/>
      <c r="Q75" s="1157"/>
    </row>
    <row r="76" spans="1:31" ht="13.9" customHeight="1">
      <c r="A76" s="1166">
        <v>5</v>
      </c>
      <c r="B76" s="1166" t="s">
        <v>2852</v>
      </c>
      <c r="C76" s="1166"/>
      <c r="D76" s="1162"/>
      <c r="E76" s="1162"/>
      <c r="F76" s="1162"/>
      <c r="G76" s="1162"/>
      <c r="H76" s="1162"/>
      <c r="I76" s="1162"/>
      <c r="J76" s="1162"/>
      <c r="K76" s="1162"/>
      <c r="O76" s="157" t="s">
        <v>1998</v>
      </c>
      <c r="P76" s="1414"/>
      <c r="Q76" s="1415"/>
    </row>
    <row r="77" spans="1:31" ht="3" customHeight="1"/>
    <row r="78" spans="1:31" ht="12" customHeight="1">
      <c r="B78" s="55" t="s">
        <v>2119</v>
      </c>
      <c r="C78" s="171" t="s">
        <v>2628</v>
      </c>
      <c r="D78" s="159"/>
      <c r="E78" s="159"/>
      <c r="F78" s="159"/>
      <c r="G78" s="159"/>
      <c r="H78" s="159"/>
      <c r="I78" s="50"/>
      <c r="J78" s="50"/>
      <c r="K78" s="50"/>
      <c r="L78" s="592" t="s">
        <v>2119</v>
      </c>
      <c r="M78" s="2233" t="s">
        <v>3759</v>
      </c>
      <c r="N78" s="2234"/>
      <c r="O78" s="2234"/>
      <c r="P78" s="2242"/>
      <c r="Q78" s="792"/>
    </row>
    <row r="79" spans="1:31" ht="12" customHeight="1">
      <c r="B79" s="55" t="s">
        <v>2122</v>
      </c>
      <c r="C79" s="62" t="s">
        <v>2174</v>
      </c>
      <c r="D79" s="159"/>
      <c r="E79" s="159"/>
      <c r="F79" s="159"/>
      <c r="L79" s="592" t="s">
        <v>2122</v>
      </c>
      <c r="M79" s="2236" t="s">
        <v>3809</v>
      </c>
      <c r="N79" s="2237"/>
      <c r="O79" s="2237"/>
      <c r="P79" s="2243"/>
      <c r="Q79" s="792"/>
    </row>
    <row r="80" spans="1:31" ht="12" customHeight="1">
      <c r="B80" s="55" t="s">
        <v>799</v>
      </c>
      <c r="C80" s="62" t="s">
        <v>3521</v>
      </c>
      <c r="D80" s="159"/>
      <c r="E80" s="159"/>
      <c r="F80" s="159"/>
      <c r="L80" s="592" t="s">
        <v>799</v>
      </c>
      <c r="M80" s="2244">
        <v>0.96099999999999997</v>
      </c>
      <c r="N80" s="2245"/>
      <c r="O80" s="2245"/>
      <c r="P80" s="2246"/>
      <c r="Q80" s="811"/>
    </row>
    <row r="81" spans="1:31" ht="12" customHeight="1">
      <c r="B81" s="55" t="s">
        <v>2254</v>
      </c>
      <c r="C81" s="62" t="s">
        <v>2629</v>
      </c>
      <c r="D81" s="159"/>
      <c r="E81" s="159"/>
      <c r="F81" s="159"/>
      <c r="L81" s="592" t="s">
        <v>2254</v>
      </c>
      <c r="M81" s="2247" t="s">
        <v>3810</v>
      </c>
      <c r="N81" s="2248"/>
      <c r="O81" s="2248"/>
      <c r="P81" s="2249"/>
      <c r="Q81" s="792"/>
    </row>
    <row r="82" spans="1:31" ht="12" customHeight="1">
      <c r="B82" s="168" t="s">
        <v>1857</v>
      </c>
      <c r="C82" s="1412" t="s">
        <v>3522</v>
      </c>
      <c r="D82" s="1412"/>
      <c r="E82" s="1412"/>
      <c r="F82" s="1412"/>
      <c r="G82" s="1412"/>
      <c r="H82" s="1412"/>
      <c r="I82" s="1412"/>
      <c r="J82" s="1412"/>
      <c r="K82" s="1412"/>
      <c r="L82" s="1412"/>
      <c r="M82" s="1412"/>
      <c r="N82" s="1412"/>
      <c r="O82" s="1412"/>
      <c r="P82" s="1412"/>
      <c r="Q82" s="1412"/>
    </row>
    <row r="83" spans="1:31" ht="12" customHeight="1">
      <c r="B83" s="55"/>
      <c r="C83" s="62"/>
      <c r="D83" s="1167" t="s">
        <v>2536</v>
      </c>
      <c r="E83" s="38" t="s">
        <v>658</v>
      </c>
      <c r="F83" s="38"/>
      <c r="H83" s="62"/>
      <c r="I83" s="1167" t="s">
        <v>2536</v>
      </c>
      <c r="J83" s="38" t="s">
        <v>658</v>
      </c>
      <c r="K83" s="38"/>
      <c r="M83" s="62"/>
      <c r="N83" s="1167" t="s">
        <v>2536</v>
      </c>
      <c r="O83" s="38" t="s">
        <v>658</v>
      </c>
      <c r="P83" s="38"/>
      <c r="Q83" s="592"/>
    </row>
    <row r="84" spans="1:31" ht="12" customHeight="1">
      <c r="B84" s="55"/>
      <c r="C84" s="62">
        <v>1</v>
      </c>
      <c r="D84" s="2250" t="s">
        <v>3823</v>
      </c>
      <c r="E84" s="2251" t="s">
        <v>3824</v>
      </c>
      <c r="F84" s="2251"/>
      <c r="G84" s="2251"/>
      <c r="H84" s="62">
        <v>3</v>
      </c>
      <c r="I84" s="2250"/>
      <c r="J84" s="2251"/>
      <c r="K84" s="2251"/>
      <c r="L84" s="2251"/>
      <c r="M84" s="62">
        <v>5</v>
      </c>
      <c r="N84" s="2250"/>
      <c r="O84" s="2251"/>
      <c r="P84" s="2251"/>
      <c r="Q84" s="2251"/>
    </row>
    <row r="85" spans="1:31" ht="12" customHeight="1">
      <c r="B85" s="55"/>
      <c r="C85" s="62">
        <v>2</v>
      </c>
      <c r="D85" s="2252" t="s">
        <v>3825</v>
      </c>
      <c r="E85" s="2253" t="s">
        <v>3826</v>
      </c>
      <c r="F85" s="2253"/>
      <c r="G85" s="2253"/>
      <c r="H85" s="62">
        <v>4</v>
      </c>
      <c r="I85" s="2252"/>
      <c r="J85" s="2253"/>
      <c r="K85" s="2253"/>
      <c r="L85" s="2253"/>
      <c r="M85" s="62">
        <v>6</v>
      </c>
      <c r="N85" s="2252"/>
      <c r="O85" s="2253"/>
      <c r="P85" s="2253"/>
      <c r="Q85" s="2253"/>
    </row>
    <row r="86" spans="1:31" ht="12" customHeight="1">
      <c r="B86" s="55" t="s">
        <v>1858</v>
      </c>
      <c r="C86" s="62" t="s">
        <v>0</v>
      </c>
      <c r="D86" s="159"/>
      <c r="E86" s="159"/>
      <c r="F86" s="159"/>
      <c r="G86" s="159"/>
      <c r="H86" s="159"/>
      <c r="I86" s="50"/>
      <c r="J86" s="50"/>
      <c r="K86" s="159"/>
      <c r="L86" s="1156"/>
      <c r="M86" s="1156"/>
      <c r="O86" s="592" t="s">
        <v>1858</v>
      </c>
      <c r="P86" s="2254"/>
      <c r="Q86" s="811"/>
    </row>
    <row r="87" spans="1:31" ht="11.25" customHeight="1">
      <c r="B87" s="167" t="s">
        <v>1996</v>
      </c>
      <c r="D87" s="167"/>
      <c r="E87" s="167"/>
      <c r="F87" s="167"/>
      <c r="G87" s="167"/>
      <c r="H87" s="48"/>
      <c r="I87" s="1175"/>
      <c r="J87" s="1175"/>
      <c r="K87" s="1175"/>
      <c r="L87" s="1157"/>
      <c r="M87" s="1157"/>
      <c r="N87" s="1157"/>
      <c r="O87" s="1157"/>
      <c r="P87" s="1157"/>
      <c r="Q87" s="60"/>
    </row>
    <row r="88" spans="1:31" ht="33.75" customHeight="1">
      <c r="A88" s="2209" t="s">
        <v>3827</v>
      </c>
      <c r="B88" s="2210"/>
      <c r="C88" s="2210"/>
      <c r="D88" s="2210"/>
      <c r="E88" s="2210"/>
      <c r="F88" s="2210"/>
      <c r="G88" s="2210"/>
      <c r="H88" s="2210"/>
      <c r="I88" s="2210"/>
      <c r="J88" s="2210"/>
      <c r="K88" s="2210"/>
      <c r="L88" s="2210"/>
      <c r="M88" s="2210"/>
      <c r="N88" s="2210"/>
      <c r="O88" s="2210"/>
      <c r="P88" s="2210"/>
      <c r="Q88" s="2211"/>
      <c r="U88" s="162"/>
      <c r="V88" s="162"/>
      <c r="W88" s="162"/>
      <c r="X88" s="162"/>
      <c r="Y88" s="162"/>
      <c r="Z88" s="162"/>
      <c r="AA88" s="162"/>
      <c r="AB88" s="162"/>
      <c r="AC88" s="162"/>
      <c r="AD88" s="162"/>
      <c r="AE88" s="594"/>
    </row>
    <row r="89" spans="1:31" ht="11.25" customHeight="1">
      <c r="B89" s="163" t="s">
        <v>1997</v>
      </c>
      <c r="C89" s="164"/>
      <c r="D89" s="1162"/>
      <c r="E89" s="1162"/>
      <c r="F89" s="1162"/>
      <c r="G89" s="1162"/>
      <c r="H89" s="1162"/>
      <c r="I89" s="1162"/>
      <c r="J89" s="1162"/>
      <c r="K89" s="1162"/>
      <c r="L89" s="1162"/>
      <c r="M89" s="1162"/>
      <c r="N89" s="1162"/>
      <c r="O89" s="1162"/>
      <c r="P89" s="1162"/>
      <c r="Q89" s="1162"/>
    </row>
    <row r="90" spans="1:31" ht="22.9" customHeight="1">
      <c r="A90" s="1416"/>
      <c r="B90" s="1417"/>
      <c r="C90" s="1417"/>
      <c r="D90" s="1417"/>
      <c r="E90" s="1417"/>
      <c r="F90" s="1417"/>
      <c r="G90" s="1417"/>
      <c r="H90" s="1417"/>
      <c r="I90" s="1417"/>
      <c r="J90" s="1417"/>
      <c r="K90" s="1417"/>
      <c r="L90" s="1417"/>
      <c r="M90" s="1417"/>
      <c r="N90" s="1417"/>
      <c r="O90" s="1417"/>
      <c r="P90" s="1417"/>
      <c r="Q90" s="1418"/>
    </row>
    <row r="91" spans="1:31" ht="13.9" customHeight="1">
      <c r="A91" s="1166">
        <v>6</v>
      </c>
      <c r="B91" s="1166" t="s">
        <v>2853</v>
      </c>
      <c r="C91" s="1166"/>
      <c r="D91" s="1162"/>
      <c r="E91" s="1162"/>
      <c r="F91" s="1162"/>
      <c r="G91" s="1162"/>
      <c r="H91" s="1162"/>
      <c r="I91" s="1162"/>
      <c r="J91" s="1162"/>
      <c r="K91" s="1162"/>
      <c r="L91" s="1162"/>
      <c r="M91" s="1162"/>
      <c r="O91" s="157" t="s">
        <v>1998</v>
      </c>
      <c r="P91" s="1414"/>
      <c r="Q91" s="1415"/>
    </row>
    <row r="92" spans="1:31" ht="3" customHeight="1"/>
    <row r="93" spans="1:31" ht="12" customHeight="1">
      <c r="B93" s="55" t="s">
        <v>2119</v>
      </c>
      <c r="C93" s="62" t="s">
        <v>525</v>
      </c>
      <c r="D93" s="62"/>
      <c r="E93" s="62"/>
      <c r="F93" s="62"/>
      <c r="G93" s="62"/>
      <c r="H93" s="62"/>
      <c r="I93" s="62"/>
      <c r="J93" s="62"/>
      <c r="K93" s="62"/>
      <c r="L93" s="62"/>
      <c r="M93" s="62"/>
      <c r="O93" s="592" t="s">
        <v>2119</v>
      </c>
      <c r="P93" s="2205" t="s">
        <v>3703</v>
      </c>
      <c r="Q93" s="792"/>
    </row>
    <row r="94" spans="1:31" ht="12" customHeight="1">
      <c r="B94" s="55" t="s">
        <v>2122</v>
      </c>
      <c r="C94" s="62" t="s">
        <v>1390</v>
      </c>
      <c r="D94" s="62"/>
      <c r="E94" s="62"/>
      <c r="F94" s="62"/>
      <c r="G94" s="62"/>
      <c r="H94" s="62"/>
      <c r="I94" s="62"/>
      <c r="J94" s="62"/>
      <c r="K94" s="62"/>
      <c r="L94" s="38"/>
      <c r="M94" s="38"/>
      <c r="O94" s="592" t="s">
        <v>2122</v>
      </c>
      <c r="P94" s="2205" t="s">
        <v>3703</v>
      </c>
      <c r="Q94" s="792"/>
    </row>
    <row r="95" spans="1:31" ht="12" customHeight="1">
      <c r="A95" s="158"/>
      <c r="B95" s="44"/>
      <c r="D95" s="47" t="s">
        <v>587</v>
      </c>
      <c r="E95" s="50"/>
      <c r="F95" s="50"/>
      <c r="G95" s="50"/>
      <c r="H95" s="50"/>
      <c r="I95" s="50"/>
      <c r="L95" s="78" t="s">
        <v>588</v>
      </c>
      <c r="M95" s="2255"/>
      <c r="N95" s="2256"/>
      <c r="O95" s="2256"/>
      <c r="P95" s="2257"/>
      <c r="Q95" s="792"/>
    </row>
    <row r="96" spans="1:31" ht="22.9" customHeight="1">
      <c r="A96" s="170"/>
      <c r="B96" s="1175"/>
      <c r="C96" s="177" t="s">
        <v>1859</v>
      </c>
      <c r="D96" s="1400" t="s">
        <v>488</v>
      </c>
      <c r="E96" s="2258"/>
      <c r="F96" s="2258"/>
      <c r="G96" s="2258"/>
      <c r="H96" s="2258"/>
      <c r="I96" s="2258"/>
      <c r="J96" s="2258"/>
      <c r="K96" s="2258"/>
      <c r="L96" s="2258"/>
      <c r="M96" s="2258"/>
      <c r="N96" s="2258"/>
      <c r="O96" s="177" t="s">
        <v>1859</v>
      </c>
      <c r="P96" s="2205"/>
      <c r="Q96" s="792"/>
    </row>
    <row r="97" spans="1:32" ht="12" customHeight="1">
      <c r="A97" s="170"/>
      <c r="B97" s="1175"/>
      <c r="C97" s="78" t="s">
        <v>1860</v>
      </c>
      <c r="D97" s="62" t="s">
        <v>3524</v>
      </c>
      <c r="E97" s="62"/>
      <c r="F97" s="62"/>
      <c r="G97" s="62"/>
      <c r="H97" s="62"/>
      <c r="I97" s="62"/>
      <c r="J97" s="62"/>
      <c r="K97" s="62"/>
      <c r="L97" s="62"/>
      <c r="M97" s="62"/>
      <c r="O97" s="78" t="s">
        <v>1860</v>
      </c>
      <c r="P97" s="2205"/>
      <c r="Q97" s="792"/>
    </row>
    <row r="98" spans="1:32" ht="12" customHeight="1">
      <c r="A98" s="170"/>
      <c r="B98" s="1175"/>
      <c r="C98" s="177" t="s">
        <v>1861</v>
      </c>
      <c r="D98" s="62" t="s">
        <v>3523</v>
      </c>
      <c r="E98" s="62"/>
      <c r="F98" s="62"/>
      <c r="G98" s="62"/>
      <c r="H98" s="62"/>
      <c r="I98" s="62"/>
      <c r="J98" s="62"/>
      <c r="K98" s="62"/>
      <c r="L98" s="62"/>
      <c r="M98" s="62"/>
      <c r="O98" s="177" t="s">
        <v>1861</v>
      </c>
      <c r="P98" s="2259"/>
      <c r="Q98" s="793"/>
    </row>
    <row r="99" spans="1:32" s="158" customFormat="1" ht="24.75" customHeight="1">
      <c r="A99" s="170"/>
      <c r="B99" s="545"/>
      <c r="C99" s="192" t="s">
        <v>2521</v>
      </c>
      <c r="D99" s="1412" t="s">
        <v>2918</v>
      </c>
      <c r="E99" s="1412"/>
      <c r="F99" s="1412"/>
      <c r="G99" s="1412"/>
      <c r="H99" s="1412"/>
      <c r="I99" s="1412"/>
      <c r="J99" s="1412"/>
      <c r="K99" s="1412"/>
      <c r="L99" s="1412"/>
      <c r="M99" s="1412"/>
      <c r="N99" s="1412"/>
      <c r="O99" s="192" t="s">
        <v>2521</v>
      </c>
      <c r="P99" s="2260"/>
      <c r="Q99" s="812"/>
      <c r="AE99" s="595"/>
      <c r="AF99" s="595"/>
    </row>
    <row r="100" spans="1:32" ht="12" customHeight="1">
      <c r="B100" s="55" t="s">
        <v>799</v>
      </c>
      <c r="C100" s="62" t="s">
        <v>149</v>
      </c>
      <c r="D100" s="62"/>
      <c r="E100" s="62"/>
      <c r="F100" s="62"/>
      <c r="G100" s="62"/>
      <c r="H100" s="62"/>
      <c r="I100" s="62"/>
      <c r="J100" s="62"/>
      <c r="K100" s="62"/>
      <c r="L100" s="62"/>
      <c r="M100" s="62"/>
      <c r="O100" s="592" t="s">
        <v>799</v>
      </c>
      <c r="P100" s="2205"/>
      <c r="Q100" s="792"/>
    </row>
    <row r="101" spans="1:32" ht="12" customHeight="1">
      <c r="B101" s="55" t="s">
        <v>2254</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05"/>
      <c r="Q102" s="792"/>
    </row>
    <row r="103" spans="1:32" ht="12" customHeight="1">
      <c r="B103" s="55"/>
      <c r="C103" s="78" t="s">
        <v>1860</v>
      </c>
      <c r="D103" s="62" t="s">
        <v>1524</v>
      </c>
      <c r="E103" s="62"/>
      <c r="F103" s="62"/>
      <c r="G103" s="62"/>
      <c r="H103" s="62"/>
      <c r="I103" s="62"/>
      <c r="J103" s="62"/>
      <c r="K103" s="62"/>
      <c r="L103" s="38"/>
      <c r="M103" s="38"/>
      <c r="O103" s="78" t="s">
        <v>1860</v>
      </c>
      <c r="P103" s="2205"/>
      <c r="Q103" s="792"/>
    </row>
    <row r="104" spans="1:32" ht="12" customHeight="1">
      <c r="B104" s="55"/>
      <c r="C104" s="78" t="s">
        <v>1861</v>
      </c>
      <c r="D104" s="62" t="s">
        <v>1525</v>
      </c>
      <c r="E104" s="62"/>
      <c r="F104" s="62"/>
      <c r="G104" s="62"/>
      <c r="H104" s="62"/>
      <c r="I104" s="62"/>
      <c r="J104" s="62"/>
      <c r="K104" s="62"/>
      <c r="L104" s="38"/>
      <c r="M104" s="38"/>
      <c r="O104" s="78" t="s">
        <v>1861</v>
      </c>
      <c r="P104" s="2205"/>
      <c r="Q104" s="792"/>
    </row>
    <row r="105" spans="1:32" ht="11.25" customHeight="1">
      <c r="B105" s="167" t="s">
        <v>1996</v>
      </c>
      <c r="D105" s="167"/>
      <c r="E105" s="167"/>
      <c r="F105" s="167"/>
      <c r="G105" s="167"/>
      <c r="H105" s="48"/>
      <c r="I105" s="1175"/>
      <c r="J105" s="1175"/>
      <c r="K105" s="1175"/>
      <c r="L105" s="1157"/>
      <c r="M105" s="1157"/>
      <c r="N105" s="1157"/>
      <c r="O105" s="1157"/>
      <c r="P105" s="1157"/>
      <c r="Q105" s="60"/>
    </row>
    <row r="106" spans="1:32" ht="36" customHeight="1">
      <c r="A106" s="2209" t="s">
        <v>3760</v>
      </c>
      <c r="B106" s="2210"/>
      <c r="C106" s="2210"/>
      <c r="D106" s="2210"/>
      <c r="E106" s="2210"/>
      <c r="F106" s="2210"/>
      <c r="G106" s="2210"/>
      <c r="H106" s="2210"/>
      <c r="I106" s="2210"/>
      <c r="J106" s="2210"/>
      <c r="K106" s="2210"/>
      <c r="L106" s="2210"/>
      <c r="M106" s="2210"/>
      <c r="N106" s="2210"/>
      <c r="O106" s="2210"/>
      <c r="P106" s="2210"/>
      <c r="Q106" s="2211"/>
      <c r="U106" s="162"/>
      <c r="V106" s="162"/>
      <c r="W106" s="162"/>
      <c r="X106" s="162"/>
      <c r="Y106" s="162"/>
      <c r="Z106" s="162"/>
      <c r="AA106" s="162"/>
      <c r="AB106" s="162"/>
      <c r="AC106" s="162"/>
      <c r="AD106" s="162"/>
      <c r="AE106" s="594"/>
    </row>
    <row r="107" spans="1:32" ht="11.25" customHeight="1">
      <c r="B107" s="163" t="s">
        <v>1997</v>
      </c>
      <c r="C107" s="164"/>
      <c r="D107" s="1162"/>
      <c r="E107" s="1162"/>
      <c r="F107" s="1162"/>
      <c r="G107" s="1162"/>
      <c r="H107" s="1162"/>
      <c r="I107" s="1162"/>
      <c r="J107" s="1162"/>
      <c r="K107" s="1162"/>
      <c r="L107" s="1162"/>
      <c r="M107" s="1162"/>
      <c r="N107" s="1162"/>
      <c r="O107" s="1162"/>
      <c r="P107" s="1162"/>
      <c r="Q107" s="1162"/>
    </row>
    <row r="108" spans="1:32" ht="13.15" customHeight="1">
      <c r="A108" s="1416"/>
      <c r="B108" s="1417"/>
      <c r="C108" s="1417"/>
      <c r="D108" s="1417"/>
      <c r="E108" s="1417"/>
      <c r="F108" s="1417"/>
      <c r="G108" s="1417"/>
      <c r="H108" s="1417"/>
      <c r="I108" s="1417"/>
      <c r="J108" s="1417"/>
      <c r="K108" s="1417"/>
      <c r="L108" s="1417"/>
      <c r="M108" s="1417"/>
      <c r="N108" s="1417"/>
      <c r="O108" s="1417"/>
      <c r="P108" s="1417"/>
      <c r="Q108" s="1418"/>
    </row>
    <row r="109" spans="1:32" ht="4.9000000000000004" customHeight="1">
      <c r="A109" s="1157"/>
      <c r="B109" s="1175"/>
      <c r="C109" s="1162"/>
      <c r="D109" s="1162"/>
      <c r="E109" s="1162"/>
      <c r="F109" s="1162"/>
      <c r="G109" s="1162"/>
      <c r="H109" s="1162"/>
      <c r="I109" s="1162"/>
      <c r="J109" s="1162"/>
      <c r="K109" s="1162"/>
      <c r="L109" s="1162"/>
      <c r="M109" s="1162"/>
      <c r="N109" s="1162"/>
      <c r="O109" s="1162"/>
      <c r="P109" s="1162"/>
      <c r="Q109" s="1157"/>
    </row>
    <row r="110" spans="1:32" ht="13.9" customHeight="1">
      <c r="A110" s="1166">
        <v>7</v>
      </c>
      <c r="B110" s="1166" t="s">
        <v>2854</v>
      </c>
      <c r="C110" s="48"/>
      <c r="D110" s="1162"/>
      <c r="E110" s="1162"/>
      <c r="F110" s="1162"/>
      <c r="G110" s="1162"/>
      <c r="H110" s="1162"/>
      <c r="I110" s="1162"/>
      <c r="J110" s="1162"/>
      <c r="K110" s="1162"/>
      <c r="L110" s="1162"/>
      <c r="M110" s="1162"/>
      <c r="O110" s="157" t="s">
        <v>1998</v>
      </c>
      <c r="P110" s="1414"/>
      <c r="Q110" s="1415"/>
    </row>
    <row r="111" spans="1:32" ht="6.6" customHeight="1"/>
    <row r="112" spans="1:32" ht="12" customHeight="1">
      <c r="B112" s="55" t="s">
        <v>2119</v>
      </c>
      <c r="C112" s="62" t="s">
        <v>2916</v>
      </c>
      <c r="D112" s="159"/>
      <c r="E112" s="159"/>
      <c r="F112" s="159"/>
      <c r="G112" s="159"/>
      <c r="H112" s="159"/>
      <c r="I112" s="50"/>
      <c r="J112" s="50"/>
      <c r="K112" s="50"/>
      <c r="L112" s="592" t="s">
        <v>2119</v>
      </c>
      <c r="M112" s="2261" t="s">
        <v>3761</v>
      </c>
      <c r="N112" s="2262"/>
      <c r="O112" s="2262"/>
      <c r="P112" s="2263"/>
      <c r="Q112" s="792"/>
    </row>
    <row r="113" spans="2:17" ht="12" customHeight="1">
      <c r="B113" s="55" t="s">
        <v>2122</v>
      </c>
      <c r="C113" s="62" t="s">
        <v>1645</v>
      </c>
      <c r="D113" s="159"/>
      <c r="E113" s="159"/>
      <c r="F113" s="159"/>
      <c r="G113" s="159"/>
      <c r="H113" s="159"/>
      <c r="I113" s="50"/>
      <c r="J113" s="50"/>
      <c r="K113" s="159"/>
      <c r="L113" s="159"/>
      <c r="M113" s="1156"/>
      <c r="O113" s="592" t="s">
        <v>2122</v>
      </c>
      <c r="P113" s="2205" t="s">
        <v>3703</v>
      </c>
      <c r="Q113" s="811"/>
    </row>
    <row r="114" spans="2:17" ht="12" customHeight="1">
      <c r="B114" s="55" t="s">
        <v>799</v>
      </c>
      <c r="C114" s="62" t="s">
        <v>157</v>
      </c>
      <c r="D114" s="159"/>
      <c r="E114" s="159"/>
      <c r="F114" s="159"/>
      <c r="G114" s="159"/>
      <c r="H114" s="159"/>
      <c r="I114" s="50"/>
      <c r="J114" s="50"/>
      <c r="K114" s="159"/>
      <c r="L114" s="1156"/>
      <c r="M114" s="1156"/>
      <c r="O114" s="592" t="s">
        <v>799</v>
      </c>
      <c r="P114" s="2205" t="s">
        <v>3702</v>
      </c>
      <c r="Q114" s="792"/>
    </row>
    <row r="115" spans="2:17" ht="12" customHeight="1">
      <c r="B115" s="55"/>
      <c r="C115" s="77" t="s">
        <v>1859</v>
      </c>
      <c r="D115" s="62" t="s">
        <v>2917</v>
      </c>
      <c r="E115" s="159"/>
      <c r="F115" s="159"/>
      <c r="G115" s="159"/>
      <c r="H115" s="159"/>
      <c r="I115" s="50"/>
      <c r="J115" s="50"/>
      <c r="K115" s="159"/>
      <c r="L115" s="78" t="s">
        <v>1859</v>
      </c>
      <c r="M115" s="2261" t="s">
        <v>3761</v>
      </c>
      <c r="N115" s="2262"/>
      <c r="O115" s="2262"/>
      <c r="P115" s="2263"/>
      <c r="Q115" s="811"/>
    </row>
    <row r="116" spans="2:17" ht="12" customHeight="1">
      <c r="B116" s="165"/>
      <c r="C116" s="78" t="s">
        <v>1860</v>
      </c>
      <c r="D116" s="44" t="s">
        <v>2788</v>
      </c>
      <c r="E116" s="50"/>
      <c r="F116" s="50"/>
      <c r="G116" s="50"/>
      <c r="H116" s="62"/>
      <c r="I116" s="50"/>
      <c r="J116" s="50"/>
      <c r="K116" s="159"/>
      <c r="L116" s="1156"/>
      <c r="M116" s="1156"/>
      <c r="O116" s="592" t="s">
        <v>1860</v>
      </c>
      <c r="P116" s="2254">
        <v>55.587899999999998</v>
      </c>
      <c r="Q116" s="811"/>
    </row>
    <row r="117" spans="2:17" ht="12" customHeight="1">
      <c r="B117" s="165"/>
      <c r="C117" s="592" t="s">
        <v>1861</v>
      </c>
      <c r="D117" s="62" t="s">
        <v>1471</v>
      </c>
      <c r="E117" s="50"/>
      <c r="F117" s="50"/>
      <c r="G117" s="50"/>
      <c r="H117" s="62"/>
      <c r="I117" s="50"/>
      <c r="J117" s="50"/>
      <c r="K117" s="159"/>
      <c r="L117" s="1156"/>
      <c r="M117" s="1156"/>
      <c r="N117" s="1156"/>
      <c r="O117" s="1156"/>
    </row>
    <row r="118" spans="2:17" ht="11.45" customHeight="1">
      <c r="B118" s="1157"/>
      <c r="C118" s="78"/>
      <c r="D118" s="2264" t="s">
        <v>3798</v>
      </c>
      <c r="E118" s="2265"/>
      <c r="F118" s="2265"/>
      <c r="G118" s="2265"/>
      <c r="H118" s="2265"/>
      <c r="I118" s="2265"/>
      <c r="J118" s="2265"/>
      <c r="K118" s="2265"/>
      <c r="L118" s="2265"/>
      <c r="M118" s="2265"/>
      <c r="N118" s="2265"/>
      <c r="O118" s="2265"/>
      <c r="P118" s="2265"/>
      <c r="Q118" s="2266"/>
    </row>
    <row r="119" spans="2:17" ht="12" customHeight="1">
      <c r="B119" s="55" t="s">
        <v>2254</v>
      </c>
      <c r="C119" s="62" t="s">
        <v>1340</v>
      </c>
      <c r="D119" s="159"/>
      <c r="E119" s="159"/>
      <c r="F119" s="159"/>
      <c r="G119" s="159"/>
      <c r="H119" s="159"/>
      <c r="I119" s="50"/>
      <c r="J119" s="50"/>
      <c r="K119" s="159"/>
      <c r="L119" s="1156"/>
      <c r="M119" s="1156"/>
      <c r="N119" s="1156"/>
      <c r="O119" s="592" t="s">
        <v>2254</v>
      </c>
    </row>
    <row r="120" spans="2:17" ht="12" customHeight="1">
      <c r="B120" s="55"/>
      <c r="C120" s="78" t="s">
        <v>1859</v>
      </c>
      <c r="D120" s="62" t="s">
        <v>155</v>
      </c>
      <c r="E120" s="159"/>
      <c r="F120" s="159"/>
      <c r="G120" s="159"/>
      <c r="H120" s="159"/>
      <c r="I120" s="50"/>
      <c r="J120" s="50"/>
      <c r="K120" s="159"/>
      <c r="L120" s="1156"/>
      <c r="M120" s="1156"/>
      <c r="O120" s="78" t="s">
        <v>1859</v>
      </c>
      <c r="P120" s="2205" t="s">
        <v>3703</v>
      </c>
      <c r="Q120" s="792"/>
    </row>
    <row r="121" spans="2:17" ht="12" customHeight="1">
      <c r="B121" s="55"/>
      <c r="C121" s="78" t="s">
        <v>1860</v>
      </c>
      <c r="D121" s="62" t="s">
        <v>1341</v>
      </c>
      <c r="E121" s="159"/>
      <c r="F121" s="159"/>
      <c r="G121" s="159"/>
      <c r="H121" s="50"/>
      <c r="I121" s="50"/>
      <c r="J121" s="50"/>
      <c r="K121" s="159"/>
      <c r="L121" s="1156"/>
      <c r="M121" s="1156"/>
      <c r="O121" s="78" t="s">
        <v>1860</v>
      </c>
      <c r="P121" s="2254" t="s">
        <v>3702</v>
      </c>
      <c r="Q121" s="811"/>
    </row>
    <row r="122" spans="2:17" ht="12" customHeight="1">
      <c r="B122" s="55"/>
      <c r="C122" s="78"/>
      <c r="D122" s="62" t="s">
        <v>2829</v>
      </c>
      <c r="E122" s="556" t="s">
        <v>2601</v>
      </c>
      <c r="F122" s="62" t="s">
        <v>2830</v>
      </c>
      <c r="G122" s="50"/>
      <c r="H122" s="62"/>
      <c r="I122" s="50"/>
      <c r="J122" s="50"/>
      <c r="K122" s="159"/>
      <c r="L122" s="1156"/>
      <c r="M122" s="1156"/>
      <c r="O122" s="556" t="s">
        <v>2601</v>
      </c>
      <c r="P122" s="2267">
        <v>1.4999999999999999E-2</v>
      </c>
      <c r="Q122" s="813"/>
    </row>
    <row r="123" spans="2:17" ht="12" customHeight="1">
      <c r="B123" s="55"/>
      <c r="C123" s="78"/>
      <c r="E123" s="556" t="s">
        <v>2602</v>
      </c>
      <c r="F123" s="62" t="s">
        <v>2831</v>
      </c>
      <c r="G123" s="50"/>
      <c r="H123" s="62"/>
      <c r="I123" s="50"/>
      <c r="J123" s="50"/>
      <c r="K123" s="159"/>
      <c r="L123" s="1156"/>
      <c r="M123" s="1156"/>
      <c r="O123" s="556" t="s">
        <v>2602</v>
      </c>
      <c r="P123" s="2254" t="s">
        <v>3703</v>
      </c>
      <c r="Q123" s="811"/>
    </row>
    <row r="124" spans="2:17" ht="12" customHeight="1">
      <c r="B124" s="55"/>
      <c r="C124" s="78"/>
      <c r="E124" s="556" t="s">
        <v>2603</v>
      </c>
      <c r="F124" s="62" t="s">
        <v>2832</v>
      </c>
      <c r="G124" s="50"/>
      <c r="H124" s="62"/>
      <c r="I124" s="50"/>
      <c r="J124" s="50"/>
      <c r="K124" s="159"/>
      <c r="L124" s="1156"/>
      <c r="M124" s="1156"/>
      <c r="O124" s="556" t="s">
        <v>2603</v>
      </c>
      <c r="P124" s="2254" t="s">
        <v>3702</v>
      </c>
      <c r="Q124" s="811"/>
    </row>
    <row r="125" spans="2:17" ht="12" customHeight="1">
      <c r="B125" s="55"/>
      <c r="C125" s="78" t="s">
        <v>1861</v>
      </c>
      <c r="D125" s="62" t="s">
        <v>1342</v>
      </c>
      <c r="E125" s="159"/>
      <c r="F125" s="159"/>
      <c r="G125" s="159"/>
      <c r="H125" s="62"/>
      <c r="I125" s="50"/>
      <c r="J125" s="50"/>
      <c r="K125" s="159"/>
      <c r="L125" s="1156"/>
      <c r="M125" s="1156"/>
      <c r="O125" s="78" t="s">
        <v>1861</v>
      </c>
      <c r="P125" s="2205" t="s">
        <v>3703</v>
      </c>
      <c r="Q125" s="792"/>
    </row>
    <row r="126" spans="2:17" ht="12" customHeight="1">
      <c r="B126" s="55"/>
      <c r="C126" s="78"/>
      <c r="D126" s="62" t="s">
        <v>2829</v>
      </c>
      <c r="E126" s="556" t="s">
        <v>2601</v>
      </c>
      <c r="F126" s="62" t="s">
        <v>2833</v>
      </c>
      <c r="G126" s="50"/>
      <c r="H126" s="62"/>
      <c r="I126" s="50"/>
      <c r="J126" s="50"/>
      <c r="K126" s="159"/>
      <c r="L126" s="1156"/>
      <c r="O126" s="556" t="s">
        <v>2601</v>
      </c>
      <c r="P126" s="2267"/>
      <c r="Q126" s="814"/>
    </row>
    <row r="127" spans="2:17" ht="12" customHeight="1">
      <c r="B127" s="55"/>
      <c r="C127" s="78"/>
      <c r="E127" s="556" t="s">
        <v>2602</v>
      </c>
      <c r="F127" s="62" t="s">
        <v>2834</v>
      </c>
      <c r="G127" s="50"/>
      <c r="H127" s="62"/>
      <c r="I127" s="50"/>
      <c r="J127" s="50"/>
      <c r="O127" s="556" t="s">
        <v>2602</v>
      </c>
      <c r="P127" s="2254"/>
      <c r="Q127" s="811"/>
    </row>
    <row r="128" spans="2:17" ht="12" customHeight="1">
      <c r="B128" s="55"/>
      <c r="C128" s="78"/>
      <c r="E128" s="556" t="s">
        <v>2603</v>
      </c>
      <c r="F128" s="62" t="s">
        <v>2832</v>
      </c>
      <c r="G128" s="50"/>
      <c r="H128" s="62"/>
      <c r="I128" s="50"/>
      <c r="J128" s="50"/>
      <c r="O128" s="556" t="s">
        <v>2603</v>
      </c>
      <c r="P128" s="2254"/>
      <c r="Q128" s="811"/>
    </row>
    <row r="129" spans="1:31" ht="12" customHeight="1">
      <c r="B129" s="44"/>
      <c r="C129" s="78" t="s">
        <v>2521</v>
      </c>
      <c r="D129" s="62" t="s">
        <v>2835</v>
      </c>
      <c r="E129" s="159"/>
      <c r="F129" s="159"/>
      <c r="G129" s="159"/>
      <c r="H129" s="159"/>
      <c r="I129" s="50"/>
      <c r="J129" s="50"/>
      <c r="O129" s="78" t="s">
        <v>2521</v>
      </c>
      <c r="P129" s="2205" t="s">
        <v>3702</v>
      </c>
      <c r="Q129" s="792"/>
    </row>
    <row r="130" spans="1:31" ht="12" customHeight="1">
      <c r="B130" s="55" t="s">
        <v>1857</v>
      </c>
      <c r="C130" s="172" t="s">
        <v>2579</v>
      </c>
      <c r="D130" s="159"/>
      <c r="E130" s="159"/>
      <c r="F130" s="159"/>
      <c r="G130" s="159"/>
      <c r="H130" s="159"/>
      <c r="I130" s="50"/>
      <c r="J130" s="50"/>
      <c r="K130" s="159"/>
      <c r="L130" s="1156"/>
      <c r="M130" s="1156"/>
      <c r="N130" s="1156"/>
      <c r="O130" s="1156"/>
      <c r="P130" s="1156"/>
      <c r="Q130" s="1156"/>
    </row>
    <row r="131" spans="1:31" ht="12" customHeight="1">
      <c r="C131" s="78" t="s">
        <v>1859</v>
      </c>
      <c r="D131" s="62" t="s">
        <v>2665</v>
      </c>
      <c r="E131" s="159"/>
      <c r="F131" s="2268" t="s">
        <v>3702</v>
      </c>
      <c r="G131" s="795"/>
      <c r="H131" s="78" t="s">
        <v>1657</v>
      </c>
      <c r="I131" s="65" t="s">
        <v>2837</v>
      </c>
      <c r="L131" s="2268" t="s">
        <v>3703</v>
      </c>
      <c r="M131" s="795"/>
      <c r="N131" s="592" t="s">
        <v>545</v>
      </c>
      <c r="O131" s="62" t="s">
        <v>1660</v>
      </c>
      <c r="P131" s="2268" t="s">
        <v>3703</v>
      </c>
      <c r="Q131" s="795"/>
    </row>
    <row r="132" spans="1:31" ht="12" customHeight="1">
      <c r="B132" s="44"/>
      <c r="C132" s="78" t="s">
        <v>1860</v>
      </c>
      <c r="D132" s="62" t="s">
        <v>3262</v>
      </c>
      <c r="E132" s="159"/>
      <c r="F132" s="2269" t="s">
        <v>3703</v>
      </c>
      <c r="G132" s="796"/>
      <c r="H132" s="78" t="s">
        <v>1658</v>
      </c>
      <c r="I132" s="65" t="s">
        <v>2838</v>
      </c>
      <c r="L132" s="2269" t="s">
        <v>3703</v>
      </c>
      <c r="M132" s="796"/>
      <c r="N132" s="592" t="s">
        <v>546</v>
      </c>
      <c r="O132" s="62" t="s">
        <v>1659</v>
      </c>
      <c r="P132" s="2269" t="s">
        <v>3703</v>
      </c>
      <c r="Q132" s="796"/>
    </row>
    <row r="133" spans="1:31" ht="12" customHeight="1">
      <c r="B133" s="44"/>
      <c r="C133" s="78" t="s">
        <v>1861</v>
      </c>
      <c r="D133" s="62" t="s">
        <v>2836</v>
      </c>
      <c r="E133" s="159"/>
      <c r="F133" s="2269" t="s">
        <v>3703</v>
      </c>
      <c r="G133" s="796"/>
      <c r="H133" s="592" t="s">
        <v>101</v>
      </c>
      <c r="I133" s="65" t="s">
        <v>3263</v>
      </c>
      <c r="L133" s="2269" t="s">
        <v>3703</v>
      </c>
      <c r="M133" s="796"/>
      <c r="N133" s="592" t="s">
        <v>3265</v>
      </c>
      <c r="O133" s="62" t="s">
        <v>1661</v>
      </c>
      <c r="P133" s="2270" t="s">
        <v>3703</v>
      </c>
      <c r="Q133" s="797"/>
    </row>
    <row r="134" spans="1:31" ht="12" customHeight="1">
      <c r="B134" s="44"/>
      <c r="C134" s="78" t="s">
        <v>2521</v>
      </c>
      <c r="D134" s="62" t="s">
        <v>3266</v>
      </c>
      <c r="E134" s="159"/>
      <c r="F134" s="2270" t="s">
        <v>3703</v>
      </c>
      <c r="G134" s="797"/>
      <c r="H134" s="592" t="s">
        <v>544</v>
      </c>
      <c r="I134" s="62" t="s">
        <v>3261</v>
      </c>
      <c r="L134" s="2270" t="s">
        <v>3702</v>
      </c>
      <c r="M134" s="797"/>
      <c r="O134" s="78"/>
    </row>
    <row r="135" spans="1:31" ht="12" customHeight="1">
      <c r="B135" s="44"/>
      <c r="C135" s="592" t="s">
        <v>3560</v>
      </c>
      <c r="D135" s="62" t="s">
        <v>3264</v>
      </c>
      <c r="E135" s="159"/>
      <c r="F135" s="159"/>
      <c r="G135" s="159"/>
      <c r="H135" s="159"/>
      <c r="I135" s="159"/>
      <c r="J135" s="159"/>
      <c r="K135" s="159"/>
      <c r="L135" s="159"/>
      <c r="M135" s="62"/>
      <c r="O135" s="78"/>
      <c r="P135" s="78"/>
    </row>
    <row r="136" spans="1:31" ht="12" customHeight="1">
      <c r="B136" s="44"/>
      <c r="D136" s="2255"/>
      <c r="E136" s="2256"/>
      <c r="F136" s="2256"/>
      <c r="G136" s="2256"/>
      <c r="H136" s="2256"/>
      <c r="I136" s="2256"/>
      <c r="J136" s="2256"/>
      <c r="K136" s="2256"/>
      <c r="L136" s="2256"/>
      <c r="M136" s="2256"/>
      <c r="N136" s="2256"/>
      <c r="O136" s="2256"/>
      <c r="P136" s="2271"/>
      <c r="Q136" s="792"/>
    </row>
    <row r="137" spans="1:31" ht="12" customHeight="1">
      <c r="B137" s="55" t="s">
        <v>1858</v>
      </c>
      <c r="C137" s="62" t="s">
        <v>1370</v>
      </c>
      <c r="D137" s="159"/>
      <c r="E137" s="159"/>
      <c r="F137" s="159"/>
      <c r="G137" s="159"/>
      <c r="H137" s="159"/>
      <c r="I137" s="50"/>
      <c r="J137" s="50"/>
      <c r="K137" s="159"/>
      <c r="L137" s="159"/>
      <c r="M137" s="1156"/>
      <c r="O137" s="592" t="s">
        <v>1858</v>
      </c>
      <c r="P137" s="2254" t="s">
        <v>1029</v>
      </c>
      <c r="Q137" s="792"/>
    </row>
    <row r="138" spans="1:31" ht="12" customHeight="1">
      <c r="A138" s="170"/>
      <c r="B138" s="50"/>
      <c r="C138" s="78" t="s">
        <v>1859</v>
      </c>
      <c r="D138" s="62" t="s">
        <v>3267</v>
      </c>
      <c r="E138" s="159"/>
      <c r="F138" s="159"/>
      <c r="G138" s="159"/>
      <c r="H138" s="159"/>
      <c r="O138" s="78" t="s">
        <v>1859</v>
      </c>
      <c r="P138" s="2205" t="s">
        <v>3703</v>
      </c>
      <c r="Q138" s="792"/>
    </row>
    <row r="139" spans="1:31" ht="12" customHeight="1">
      <c r="A139" s="170"/>
      <c r="B139" s="1175"/>
      <c r="C139" s="78" t="s">
        <v>1860</v>
      </c>
      <c r="D139" s="62" t="s">
        <v>522</v>
      </c>
      <c r="E139" s="62"/>
      <c r="F139" s="62"/>
      <c r="G139" s="62"/>
      <c r="H139" s="62"/>
      <c r="I139" s="50"/>
      <c r="J139" s="50"/>
      <c r="K139" s="62"/>
      <c r="L139" s="62"/>
      <c r="M139" s="62"/>
      <c r="O139" s="78" t="s">
        <v>1860</v>
      </c>
      <c r="P139" s="2205" t="s">
        <v>3702</v>
      </c>
      <c r="Q139" s="792"/>
    </row>
    <row r="140" spans="1:31" ht="12" customHeight="1">
      <c r="A140" s="170"/>
      <c r="B140" s="1175"/>
      <c r="C140" s="78" t="s">
        <v>1861</v>
      </c>
      <c r="D140" s="62" t="s">
        <v>727</v>
      </c>
      <c r="E140" s="62"/>
      <c r="F140" s="62"/>
      <c r="G140" s="62"/>
      <c r="H140" s="62"/>
      <c r="I140" s="50"/>
      <c r="J140" s="50"/>
      <c r="K140" s="62"/>
      <c r="L140" s="62"/>
      <c r="M140" s="62"/>
      <c r="O140" s="78" t="s">
        <v>1861</v>
      </c>
      <c r="P140" s="2205" t="s">
        <v>3703</v>
      </c>
      <c r="Q140" s="792"/>
    </row>
    <row r="141" spans="1:31" ht="12" customHeight="1">
      <c r="B141" s="55" t="s">
        <v>2082</v>
      </c>
      <c r="C141" s="62" t="s">
        <v>1876</v>
      </c>
      <c r="D141" s="159"/>
      <c r="E141" s="159"/>
      <c r="F141" s="159"/>
      <c r="G141" s="159"/>
      <c r="H141" s="159"/>
      <c r="I141" s="50"/>
      <c r="J141" s="50"/>
      <c r="K141" s="159"/>
      <c r="L141" s="159"/>
      <c r="M141" s="1156"/>
      <c r="O141" s="592" t="s">
        <v>2082</v>
      </c>
      <c r="P141" s="2205" t="s">
        <v>1029</v>
      </c>
      <c r="Q141" s="792"/>
    </row>
    <row r="142" spans="1:31" ht="4.9000000000000004" customHeight="1"/>
    <row r="143" spans="1:31" ht="11.25" customHeight="1">
      <c r="B143" s="167" t="s">
        <v>1996</v>
      </c>
      <c r="D143" s="167"/>
      <c r="E143" s="167"/>
      <c r="F143" s="167"/>
      <c r="G143" s="167"/>
      <c r="H143" s="48"/>
      <c r="I143" s="1175"/>
      <c r="J143" s="1175"/>
      <c r="K143" s="1175"/>
      <c r="L143" s="1157"/>
      <c r="M143" s="1157"/>
      <c r="N143" s="1157"/>
      <c r="O143" s="1157"/>
      <c r="P143" s="1157"/>
      <c r="Q143" s="60"/>
    </row>
    <row r="144" spans="1:31" ht="84" customHeight="1">
      <c r="A144" s="2209" t="s">
        <v>3811</v>
      </c>
      <c r="B144" s="2210"/>
      <c r="C144" s="2210"/>
      <c r="D144" s="2210"/>
      <c r="E144" s="2210"/>
      <c r="F144" s="2210"/>
      <c r="G144" s="2210"/>
      <c r="H144" s="2210"/>
      <c r="I144" s="2210"/>
      <c r="J144" s="2210"/>
      <c r="K144" s="2210"/>
      <c r="L144" s="2210"/>
      <c r="M144" s="2210"/>
      <c r="N144" s="2210"/>
      <c r="O144" s="2210"/>
      <c r="P144" s="2210"/>
      <c r="Q144" s="2211"/>
      <c r="R144" s="561" t="s">
        <v>1332</v>
      </c>
      <c r="S144" s="562"/>
      <c r="U144" s="162"/>
      <c r="V144" s="162"/>
      <c r="W144" s="162"/>
      <c r="X144" s="162"/>
      <c r="Y144" s="162"/>
      <c r="Z144" s="162"/>
      <c r="AA144" s="162"/>
      <c r="AB144" s="162"/>
      <c r="AC144" s="162"/>
      <c r="AD144" s="162"/>
      <c r="AE144" s="594"/>
    </row>
    <row r="145" spans="1:31" ht="11.25" customHeight="1">
      <c r="B145" s="163" t="s">
        <v>1997</v>
      </c>
      <c r="C145" s="164"/>
      <c r="D145" s="1162"/>
      <c r="E145" s="1162"/>
      <c r="F145" s="1162"/>
      <c r="G145" s="1162"/>
      <c r="H145" s="1162"/>
      <c r="I145" s="1162"/>
      <c r="J145" s="1162"/>
      <c r="K145" s="1162"/>
      <c r="L145" s="1162"/>
      <c r="M145" s="1162"/>
      <c r="N145" s="1162"/>
      <c r="O145" s="1162"/>
      <c r="P145" s="1162"/>
      <c r="Q145" s="1162"/>
    </row>
    <row r="146" spans="1:31" ht="12" customHeight="1">
      <c r="A146" s="1416"/>
      <c r="B146" s="1417"/>
      <c r="C146" s="1417"/>
      <c r="D146" s="1417"/>
      <c r="E146" s="1417"/>
      <c r="F146" s="1417"/>
      <c r="G146" s="1417"/>
      <c r="H146" s="1417"/>
      <c r="I146" s="1417"/>
      <c r="J146" s="1417"/>
      <c r="K146" s="1417"/>
      <c r="L146" s="1417"/>
      <c r="M146" s="1417"/>
      <c r="N146" s="1417"/>
      <c r="O146" s="1417"/>
      <c r="P146" s="1417"/>
      <c r="Q146" s="1418"/>
      <c r="R146" s="561" t="s">
        <v>1332</v>
      </c>
      <c r="S146" s="562"/>
    </row>
    <row r="147" spans="1:31" ht="8.4499999999999993" customHeight="1">
      <c r="A147" s="1157"/>
      <c r="B147" s="1175"/>
      <c r="C147" s="1162"/>
      <c r="D147" s="1162"/>
      <c r="E147" s="1162"/>
      <c r="F147" s="1162"/>
      <c r="G147" s="1162"/>
      <c r="H147" s="1162"/>
      <c r="I147" s="1162"/>
      <c r="J147" s="1162"/>
      <c r="K147" s="1162"/>
      <c r="L147" s="1162"/>
      <c r="M147" s="1162"/>
      <c r="N147" s="1162"/>
      <c r="O147" s="1162"/>
      <c r="P147" s="1162"/>
      <c r="Q147" s="1157"/>
    </row>
    <row r="148" spans="1:31" ht="13.9" customHeight="1">
      <c r="A148" s="1166">
        <v>8</v>
      </c>
      <c r="B148" s="1166" t="s">
        <v>2855</v>
      </c>
      <c r="C148" s="1166"/>
      <c r="D148" s="1162"/>
      <c r="E148" s="1162"/>
      <c r="F148" s="1162"/>
      <c r="G148" s="1162"/>
      <c r="H148" s="1162"/>
      <c r="I148" s="1162"/>
      <c r="J148" s="1162"/>
      <c r="K148" s="1162"/>
      <c r="O148" s="157" t="s">
        <v>1998</v>
      </c>
      <c r="P148" s="1414"/>
      <c r="Q148" s="1415"/>
    </row>
    <row r="149" spans="1:31" ht="12" customHeight="1">
      <c r="B149" s="55" t="s">
        <v>2119</v>
      </c>
      <c r="C149" s="62" t="s">
        <v>3260</v>
      </c>
      <c r="D149" s="62"/>
      <c r="E149" s="62"/>
      <c r="F149" s="62"/>
      <c r="G149" s="62"/>
      <c r="I149" s="62" t="s">
        <v>2949</v>
      </c>
      <c r="K149" s="2272">
        <v>42101</v>
      </c>
      <c r="L149" s="2273"/>
      <c r="N149" s="62"/>
      <c r="O149" s="592" t="s">
        <v>2119</v>
      </c>
      <c r="P149" s="2205" t="s">
        <v>3702</v>
      </c>
      <c r="Q149" s="792"/>
    </row>
    <row r="150" spans="1:31" ht="12" customHeight="1">
      <c r="A150" s="165"/>
      <c r="B150" s="55" t="s">
        <v>2122</v>
      </c>
      <c r="C150" s="166" t="s">
        <v>156</v>
      </c>
      <c r="D150" s="166"/>
      <c r="E150" s="166"/>
      <c r="F150" s="166"/>
      <c r="G150" s="166"/>
      <c r="H150" s="166"/>
      <c r="M150" s="592" t="s">
        <v>2122</v>
      </c>
      <c r="N150" s="2274" t="s">
        <v>3762</v>
      </c>
      <c r="O150" s="2275"/>
      <c r="P150" s="1446"/>
      <c r="Q150" s="1447"/>
    </row>
    <row r="151" spans="1:31" ht="12" customHeight="1">
      <c r="A151" s="165"/>
      <c r="B151" s="55" t="s">
        <v>799</v>
      </c>
      <c r="C151" s="166" t="s">
        <v>728</v>
      </c>
      <c r="D151" s="166"/>
      <c r="E151" s="166"/>
      <c r="F151" s="166"/>
      <c r="G151" s="166"/>
      <c r="H151" s="166"/>
      <c r="J151" s="592" t="s">
        <v>799</v>
      </c>
      <c r="K151" s="2255" t="s">
        <v>3763</v>
      </c>
      <c r="L151" s="2256"/>
      <c r="M151" s="2256"/>
      <c r="N151" s="2256"/>
      <c r="O151" s="2256"/>
      <c r="P151" s="2271"/>
      <c r="Q151" s="792"/>
    </row>
    <row r="152" spans="1:31" ht="12" customHeight="1">
      <c r="A152" s="165"/>
      <c r="B152" s="55" t="s">
        <v>2254</v>
      </c>
      <c r="C152" s="166" t="s">
        <v>3541</v>
      </c>
      <c r="D152" s="166"/>
      <c r="E152" s="166"/>
      <c r="F152" s="166"/>
      <c r="G152" s="166"/>
      <c r="H152" s="166"/>
      <c r="J152" s="592"/>
      <c r="K152" s="592"/>
      <c r="L152" s="592"/>
      <c r="M152" s="592"/>
      <c r="N152" s="592"/>
      <c r="O152" s="592" t="s">
        <v>2254</v>
      </c>
      <c r="P152" s="2205" t="s">
        <v>3702</v>
      </c>
      <c r="Q152" s="792"/>
    </row>
    <row r="153" spans="1:31" ht="12" customHeight="1">
      <c r="B153" s="167" t="s">
        <v>1996</v>
      </c>
      <c r="D153" s="167"/>
      <c r="E153" s="167"/>
      <c r="F153" s="167"/>
      <c r="G153" s="167"/>
      <c r="H153" s="48"/>
      <c r="I153" s="1175"/>
      <c r="J153" s="1175"/>
      <c r="K153" s="1175"/>
      <c r="L153" s="1157"/>
      <c r="M153" s="1157"/>
      <c r="N153" s="1157"/>
      <c r="O153" s="1157"/>
      <c r="P153" s="1157"/>
      <c r="Q153" s="60"/>
    </row>
    <row r="154" spans="1:31" ht="11.45" customHeight="1">
      <c r="A154" s="2209" t="s">
        <v>3764</v>
      </c>
      <c r="B154" s="2210"/>
      <c r="C154" s="2210"/>
      <c r="D154" s="2210"/>
      <c r="E154" s="2210"/>
      <c r="F154" s="2210"/>
      <c r="G154" s="2210"/>
      <c r="H154" s="2210"/>
      <c r="I154" s="2210"/>
      <c r="J154" s="2210"/>
      <c r="K154" s="2210"/>
      <c r="L154" s="2210"/>
      <c r="M154" s="2210"/>
      <c r="N154" s="2210"/>
      <c r="O154" s="2210"/>
      <c r="P154" s="2210"/>
      <c r="Q154" s="2211"/>
      <c r="U154" s="162"/>
      <c r="V154" s="162"/>
      <c r="W154" s="162"/>
      <c r="X154" s="162"/>
      <c r="Y154" s="162"/>
      <c r="Z154" s="162"/>
      <c r="AA154" s="162"/>
      <c r="AB154" s="162"/>
      <c r="AC154" s="162"/>
      <c r="AD154" s="162"/>
      <c r="AE154" s="594"/>
    </row>
    <row r="155" spans="1:31" ht="12" customHeight="1">
      <c r="B155" s="163" t="s">
        <v>1997</v>
      </c>
      <c r="C155" s="164"/>
      <c r="D155" s="1162"/>
      <c r="E155" s="1162"/>
      <c r="F155" s="1162"/>
      <c r="G155" s="1162"/>
      <c r="H155" s="1162"/>
      <c r="I155" s="1162"/>
      <c r="J155" s="1162"/>
      <c r="K155" s="1162"/>
      <c r="L155" s="1162"/>
      <c r="M155" s="1162"/>
      <c r="N155" s="1162"/>
      <c r="O155" s="1162"/>
      <c r="P155" s="1162"/>
      <c r="Q155" s="1162"/>
    </row>
    <row r="156" spans="1:31" ht="11.45" customHeight="1">
      <c r="A156" s="1416"/>
      <c r="B156" s="1417"/>
      <c r="C156" s="1417"/>
      <c r="D156" s="1417"/>
      <c r="E156" s="1417"/>
      <c r="F156" s="1417"/>
      <c r="G156" s="1417"/>
      <c r="H156" s="1417"/>
      <c r="I156" s="1417"/>
      <c r="J156" s="1417"/>
      <c r="K156" s="1417"/>
      <c r="L156" s="1417"/>
      <c r="M156" s="1417"/>
      <c r="N156" s="1417"/>
      <c r="O156" s="1417"/>
      <c r="P156" s="1417"/>
      <c r="Q156" s="1418"/>
    </row>
    <row r="157" spans="1:31" ht="3" customHeight="1">
      <c r="A157" s="1157"/>
      <c r="B157" s="1175"/>
      <c r="C157" s="1162"/>
      <c r="D157" s="1162"/>
      <c r="E157" s="1162"/>
      <c r="F157" s="1162"/>
      <c r="G157" s="1162"/>
      <c r="H157" s="1162"/>
      <c r="I157" s="1162"/>
      <c r="J157" s="1162"/>
      <c r="K157" s="1162"/>
      <c r="L157" s="1162"/>
      <c r="M157" s="1162"/>
      <c r="Q157" s="1157"/>
    </row>
    <row r="158" spans="1:31" ht="13.9" customHeight="1">
      <c r="A158" s="1166">
        <v>9</v>
      </c>
      <c r="B158" s="1166" t="s">
        <v>2856</v>
      </c>
      <c r="C158" s="1166"/>
      <c r="D158" s="1162"/>
      <c r="E158" s="1162"/>
      <c r="F158" s="1162"/>
      <c r="G158" s="1162"/>
      <c r="H158" s="1162"/>
      <c r="I158" s="1162"/>
      <c r="J158" s="1162"/>
      <c r="K158" s="1162"/>
      <c r="L158" s="1162"/>
      <c r="M158" s="1162"/>
      <c r="O158" s="157" t="s">
        <v>1998</v>
      </c>
      <c r="P158" s="1414"/>
      <c r="Q158" s="1415"/>
    </row>
    <row r="159" spans="1:31" ht="21.75" customHeight="1">
      <c r="B159" s="168" t="s">
        <v>2119</v>
      </c>
      <c r="C159" s="1412" t="s">
        <v>3525</v>
      </c>
      <c r="D159" s="1412"/>
      <c r="E159" s="1412"/>
      <c r="F159" s="1412"/>
      <c r="G159" s="1412"/>
      <c r="H159" s="1412"/>
      <c r="I159" s="1412"/>
      <c r="J159" s="1412"/>
      <c r="K159" s="1412"/>
      <c r="L159" s="1412"/>
      <c r="M159" s="1412"/>
      <c r="N159" s="1412"/>
      <c r="O159" s="192" t="s">
        <v>2119</v>
      </c>
      <c r="P159" s="2205" t="s">
        <v>3702</v>
      </c>
      <c r="Q159" s="792"/>
    </row>
    <row r="160" spans="1:31" ht="22.15" customHeight="1">
      <c r="B160" s="168" t="s">
        <v>2122</v>
      </c>
      <c r="C160" s="1412" t="s">
        <v>2680</v>
      </c>
      <c r="D160" s="1412"/>
      <c r="E160" s="1412"/>
      <c r="F160" s="1412"/>
      <c r="G160" s="1412"/>
      <c r="H160" s="1412"/>
      <c r="I160" s="1412"/>
      <c r="J160" s="1412"/>
      <c r="K160" s="1412"/>
      <c r="L160" s="1412"/>
      <c r="M160" s="1412"/>
      <c r="N160" s="1412"/>
      <c r="O160" s="192" t="s">
        <v>2122</v>
      </c>
      <c r="P160" s="2205"/>
      <c r="Q160" s="792"/>
    </row>
    <row r="161" spans="1:32" ht="21.75" customHeight="1">
      <c r="B161" s="168" t="s">
        <v>799</v>
      </c>
      <c r="C161" s="1412" t="s">
        <v>2839</v>
      </c>
      <c r="D161" s="1412"/>
      <c r="E161" s="1412"/>
      <c r="F161" s="1412"/>
      <c r="G161" s="1412"/>
      <c r="H161" s="1412"/>
      <c r="I161" s="1412"/>
      <c r="J161" s="1412"/>
      <c r="K161" s="1412"/>
      <c r="L161" s="1412"/>
      <c r="M161" s="1412"/>
      <c r="N161" s="1412"/>
      <c r="O161" s="192" t="s">
        <v>799</v>
      </c>
      <c r="P161" s="2205"/>
      <c r="Q161" s="792"/>
    </row>
    <row r="162" spans="1:32" ht="12" customHeight="1">
      <c r="B162" s="167" t="s">
        <v>1996</v>
      </c>
      <c r="D162" s="167"/>
      <c r="E162" s="167"/>
      <c r="F162" s="167"/>
      <c r="G162" s="167"/>
      <c r="H162" s="48"/>
      <c r="I162" s="1175"/>
      <c r="J162" s="1175"/>
      <c r="K162" s="1175"/>
      <c r="L162" s="1157"/>
      <c r="M162" s="1157"/>
      <c r="N162" s="1157"/>
      <c r="O162" s="1157"/>
      <c r="P162" s="1157"/>
      <c r="Q162" s="60"/>
    </row>
    <row r="163" spans="1:32" ht="39.75" customHeight="1">
      <c r="A163" s="2209" t="s">
        <v>3819</v>
      </c>
      <c r="B163" s="2210"/>
      <c r="C163" s="2210"/>
      <c r="D163" s="2210"/>
      <c r="E163" s="2210"/>
      <c r="F163" s="2210"/>
      <c r="G163" s="2210"/>
      <c r="H163" s="2210"/>
      <c r="I163" s="2210"/>
      <c r="J163" s="2210"/>
      <c r="K163" s="2210"/>
      <c r="L163" s="2210"/>
      <c r="M163" s="2210"/>
      <c r="N163" s="2210"/>
      <c r="O163" s="2210"/>
      <c r="P163" s="2210"/>
      <c r="Q163" s="2211"/>
      <c r="U163" s="162"/>
      <c r="V163" s="162"/>
      <c r="W163" s="162"/>
      <c r="X163" s="162"/>
      <c r="Y163" s="162"/>
      <c r="Z163" s="162"/>
      <c r="AA163" s="162"/>
      <c r="AB163" s="162"/>
      <c r="AC163" s="162"/>
      <c r="AD163" s="162"/>
      <c r="AE163" s="594"/>
    </row>
    <row r="164" spans="1:32" ht="12" customHeight="1">
      <c r="B164" s="163" t="s">
        <v>1997</v>
      </c>
      <c r="C164" s="164"/>
      <c r="D164" s="1162"/>
      <c r="E164" s="1162"/>
      <c r="F164" s="1162"/>
      <c r="G164" s="1162"/>
      <c r="H164" s="1162"/>
      <c r="I164" s="1162"/>
      <c r="J164" s="1162"/>
      <c r="K164" s="1162"/>
      <c r="L164" s="1162"/>
      <c r="M164" s="1162"/>
      <c r="N164" s="1162"/>
      <c r="O164" s="1162"/>
      <c r="P164" s="1162"/>
      <c r="Q164" s="1162"/>
    </row>
    <row r="165" spans="1:32" ht="11.45" customHeight="1">
      <c r="A165" s="1416"/>
      <c r="B165" s="1417"/>
      <c r="C165" s="1417"/>
      <c r="D165" s="1417"/>
      <c r="E165" s="1417"/>
      <c r="F165" s="1417"/>
      <c r="G165" s="1417"/>
      <c r="H165" s="1417"/>
      <c r="I165" s="1417"/>
      <c r="J165" s="1417"/>
      <c r="K165" s="1417"/>
      <c r="L165" s="1417"/>
      <c r="M165" s="1417"/>
      <c r="N165" s="1417"/>
      <c r="O165" s="1417"/>
      <c r="P165" s="1417"/>
      <c r="Q165" s="1418"/>
    </row>
    <row r="166" spans="1:32" ht="3" customHeight="1">
      <c r="B166" s="1175"/>
      <c r="C166" s="1162"/>
      <c r="D166" s="1162"/>
      <c r="E166" s="1162"/>
      <c r="F166" s="1162"/>
      <c r="G166" s="1162"/>
      <c r="H166" s="1162"/>
      <c r="I166" s="1162"/>
      <c r="J166" s="1162"/>
      <c r="K166" s="1162"/>
      <c r="L166" s="1162"/>
      <c r="M166" s="1162"/>
      <c r="N166" s="1162"/>
      <c r="O166" s="1162"/>
      <c r="P166" s="1162"/>
      <c r="Q166" s="1157"/>
    </row>
    <row r="167" spans="1:32" ht="13.9" customHeight="1">
      <c r="A167" s="1145">
        <v>10</v>
      </c>
      <c r="B167" s="1461" t="s">
        <v>2857</v>
      </c>
      <c r="C167" s="1461"/>
      <c r="D167" s="1461"/>
      <c r="O167" s="157" t="s">
        <v>1998</v>
      </c>
      <c r="P167" s="1414"/>
      <c r="Q167" s="1415"/>
    </row>
    <row r="168" spans="1:32" ht="12" customHeight="1">
      <c r="B168" s="168" t="s">
        <v>2119</v>
      </c>
      <c r="C168" s="173" t="s">
        <v>497</v>
      </c>
      <c r="D168" s="173"/>
      <c r="E168" s="173"/>
      <c r="F168" s="173"/>
      <c r="G168" s="173"/>
      <c r="H168" s="173"/>
      <c r="I168" s="173"/>
      <c r="J168" s="173"/>
      <c r="K168" s="173"/>
      <c r="L168" s="173"/>
      <c r="M168" s="173"/>
      <c r="O168" s="192" t="s">
        <v>2119</v>
      </c>
      <c r="P168" s="2205" t="s">
        <v>3702</v>
      </c>
      <c r="Q168" s="792"/>
    </row>
    <row r="169" spans="1:32" ht="12" customHeight="1">
      <c r="B169" s="168" t="s">
        <v>2122</v>
      </c>
      <c r="C169" s="173" t="s">
        <v>2840</v>
      </c>
      <c r="D169" s="173"/>
      <c r="E169" s="173"/>
      <c r="F169" s="173"/>
      <c r="G169" s="173"/>
      <c r="H169" s="173"/>
      <c r="I169" s="173"/>
      <c r="J169" s="173"/>
      <c r="K169" s="173"/>
      <c r="L169" s="173"/>
      <c r="M169" s="173"/>
      <c r="O169" s="192" t="s">
        <v>2122</v>
      </c>
      <c r="P169" s="2205" t="s">
        <v>3702</v>
      </c>
      <c r="Q169" s="792"/>
    </row>
    <row r="170" spans="1:32" ht="12" customHeight="1">
      <c r="B170" s="168" t="s">
        <v>799</v>
      </c>
      <c r="C170" s="173" t="s">
        <v>2841</v>
      </c>
      <c r="D170" s="173"/>
      <c r="E170" s="173"/>
      <c r="F170" s="173"/>
      <c r="G170" s="173"/>
      <c r="H170" s="173"/>
      <c r="I170" s="173"/>
      <c r="J170" s="173"/>
      <c r="K170" s="173"/>
      <c r="L170" s="173"/>
      <c r="M170" s="173"/>
      <c r="O170" s="192" t="s">
        <v>799</v>
      </c>
      <c r="P170" s="2205" t="s">
        <v>3702</v>
      </c>
      <c r="Q170" s="792"/>
    </row>
    <row r="171" spans="1:32" ht="12" customHeight="1">
      <c r="B171" s="168"/>
      <c r="C171" s="173" t="s">
        <v>2829</v>
      </c>
      <c r="D171" s="173"/>
      <c r="E171" s="556" t="s">
        <v>1859</v>
      </c>
      <c r="F171" s="173" t="s">
        <v>2842</v>
      </c>
      <c r="G171" s="173"/>
      <c r="H171" s="173"/>
      <c r="I171" s="173"/>
      <c r="J171" s="173"/>
      <c r="K171" s="173"/>
      <c r="L171" s="173"/>
      <c r="M171" s="173"/>
      <c r="O171" s="556" t="s">
        <v>1859</v>
      </c>
      <c r="P171" s="2205" t="s">
        <v>3702</v>
      </c>
      <c r="Q171" s="792"/>
    </row>
    <row r="172" spans="1:32" ht="12" customHeight="1">
      <c r="B172" s="168"/>
      <c r="C172" s="173"/>
      <c r="D172" s="173"/>
      <c r="E172" s="556" t="s">
        <v>1860</v>
      </c>
      <c r="F172" s="173" t="s">
        <v>2843</v>
      </c>
      <c r="G172" s="173"/>
      <c r="H172" s="173"/>
      <c r="I172" s="173"/>
      <c r="J172" s="173"/>
      <c r="K172" s="173"/>
      <c r="L172" s="173"/>
      <c r="M172" s="173"/>
      <c r="O172" s="556" t="s">
        <v>1860</v>
      </c>
      <c r="P172" s="2205" t="s">
        <v>3702</v>
      </c>
      <c r="Q172" s="792"/>
    </row>
    <row r="173" spans="1:32" s="158" customFormat="1" ht="21.75" customHeight="1">
      <c r="B173" s="168"/>
      <c r="C173" s="173"/>
      <c r="D173" s="173"/>
      <c r="E173" s="192" t="s">
        <v>1861</v>
      </c>
      <c r="F173" s="1412" t="s">
        <v>2844</v>
      </c>
      <c r="G173" s="1412"/>
      <c r="H173" s="1412"/>
      <c r="I173" s="1412"/>
      <c r="J173" s="1412"/>
      <c r="K173" s="1412"/>
      <c r="L173" s="1412"/>
      <c r="M173" s="1412"/>
      <c r="N173" s="1412"/>
      <c r="O173" s="192" t="s">
        <v>1861</v>
      </c>
      <c r="P173" s="2260" t="s">
        <v>3702</v>
      </c>
      <c r="Q173" s="812"/>
      <c r="AE173" s="595"/>
      <c r="AF173" s="595"/>
    </row>
    <row r="174" spans="1:32" ht="12" customHeight="1">
      <c r="B174" s="168"/>
      <c r="C174" s="173"/>
      <c r="D174" s="173"/>
      <c r="E174" s="556" t="s">
        <v>2521</v>
      </c>
      <c r="F174" s="173" t="s">
        <v>2845</v>
      </c>
      <c r="G174" s="173"/>
      <c r="H174" s="173"/>
      <c r="I174" s="173"/>
      <c r="J174" s="173"/>
      <c r="K174" s="173"/>
      <c r="L174" s="173"/>
      <c r="M174" s="173"/>
      <c r="O174" s="556" t="s">
        <v>2521</v>
      </c>
      <c r="P174" s="2205" t="s">
        <v>3702</v>
      </c>
      <c r="Q174" s="792"/>
    </row>
    <row r="175" spans="1:32" s="158" customFormat="1" ht="21.75" customHeight="1">
      <c r="B175" s="168"/>
      <c r="C175" s="173"/>
      <c r="D175" s="173"/>
      <c r="E175" s="192" t="s">
        <v>1657</v>
      </c>
      <c r="F175" s="1412" t="s">
        <v>2846</v>
      </c>
      <c r="G175" s="1412"/>
      <c r="H175" s="1412"/>
      <c r="I175" s="1412"/>
      <c r="J175" s="1412"/>
      <c r="K175" s="1412"/>
      <c r="L175" s="1412"/>
      <c r="M175" s="1412"/>
      <c r="N175" s="1412"/>
      <c r="O175" s="192" t="s">
        <v>1657</v>
      </c>
      <c r="P175" s="2260"/>
      <c r="Q175" s="812"/>
      <c r="AE175" s="595"/>
      <c r="AF175" s="595"/>
    </row>
    <row r="176" spans="1:32" ht="21.75" customHeight="1">
      <c r="B176" s="168" t="s">
        <v>2254</v>
      </c>
      <c r="C176" s="1412" t="s">
        <v>2847</v>
      </c>
      <c r="D176" s="1412"/>
      <c r="E176" s="1412"/>
      <c r="F176" s="1412"/>
      <c r="G176" s="1412"/>
      <c r="H176" s="1412"/>
      <c r="I176" s="1412"/>
      <c r="J176" s="1412"/>
      <c r="K176" s="1412"/>
      <c r="L176" s="1412"/>
      <c r="M176" s="1412"/>
      <c r="N176" s="1412"/>
      <c r="O176" s="192" t="s">
        <v>2254</v>
      </c>
      <c r="P176" s="2205" t="s">
        <v>3702</v>
      </c>
      <c r="Q176" s="792"/>
    </row>
    <row r="177" spans="1:31" ht="12" customHeight="1">
      <c r="B177" s="168" t="s">
        <v>1857</v>
      </c>
      <c r="C177" s="173" t="s">
        <v>2537</v>
      </c>
      <c r="D177" s="173"/>
      <c r="E177" s="173"/>
      <c r="F177" s="173"/>
      <c r="G177" s="173"/>
      <c r="H177" s="173"/>
      <c r="I177" s="173"/>
      <c r="J177" s="173"/>
      <c r="K177" s="173"/>
      <c r="L177" s="173"/>
      <c r="M177" s="173"/>
      <c r="O177" s="192" t="s">
        <v>1857</v>
      </c>
      <c r="P177" s="2205" t="s">
        <v>3702</v>
      </c>
      <c r="Q177" s="792"/>
    </row>
    <row r="178" spans="1:31" ht="12" customHeight="1">
      <c r="B178" s="167" t="s">
        <v>1996</v>
      </c>
      <c r="D178" s="167"/>
      <c r="E178" s="167"/>
      <c r="F178" s="167"/>
      <c r="G178" s="167"/>
      <c r="H178" s="48"/>
      <c r="I178" s="1175"/>
      <c r="J178" s="1175"/>
      <c r="K178" s="1175"/>
      <c r="L178" s="1157"/>
      <c r="M178" s="1157"/>
      <c r="N178" s="1157"/>
      <c r="O178" s="1157"/>
      <c r="P178" s="1157"/>
      <c r="Q178" s="60"/>
    </row>
    <row r="179" spans="1:31" ht="23.25" customHeight="1">
      <c r="A179" s="2209" t="s">
        <v>3812</v>
      </c>
      <c r="B179" s="2210"/>
      <c r="C179" s="2210"/>
      <c r="D179" s="2210"/>
      <c r="E179" s="2210"/>
      <c r="F179" s="2210"/>
      <c r="G179" s="2210"/>
      <c r="H179" s="2210"/>
      <c r="I179" s="2210"/>
      <c r="J179" s="2210"/>
      <c r="K179" s="2210"/>
      <c r="L179" s="2210"/>
      <c r="M179" s="2210"/>
      <c r="N179" s="2210"/>
      <c r="O179" s="2210"/>
      <c r="P179" s="2210"/>
      <c r="Q179" s="2211"/>
      <c r="U179" s="162"/>
      <c r="V179" s="162"/>
      <c r="W179" s="162"/>
      <c r="X179" s="162"/>
      <c r="Y179" s="162"/>
      <c r="Z179" s="162"/>
      <c r="AA179" s="162"/>
      <c r="AB179" s="162"/>
      <c r="AC179" s="162"/>
      <c r="AD179" s="162"/>
      <c r="AE179" s="594"/>
    </row>
    <row r="180" spans="1:31" ht="12" customHeight="1">
      <c r="B180" s="163" t="s">
        <v>1997</v>
      </c>
      <c r="C180" s="164"/>
      <c r="D180" s="1162"/>
      <c r="E180" s="1162"/>
      <c r="F180" s="1162"/>
      <c r="G180" s="1162"/>
      <c r="H180" s="1162"/>
      <c r="I180" s="1162"/>
      <c r="J180" s="1162"/>
      <c r="K180" s="1162"/>
      <c r="L180" s="1162"/>
      <c r="M180" s="1162"/>
      <c r="N180" s="1162"/>
      <c r="O180" s="1162"/>
      <c r="P180" s="1162"/>
      <c r="Q180" s="1162"/>
    </row>
    <row r="181" spans="1:31" ht="11.45" customHeight="1">
      <c r="A181" s="1416"/>
      <c r="B181" s="1417"/>
      <c r="C181" s="1417"/>
      <c r="D181" s="1417"/>
      <c r="E181" s="1417"/>
      <c r="F181" s="1417"/>
      <c r="G181" s="1417"/>
      <c r="H181" s="1417"/>
      <c r="I181" s="1417"/>
      <c r="J181" s="1417"/>
      <c r="K181" s="1417"/>
      <c r="L181" s="1417"/>
      <c r="M181" s="1417"/>
      <c r="N181" s="1417"/>
      <c r="O181" s="1417"/>
      <c r="P181" s="1417"/>
      <c r="Q181" s="1418"/>
    </row>
    <row r="182" spans="1:31" ht="3" customHeight="1">
      <c r="A182" s="1157"/>
      <c r="B182" s="1175"/>
      <c r="C182" s="1162"/>
      <c r="D182" s="1162"/>
      <c r="E182" s="1162"/>
      <c r="F182" s="1162"/>
      <c r="G182" s="1162"/>
      <c r="H182" s="1162"/>
      <c r="I182" s="1162"/>
      <c r="J182" s="1162"/>
      <c r="K182" s="1162"/>
      <c r="L182" s="1162"/>
      <c r="M182" s="1162"/>
      <c r="N182" s="1162"/>
      <c r="O182" s="1162"/>
      <c r="P182" s="1162"/>
      <c r="Q182" s="1157"/>
    </row>
    <row r="183" spans="1:31" ht="13.9" customHeight="1">
      <c r="A183" s="1166">
        <v>11</v>
      </c>
      <c r="B183" s="1166" t="s">
        <v>2858</v>
      </c>
      <c r="C183" s="1166"/>
      <c r="D183" s="1162"/>
      <c r="E183" s="174"/>
      <c r="F183" s="174"/>
      <c r="G183" s="1162"/>
      <c r="J183" s="555"/>
      <c r="K183" s="640"/>
      <c r="L183" s="640"/>
      <c r="M183" s="640"/>
      <c r="N183" s="640"/>
      <c r="O183" s="157" t="s">
        <v>1998</v>
      </c>
      <c r="P183" s="1414"/>
      <c r="Q183" s="1415"/>
    </row>
    <row r="184" spans="1:31" ht="12" customHeight="1">
      <c r="A184" s="165"/>
      <c r="B184" s="55" t="s">
        <v>2119</v>
      </c>
      <c r="C184" s="1412" t="s">
        <v>100</v>
      </c>
      <c r="D184" s="1412"/>
      <c r="E184" s="1412"/>
      <c r="F184" s="1412"/>
      <c r="G184" s="1412"/>
      <c r="H184" s="78" t="s">
        <v>1859</v>
      </c>
      <c r="I184" s="62" t="s">
        <v>158</v>
      </c>
      <c r="K184" s="2233" t="s">
        <v>1972</v>
      </c>
      <c r="L184" s="2234"/>
      <c r="M184" s="2234"/>
      <c r="N184" s="2235"/>
      <c r="O184" s="78" t="s">
        <v>1859</v>
      </c>
      <c r="P184" s="2205" t="s">
        <v>3703</v>
      </c>
      <c r="Q184" s="792"/>
    </row>
    <row r="185" spans="1:31" ht="12" customHeight="1">
      <c r="A185" s="165"/>
      <c r="B185" s="1175"/>
      <c r="C185" s="121"/>
      <c r="D185" s="121"/>
      <c r="E185" s="121"/>
      <c r="F185" s="121"/>
      <c r="H185" s="78" t="s">
        <v>1860</v>
      </c>
      <c r="I185" s="62" t="s">
        <v>1704</v>
      </c>
      <c r="K185" s="2239" t="s">
        <v>3765</v>
      </c>
      <c r="L185" s="2240"/>
      <c r="M185" s="2240"/>
      <c r="N185" s="2241"/>
      <c r="O185" s="78" t="s">
        <v>1860</v>
      </c>
      <c r="P185" s="2205" t="s">
        <v>3702</v>
      </c>
      <c r="Q185" s="792"/>
    </row>
    <row r="186" spans="1:31" ht="12" customHeight="1">
      <c r="B186" s="167" t="s">
        <v>1996</v>
      </c>
      <c r="D186" s="167"/>
      <c r="E186" s="167"/>
      <c r="F186" s="167"/>
      <c r="G186" s="167"/>
      <c r="J186" s="1175"/>
      <c r="K186" s="1175"/>
      <c r="L186" s="1157"/>
      <c r="M186" s="1157"/>
      <c r="N186" s="1157"/>
      <c r="O186" s="1157"/>
      <c r="P186" s="1157"/>
      <c r="Q186" s="60"/>
    </row>
    <row r="187" spans="1:31" ht="11.45" customHeight="1">
      <c r="A187" s="2209" t="s">
        <v>3813</v>
      </c>
      <c r="B187" s="2210"/>
      <c r="C187" s="2210"/>
      <c r="D187" s="2210"/>
      <c r="E187" s="2210"/>
      <c r="F187" s="2210"/>
      <c r="G187" s="2210"/>
      <c r="H187" s="2210"/>
      <c r="I187" s="2210"/>
      <c r="J187" s="2210"/>
      <c r="K187" s="2210"/>
      <c r="L187" s="2210"/>
      <c r="M187" s="2210"/>
      <c r="N187" s="2210"/>
      <c r="O187" s="2210"/>
      <c r="P187" s="2210"/>
      <c r="Q187" s="2211"/>
      <c r="U187" s="162"/>
      <c r="V187" s="162"/>
      <c r="W187" s="162"/>
      <c r="X187" s="162"/>
      <c r="Y187" s="162"/>
      <c r="Z187" s="162"/>
      <c r="AA187" s="162"/>
      <c r="AB187" s="162"/>
      <c r="AC187" s="162"/>
      <c r="AD187" s="162"/>
      <c r="AE187" s="594"/>
    </row>
    <row r="188" spans="1:31" ht="12" customHeight="1">
      <c r="B188" s="163" t="s">
        <v>1997</v>
      </c>
      <c r="C188" s="164"/>
      <c r="D188" s="1162"/>
      <c r="E188" s="1162"/>
      <c r="F188" s="1162"/>
      <c r="G188" s="1162"/>
      <c r="H188" s="1162"/>
      <c r="I188" s="1162"/>
      <c r="J188" s="1162"/>
      <c r="K188" s="1162"/>
      <c r="L188" s="1162"/>
      <c r="M188" s="1162"/>
      <c r="N188" s="1162"/>
      <c r="O188" s="1162"/>
      <c r="P188" s="1162"/>
      <c r="Q188" s="1162"/>
    </row>
    <row r="189" spans="1:31" ht="11.45" customHeight="1">
      <c r="A189" s="1416"/>
      <c r="B189" s="1417"/>
      <c r="C189" s="1417"/>
      <c r="D189" s="1417"/>
      <c r="E189" s="1417"/>
      <c r="F189" s="1417"/>
      <c r="G189" s="1417"/>
      <c r="H189" s="1417"/>
      <c r="I189" s="1417"/>
      <c r="J189" s="1417"/>
      <c r="K189" s="1417"/>
      <c r="L189" s="1417"/>
      <c r="M189" s="1417"/>
      <c r="N189" s="1417"/>
      <c r="O189" s="1417"/>
      <c r="P189" s="1417"/>
      <c r="Q189" s="1418"/>
    </row>
    <row r="190" spans="1:31" ht="4.1500000000000004" customHeight="1">
      <c r="B190" s="1175"/>
      <c r="C190" s="1162"/>
      <c r="D190" s="1162"/>
      <c r="E190" s="1162"/>
      <c r="F190" s="1162"/>
      <c r="G190" s="1162"/>
      <c r="H190" s="1162"/>
      <c r="I190" s="1162"/>
      <c r="J190" s="1162"/>
      <c r="K190" s="1162"/>
      <c r="L190" s="1162"/>
      <c r="M190" s="1162"/>
      <c r="Q190" s="60"/>
    </row>
    <row r="191" spans="1:31" ht="13.9" customHeight="1">
      <c r="A191" s="1166">
        <v>12</v>
      </c>
      <c r="B191" s="5" t="s">
        <v>2859</v>
      </c>
      <c r="C191" s="5"/>
      <c r="D191" s="101"/>
      <c r="E191" s="101"/>
      <c r="F191" s="101"/>
      <c r="G191" s="1162"/>
      <c r="H191" s="1162"/>
      <c r="I191" s="1162"/>
      <c r="J191" s="1162"/>
      <c r="K191" s="1162"/>
      <c r="L191" s="1162"/>
      <c r="M191" s="1162"/>
      <c r="O191" s="157" t="s">
        <v>1998</v>
      </c>
      <c r="P191" s="1414"/>
      <c r="Q191" s="1415"/>
    </row>
    <row r="192" spans="1:31" ht="4.1500000000000004" customHeight="1"/>
    <row r="193" spans="1:31" ht="11.45" customHeight="1">
      <c r="B193" s="168" t="s">
        <v>2119</v>
      </c>
      <c r="C193" s="718" t="s">
        <v>1859</v>
      </c>
      <c r="D193" s="497" t="s">
        <v>547</v>
      </c>
      <c r="E193" s="497"/>
      <c r="F193" s="497"/>
      <c r="G193" s="497"/>
      <c r="H193" s="497"/>
      <c r="I193" s="497"/>
      <c r="J193" s="497"/>
      <c r="K193" s="497"/>
      <c r="L193" s="497"/>
      <c r="M193" s="497"/>
      <c r="N193" s="497"/>
      <c r="O193" s="192" t="s">
        <v>1588</v>
      </c>
      <c r="P193" s="2205"/>
      <c r="Q193" s="792"/>
    </row>
    <row r="194" spans="1:31" ht="11.45" customHeight="1">
      <c r="B194" s="168"/>
      <c r="C194" s="718" t="s">
        <v>1860</v>
      </c>
      <c r="D194" s="497" t="s">
        <v>1565</v>
      </c>
      <c r="E194" s="497"/>
      <c r="F194" s="497"/>
      <c r="G194" s="497"/>
      <c r="H194" s="497"/>
      <c r="I194" s="497"/>
      <c r="J194" s="497"/>
      <c r="K194" s="497"/>
      <c r="L194" s="497"/>
      <c r="M194" s="497"/>
      <c r="N194" s="497"/>
      <c r="O194" s="192" t="s">
        <v>1860</v>
      </c>
      <c r="P194" s="2205"/>
      <c r="Q194" s="792"/>
    </row>
    <row r="195" spans="1:31" ht="11.45" customHeight="1">
      <c r="A195" s="165"/>
      <c r="B195" s="168" t="s">
        <v>2122</v>
      </c>
      <c r="C195" s="1412" t="s">
        <v>1979</v>
      </c>
      <c r="D195" s="1412"/>
      <c r="E195" s="1412"/>
      <c r="F195" s="1412"/>
      <c r="G195" s="1412"/>
      <c r="H195" s="78" t="s">
        <v>1859</v>
      </c>
      <c r="I195" s="62" t="s">
        <v>676</v>
      </c>
      <c r="K195" s="2233" t="s">
        <v>3766</v>
      </c>
      <c r="L195" s="2234"/>
      <c r="M195" s="2234"/>
      <c r="N195" s="2235"/>
      <c r="O195" s="78" t="s">
        <v>1542</v>
      </c>
      <c r="P195" s="2205" t="s">
        <v>3702</v>
      </c>
      <c r="Q195" s="792"/>
    </row>
    <row r="196" spans="1:31" ht="11.45" customHeight="1">
      <c r="A196" s="165"/>
      <c r="B196" s="1172"/>
      <c r="C196" s="1412"/>
      <c r="D196" s="1412"/>
      <c r="E196" s="1412"/>
      <c r="F196" s="1412"/>
      <c r="G196" s="1412"/>
      <c r="H196" s="78" t="s">
        <v>1860</v>
      </c>
      <c r="I196" s="62" t="s">
        <v>119</v>
      </c>
      <c r="K196" s="2239" t="s">
        <v>3766</v>
      </c>
      <c r="L196" s="2240"/>
      <c r="M196" s="2240"/>
      <c r="N196" s="2241"/>
      <c r="O196" s="78" t="s">
        <v>1860</v>
      </c>
      <c r="P196" s="2205" t="s">
        <v>3702</v>
      </c>
      <c r="Q196" s="792"/>
    </row>
    <row r="197" spans="1:31" ht="11.25" customHeight="1">
      <c r="B197" s="167" t="s">
        <v>1996</v>
      </c>
      <c r="D197" s="167"/>
      <c r="E197" s="167"/>
      <c r="F197" s="167"/>
      <c r="G197" s="167"/>
      <c r="H197" s="48"/>
      <c r="I197" s="1175"/>
      <c r="J197" s="1175"/>
      <c r="K197" s="1175"/>
      <c r="L197" s="1157"/>
      <c r="M197" s="1157"/>
      <c r="N197" s="1157"/>
      <c r="O197" s="1157"/>
      <c r="P197" s="1157"/>
      <c r="Q197" s="60"/>
    </row>
    <row r="198" spans="1:31" ht="11.45" customHeight="1">
      <c r="A198" s="2209"/>
      <c r="B198" s="2210"/>
      <c r="C198" s="2210"/>
      <c r="D198" s="2210"/>
      <c r="E198" s="2210"/>
      <c r="F198" s="2210"/>
      <c r="G198" s="2210"/>
      <c r="H198" s="2210"/>
      <c r="I198" s="2210"/>
      <c r="J198" s="2210"/>
      <c r="K198" s="2210"/>
      <c r="L198" s="2210"/>
      <c r="M198" s="2210"/>
      <c r="N198" s="2210"/>
      <c r="O198" s="2210"/>
      <c r="P198" s="2210"/>
      <c r="Q198" s="2211"/>
      <c r="U198" s="162"/>
      <c r="V198" s="162"/>
      <c r="W198" s="162"/>
      <c r="X198" s="162"/>
      <c r="Y198" s="162"/>
      <c r="Z198" s="162"/>
      <c r="AA198" s="162"/>
      <c r="AB198" s="162"/>
      <c r="AC198" s="162"/>
      <c r="AD198" s="162"/>
      <c r="AE198" s="594"/>
    </row>
    <row r="199" spans="1:31" ht="11.25" customHeight="1">
      <c r="B199" s="163" t="s">
        <v>1997</v>
      </c>
      <c r="C199" s="164"/>
      <c r="D199" s="1162"/>
      <c r="E199" s="1162"/>
      <c r="F199" s="1162"/>
      <c r="G199" s="1162"/>
      <c r="H199" s="1162"/>
      <c r="I199" s="1162"/>
      <c r="J199" s="1162"/>
      <c r="K199" s="1162"/>
      <c r="L199" s="1162"/>
      <c r="M199" s="1162"/>
      <c r="N199" s="1162"/>
      <c r="O199" s="1162"/>
      <c r="P199" s="1162"/>
      <c r="Q199" s="1162"/>
    </row>
    <row r="200" spans="1:31" ht="11.45" customHeight="1">
      <c r="A200" s="1416"/>
      <c r="B200" s="1417"/>
      <c r="C200" s="1417"/>
      <c r="D200" s="1417"/>
      <c r="E200" s="1417"/>
      <c r="F200" s="1417"/>
      <c r="G200" s="1417"/>
      <c r="H200" s="1417"/>
      <c r="I200" s="1417"/>
      <c r="J200" s="1417"/>
      <c r="K200" s="1417"/>
      <c r="L200" s="1417"/>
      <c r="M200" s="1417"/>
      <c r="N200" s="1417"/>
      <c r="O200" s="1417"/>
      <c r="P200" s="1417"/>
      <c r="Q200" s="1418"/>
    </row>
    <row r="201" spans="1:31" ht="3" customHeight="1">
      <c r="A201" s="1157"/>
      <c r="B201" s="1175"/>
      <c r="C201" s="1162"/>
      <c r="D201" s="1162"/>
      <c r="E201" s="1162"/>
      <c r="F201" s="1162"/>
      <c r="G201" s="1162"/>
      <c r="H201" s="1162"/>
      <c r="I201" s="1162"/>
      <c r="J201" s="1162"/>
      <c r="K201" s="1162"/>
      <c r="L201" s="1162"/>
      <c r="M201" s="1162"/>
      <c r="Q201" s="1157"/>
    </row>
    <row r="202" spans="1:31" ht="13.9" customHeight="1">
      <c r="A202" s="1166">
        <v>13</v>
      </c>
      <c r="B202" s="5" t="s">
        <v>2860</v>
      </c>
      <c r="C202" s="5"/>
      <c r="D202" s="101"/>
      <c r="E202" s="101"/>
      <c r="F202" s="101"/>
      <c r="G202" s="101"/>
      <c r="H202" s="1162"/>
      <c r="I202" s="1162"/>
      <c r="J202" s="1162"/>
      <c r="K202" s="1162"/>
      <c r="L202" s="1162"/>
      <c r="M202" s="1162"/>
      <c r="O202" s="157" t="s">
        <v>1998</v>
      </c>
      <c r="P202" s="1414"/>
      <c r="Q202" s="1415"/>
    </row>
    <row r="203" spans="1:31" ht="10.9" customHeight="1">
      <c r="B203" s="171" t="s">
        <v>150</v>
      </c>
    </row>
    <row r="204" spans="1:31" ht="11.45" customHeight="1">
      <c r="B204" s="55" t="s">
        <v>2119</v>
      </c>
      <c r="C204" s="62" t="s">
        <v>3268</v>
      </c>
      <c r="D204" s="50"/>
      <c r="E204" s="62"/>
      <c r="F204" s="62"/>
      <c r="G204" s="62"/>
      <c r="H204" s="62"/>
      <c r="I204" s="50"/>
      <c r="J204" s="50"/>
      <c r="K204" s="50"/>
      <c r="L204" s="173"/>
      <c r="M204" s="173"/>
      <c r="O204" s="192" t="s">
        <v>2119</v>
      </c>
      <c r="P204" s="2205" t="s">
        <v>3702</v>
      </c>
      <c r="Q204" s="792"/>
    </row>
    <row r="205" spans="1:31" ht="11.45" customHeight="1">
      <c r="B205" s="55"/>
      <c r="C205" s="62"/>
      <c r="D205" s="44" t="s">
        <v>3580</v>
      </c>
      <c r="E205" s="62"/>
      <c r="F205" s="62"/>
      <c r="G205" s="2276" t="s">
        <v>3794</v>
      </c>
      <c r="H205" s="62"/>
      <c r="I205" s="44" t="s">
        <v>3581</v>
      </c>
      <c r="J205" s="50"/>
      <c r="K205" s="2276">
        <v>41596</v>
      </c>
      <c r="M205" s="173"/>
    </row>
    <row r="206" spans="1:31" ht="11.45" customHeight="1">
      <c r="B206" s="55"/>
      <c r="C206" s="62"/>
      <c r="D206" s="65" t="s">
        <v>3582</v>
      </c>
      <c r="E206" s="62"/>
      <c r="F206" s="62"/>
      <c r="G206" s="2255" t="s">
        <v>3795</v>
      </c>
      <c r="H206" s="2256"/>
      <c r="I206" s="2256"/>
      <c r="J206" s="2256"/>
      <c r="K206" s="2271"/>
      <c r="L206" s="62"/>
      <c r="M206" s="62"/>
      <c r="N206" s="62"/>
      <c r="O206" s="62"/>
      <c r="P206" s="62"/>
    </row>
    <row r="207" spans="1:31" ht="11.45" customHeight="1">
      <c r="B207" s="55" t="s">
        <v>2122</v>
      </c>
      <c r="C207" s="62" t="s">
        <v>3269</v>
      </c>
      <c r="D207" s="62"/>
      <c r="E207" s="62"/>
      <c r="F207" s="62"/>
      <c r="G207" s="62"/>
      <c r="H207" s="62"/>
      <c r="I207" s="50"/>
      <c r="J207" s="50"/>
      <c r="K207" s="50"/>
      <c r="L207" s="166"/>
      <c r="M207" s="166"/>
      <c r="O207" s="192" t="s">
        <v>2122</v>
      </c>
      <c r="P207" s="2205" t="s">
        <v>3702</v>
      </c>
      <c r="Q207" s="792"/>
    </row>
    <row r="208" spans="1:31" ht="11.45" customHeight="1">
      <c r="B208" s="55" t="s">
        <v>799</v>
      </c>
      <c r="C208" s="62" t="s">
        <v>3270</v>
      </c>
      <c r="D208" s="62"/>
      <c r="E208" s="62"/>
      <c r="F208" s="62"/>
      <c r="G208" s="62"/>
      <c r="H208" s="62"/>
      <c r="I208" s="50"/>
      <c r="J208" s="50"/>
      <c r="K208" s="50"/>
      <c r="L208" s="166"/>
      <c r="M208" s="166"/>
      <c r="O208" s="192" t="s">
        <v>799</v>
      </c>
      <c r="P208" s="2205" t="s">
        <v>3702</v>
      </c>
      <c r="Q208" s="792"/>
    </row>
    <row r="209" spans="1:32" s="175" customFormat="1" ht="11.45" customHeight="1">
      <c r="B209" s="55" t="s">
        <v>2254</v>
      </c>
      <c r="C209" s="62" t="s">
        <v>3577</v>
      </c>
      <c r="D209" s="62"/>
      <c r="E209" s="62"/>
      <c r="F209" s="62"/>
      <c r="G209" s="62"/>
      <c r="H209" s="62"/>
      <c r="I209" s="111"/>
      <c r="J209" s="111"/>
      <c r="K209" s="111"/>
      <c r="L209" s="173"/>
      <c r="M209" s="173"/>
      <c r="N209" s="43"/>
      <c r="O209" s="592" t="s">
        <v>2254</v>
      </c>
      <c r="P209" s="2205" t="s">
        <v>3702</v>
      </c>
      <c r="Q209" s="792"/>
      <c r="AE209" s="596"/>
      <c r="AF209" s="596"/>
    </row>
    <row r="210" spans="1:32" s="175" customFormat="1" ht="11.45" customHeight="1">
      <c r="B210" s="55" t="s">
        <v>1857</v>
      </c>
      <c r="C210" s="62" t="s">
        <v>151</v>
      </c>
      <c r="D210" s="62"/>
      <c r="E210" s="62"/>
      <c r="F210" s="62"/>
      <c r="G210" s="62"/>
      <c r="H210" s="62"/>
      <c r="I210" s="111"/>
      <c r="J210" s="111"/>
      <c r="K210" s="111"/>
      <c r="L210" s="111"/>
      <c r="M210" s="111"/>
      <c r="O210" s="592" t="s">
        <v>1857</v>
      </c>
      <c r="P210" s="2205" t="s">
        <v>3702</v>
      </c>
      <c r="Q210" s="792"/>
      <c r="AE210" s="596"/>
      <c r="AF210" s="596"/>
    </row>
    <row r="211" spans="1:32" ht="11.25" customHeight="1">
      <c r="B211" s="167" t="s">
        <v>1996</v>
      </c>
      <c r="D211" s="167"/>
      <c r="E211" s="167"/>
      <c r="F211" s="167"/>
      <c r="G211" s="167"/>
      <c r="H211" s="48"/>
      <c r="I211" s="1175"/>
      <c r="J211" s="1175"/>
      <c r="K211" s="1175"/>
      <c r="L211" s="1157"/>
      <c r="M211" s="1157"/>
      <c r="N211" s="1157"/>
      <c r="O211" s="1157"/>
      <c r="P211" s="1157"/>
      <c r="Q211" s="60"/>
    </row>
    <row r="212" spans="1:32" ht="101.25" customHeight="1">
      <c r="A212" s="2209" t="s">
        <v>3814</v>
      </c>
      <c r="B212" s="2210"/>
      <c r="C212" s="2210"/>
      <c r="D212" s="2210"/>
      <c r="E212" s="2210"/>
      <c r="F212" s="2210"/>
      <c r="G212" s="2210"/>
      <c r="H212" s="2210"/>
      <c r="I212" s="2210"/>
      <c r="J212" s="2210"/>
      <c r="K212" s="2210"/>
      <c r="L212" s="2210"/>
      <c r="M212" s="2210"/>
      <c r="N212" s="2210"/>
      <c r="O212" s="2210"/>
      <c r="P212" s="2210"/>
      <c r="Q212" s="2211"/>
      <c r="R212" s="562" t="s">
        <v>1332</v>
      </c>
      <c r="S212" s="562"/>
      <c r="U212" s="162"/>
      <c r="V212" s="162"/>
      <c r="W212" s="162"/>
      <c r="X212" s="162"/>
      <c r="Y212" s="162"/>
      <c r="Z212" s="162"/>
      <c r="AA212" s="162"/>
      <c r="AB212" s="162"/>
      <c r="AC212" s="162"/>
      <c r="AD212" s="162"/>
      <c r="AE212" s="594"/>
    </row>
    <row r="213" spans="1:32" s="31" customFormat="1" ht="3" customHeight="1">
      <c r="C213" s="137"/>
      <c r="D213" s="137"/>
      <c r="R213" s="562"/>
      <c r="S213" s="562"/>
      <c r="AE213" s="137"/>
      <c r="AF213" s="137"/>
    </row>
    <row r="214" spans="1:32" ht="11.25" customHeight="1">
      <c r="B214" s="163" t="s">
        <v>1997</v>
      </c>
      <c r="C214" s="164"/>
      <c r="D214" s="1162"/>
      <c r="E214" s="1162"/>
      <c r="F214" s="1162"/>
      <c r="G214" s="1162"/>
      <c r="H214" s="1162"/>
      <c r="I214" s="1162"/>
      <c r="J214" s="1162"/>
      <c r="K214" s="1162"/>
      <c r="L214" s="1162"/>
      <c r="M214" s="1162"/>
      <c r="N214" s="1162"/>
      <c r="O214" s="1162"/>
      <c r="P214" s="1162"/>
      <c r="Q214" s="1162"/>
    </row>
    <row r="215" spans="1:32" ht="13.15" customHeight="1">
      <c r="A215" s="1416"/>
      <c r="B215" s="1417"/>
      <c r="C215" s="1417"/>
      <c r="D215" s="1417"/>
      <c r="E215" s="1417"/>
      <c r="F215" s="1417"/>
      <c r="G215" s="1417"/>
      <c r="H215" s="1417"/>
      <c r="I215" s="1417"/>
      <c r="J215" s="1417"/>
      <c r="K215" s="1417"/>
      <c r="L215" s="1417"/>
      <c r="M215" s="1417"/>
      <c r="N215" s="1417"/>
      <c r="O215" s="1417"/>
      <c r="P215" s="1417"/>
      <c r="Q215" s="1418"/>
    </row>
    <row r="216" spans="1:32" ht="3" customHeight="1">
      <c r="A216" s="1157"/>
      <c r="B216" s="1175"/>
      <c r="C216" s="1162"/>
      <c r="D216" s="1162"/>
      <c r="E216" s="1162"/>
      <c r="F216" s="1162"/>
      <c r="G216" s="1162"/>
      <c r="H216" s="1162"/>
      <c r="I216" s="1162"/>
      <c r="J216" s="1162"/>
      <c r="K216" s="1162"/>
      <c r="L216" s="1162"/>
      <c r="M216" s="1162"/>
      <c r="Q216" s="1157"/>
    </row>
    <row r="217" spans="1:32" ht="13.9" customHeight="1">
      <c r="A217" s="1166">
        <v>14</v>
      </c>
      <c r="B217" s="1166" t="s">
        <v>2861</v>
      </c>
      <c r="C217" s="132"/>
      <c r="D217" s="1162"/>
      <c r="E217" s="1162"/>
      <c r="F217" s="1162"/>
      <c r="G217" s="1162"/>
      <c r="H217" s="1162"/>
      <c r="I217" s="1162"/>
      <c r="J217" s="1162"/>
      <c r="K217" s="1162"/>
      <c r="L217" s="1162"/>
      <c r="M217" s="1162"/>
      <c r="O217" s="157" t="s">
        <v>1998</v>
      </c>
      <c r="P217" s="1414"/>
      <c r="Q217" s="1415"/>
    </row>
    <row r="218" spans="1:32" s="31" customFormat="1" ht="11.45" customHeight="1">
      <c r="B218" s="171" t="s">
        <v>1264</v>
      </c>
      <c r="N218" s="143"/>
      <c r="P218" s="2205" t="s">
        <v>3702</v>
      </c>
      <c r="Q218" s="792"/>
      <c r="AE218" s="137"/>
      <c r="AF218" s="137"/>
    </row>
    <row r="219" spans="1:32" ht="12" customHeight="1">
      <c r="B219" s="55" t="s">
        <v>2119</v>
      </c>
      <c r="C219" s="101" t="s">
        <v>1468</v>
      </c>
      <c r="D219" s="50"/>
      <c r="E219" s="50"/>
      <c r="F219" s="50"/>
      <c r="G219" s="50"/>
      <c r="H219" s="50"/>
      <c r="I219" s="50"/>
      <c r="J219" s="50"/>
      <c r="K219" s="50"/>
      <c r="L219" s="50"/>
      <c r="M219" s="50"/>
    </row>
    <row r="220" spans="1:32" ht="11.45" customHeight="1">
      <c r="B220" s="55"/>
      <c r="C220" s="78" t="s">
        <v>1859</v>
      </c>
      <c r="D220" s="62" t="s">
        <v>2066</v>
      </c>
      <c r="E220" s="62"/>
      <c r="F220" s="62"/>
      <c r="G220" s="62"/>
      <c r="H220" s="62"/>
      <c r="I220" s="50"/>
      <c r="K220" s="78" t="s">
        <v>1588</v>
      </c>
      <c r="L220" s="2255" t="s">
        <v>3767</v>
      </c>
      <c r="M220" s="2271"/>
      <c r="Q220" s="792"/>
    </row>
    <row r="221" spans="1:32" ht="11.45" customHeight="1">
      <c r="B221" s="55"/>
      <c r="C221" s="78" t="s">
        <v>1860</v>
      </c>
      <c r="D221" s="38" t="s">
        <v>2979</v>
      </c>
      <c r="E221" s="38"/>
      <c r="F221" s="38"/>
      <c r="G221" s="38"/>
      <c r="H221" s="38"/>
      <c r="I221" s="50"/>
      <c r="K221" s="78" t="s">
        <v>1589</v>
      </c>
      <c r="L221" s="2277" t="s">
        <v>3768</v>
      </c>
      <c r="M221" s="2278"/>
      <c r="N221" s="2279" t="s">
        <v>2980</v>
      </c>
      <c r="O221" s="2280"/>
      <c r="P221" s="2281"/>
      <c r="Q221" s="792"/>
    </row>
    <row r="222" spans="1:32" ht="11.45" customHeight="1">
      <c r="B222" s="55"/>
      <c r="C222" s="78" t="s">
        <v>1861</v>
      </c>
      <c r="D222" s="38" t="s">
        <v>591</v>
      </c>
      <c r="E222" s="38"/>
      <c r="F222" s="38"/>
      <c r="G222" s="38"/>
      <c r="H222" s="38"/>
      <c r="I222" s="50"/>
      <c r="K222" s="78" t="s">
        <v>1590</v>
      </c>
      <c r="L222" s="2255" t="s">
        <v>3769</v>
      </c>
      <c r="M222" s="2256"/>
      <c r="N222" s="2282"/>
      <c r="Q222" s="792"/>
      <c r="R222" s="50"/>
    </row>
    <row r="223" spans="1:32" ht="3" customHeight="1">
      <c r="B223" s="55"/>
      <c r="C223" s="78"/>
      <c r="D223" s="62"/>
      <c r="E223" s="62"/>
      <c r="F223" s="62"/>
      <c r="G223" s="62"/>
      <c r="H223" s="62"/>
      <c r="I223" s="50"/>
      <c r="J223" s="40"/>
      <c r="K223" s="50"/>
      <c r="L223" s="40"/>
      <c r="M223" s="40"/>
    </row>
    <row r="224" spans="1:32" ht="12" customHeight="1">
      <c r="B224" s="55" t="s">
        <v>2122</v>
      </c>
      <c r="C224" s="261" t="s">
        <v>2682</v>
      </c>
      <c r="D224" s="62"/>
      <c r="E224" s="62"/>
      <c r="F224" s="62"/>
      <c r="G224" s="62"/>
      <c r="H224" s="62"/>
      <c r="I224" s="62"/>
      <c r="J224" s="62"/>
      <c r="K224" s="50"/>
      <c r="L224" s="50"/>
      <c r="M224" s="50"/>
      <c r="N224" s="50"/>
      <c r="O224" s="592" t="s">
        <v>2122</v>
      </c>
      <c r="P224" s="2205" t="s">
        <v>3758</v>
      </c>
      <c r="Q224" s="792"/>
    </row>
    <row r="225" spans="1:32" ht="10.9" customHeight="1">
      <c r="B225" s="55"/>
      <c r="C225" s="62" t="s">
        <v>2681</v>
      </c>
      <c r="D225" s="62"/>
      <c r="E225" s="62"/>
      <c r="F225" s="62"/>
      <c r="G225" s="62"/>
      <c r="H225" s="62"/>
      <c r="I225" s="62"/>
      <c r="J225" s="62"/>
      <c r="K225" s="50"/>
      <c r="L225" s="50"/>
      <c r="M225" s="50"/>
      <c r="N225" s="50"/>
      <c r="O225" s="50"/>
      <c r="P225" s="1413" t="s">
        <v>3</v>
      </c>
      <c r="Q225" s="1413"/>
    </row>
    <row r="226" spans="1:32" ht="10.9" customHeight="1">
      <c r="B226" s="55"/>
      <c r="D226" s="62" t="s">
        <v>2</v>
      </c>
      <c r="E226" s="62"/>
      <c r="F226" s="62"/>
      <c r="G226" s="62"/>
      <c r="I226" s="359" t="s">
        <v>825</v>
      </c>
      <c r="J226" s="360" t="s">
        <v>826</v>
      </c>
      <c r="L226" s="62" t="s">
        <v>2981</v>
      </c>
      <c r="M226" s="50"/>
      <c r="N226" s="50"/>
      <c r="O226" s="359"/>
      <c r="P226" s="361" t="s">
        <v>825</v>
      </c>
      <c r="Q226" s="360" t="s">
        <v>826</v>
      </c>
    </row>
    <row r="227" spans="1:32" s="51" customFormat="1" ht="11.45" customHeight="1">
      <c r="A227" s="111"/>
      <c r="B227" s="61"/>
      <c r="C227" s="78" t="s">
        <v>1859</v>
      </c>
      <c r="D227" s="2283" t="s">
        <v>3770</v>
      </c>
      <c r="E227" s="2284"/>
      <c r="F227" s="2284"/>
      <c r="G227" s="2284"/>
      <c r="H227" s="2285"/>
      <c r="I227" s="815"/>
      <c r="J227" s="816"/>
      <c r="K227" s="78" t="s">
        <v>1861</v>
      </c>
      <c r="L227" s="2283" t="s">
        <v>1771</v>
      </c>
      <c r="M227" s="2284"/>
      <c r="N227" s="2284"/>
      <c r="O227" s="2285"/>
      <c r="P227" s="795"/>
      <c r="Q227" s="816"/>
      <c r="AE227" s="64"/>
      <c r="AF227" s="64"/>
    </row>
    <row r="228" spans="1:32" s="51" customFormat="1" ht="11.45" customHeight="1">
      <c r="A228" s="111"/>
      <c r="B228" s="61"/>
      <c r="C228" s="78" t="s">
        <v>1860</v>
      </c>
      <c r="D228" s="2286" t="s">
        <v>2244</v>
      </c>
      <c r="E228" s="2287"/>
      <c r="F228" s="2287"/>
      <c r="G228" s="2287"/>
      <c r="H228" s="2288"/>
      <c r="I228" s="817"/>
      <c r="J228" s="818"/>
      <c r="K228" s="78" t="s">
        <v>2521</v>
      </c>
      <c r="L228" s="2286" t="s">
        <v>3771</v>
      </c>
      <c r="M228" s="2287"/>
      <c r="N228" s="2287"/>
      <c r="O228" s="2288"/>
      <c r="P228" s="797"/>
      <c r="Q228" s="818"/>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2" t="s">
        <v>799</v>
      </c>
      <c r="P230" s="2205" t="s">
        <v>3758</v>
      </c>
      <c r="Q230" s="792"/>
    </row>
    <row r="231" spans="1:32" ht="11.45" customHeight="1">
      <c r="B231" s="55"/>
      <c r="C231" s="78" t="s">
        <v>1859</v>
      </c>
      <c r="D231" s="62" t="s">
        <v>159</v>
      </c>
      <c r="E231" s="62"/>
      <c r="F231" s="62"/>
      <c r="G231" s="62"/>
      <c r="H231" s="62"/>
      <c r="I231" s="50"/>
      <c r="J231" s="40"/>
      <c r="K231" s="50"/>
      <c r="L231" s="40"/>
      <c r="M231" s="40"/>
      <c r="O231" s="78" t="s">
        <v>1859</v>
      </c>
      <c r="P231" s="2205" t="s">
        <v>3702</v>
      </c>
      <c r="Q231" s="792"/>
    </row>
    <row r="232" spans="1:32" ht="11.45" customHeight="1">
      <c r="C232" s="78" t="s">
        <v>1860</v>
      </c>
      <c r="D232" s="38" t="s">
        <v>3271</v>
      </c>
      <c r="E232" s="38"/>
      <c r="F232" s="38"/>
      <c r="G232" s="38"/>
      <c r="H232" s="38"/>
      <c r="I232" s="50"/>
      <c r="J232" s="40"/>
      <c r="K232" s="50"/>
      <c r="L232" s="40"/>
      <c r="M232" s="40"/>
      <c r="O232" s="78" t="s">
        <v>1860</v>
      </c>
      <c r="P232" s="2205" t="s">
        <v>3702</v>
      </c>
      <c r="Q232" s="792"/>
    </row>
    <row r="233" spans="1:32" ht="11.45" customHeight="1">
      <c r="C233" s="78" t="s">
        <v>1861</v>
      </c>
      <c r="D233" s="38" t="s">
        <v>3272</v>
      </c>
      <c r="E233" s="38"/>
      <c r="F233" s="38"/>
      <c r="G233" s="38"/>
      <c r="H233" s="38"/>
      <c r="I233" s="50"/>
      <c r="J233" s="40"/>
      <c r="K233" s="50"/>
      <c r="L233" s="40"/>
      <c r="M233" s="40"/>
      <c r="O233" s="78" t="s">
        <v>1861</v>
      </c>
      <c r="P233" s="2205" t="s">
        <v>3702</v>
      </c>
      <c r="Q233" s="792"/>
    </row>
    <row r="234" spans="1:32" ht="11.45" customHeight="1">
      <c r="B234" s="55"/>
      <c r="C234" s="78" t="s">
        <v>2521</v>
      </c>
      <c r="D234" s="38" t="s">
        <v>3273</v>
      </c>
      <c r="E234" s="38"/>
      <c r="F234" s="38"/>
      <c r="G234" s="38"/>
      <c r="H234" s="38"/>
      <c r="I234" s="50"/>
      <c r="J234" s="40"/>
      <c r="K234" s="50"/>
      <c r="L234" s="40"/>
      <c r="M234" s="40"/>
      <c r="O234" s="78" t="s">
        <v>2521</v>
      </c>
      <c r="P234" s="2205" t="s">
        <v>3702</v>
      </c>
      <c r="Q234" s="792"/>
    </row>
    <row r="235" spans="1:32" ht="11.45" customHeight="1">
      <c r="B235" s="55"/>
      <c r="C235" s="78" t="s">
        <v>1657</v>
      </c>
      <c r="D235" s="38" t="s">
        <v>3274</v>
      </c>
      <c r="E235" s="38"/>
      <c r="F235" s="38"/>
      <c r="G235" s="38"/>
      <c r="H235" s="38"/>
      <c r="I235" s="50"/>
      <c r="J235" s="40"/>
      <c r="K235" s="50"/>
      <c r="L235" s="40"/>
      <c r="M235" s="40"/>
      <c r="O235" s="78" t="s">
        <v>1657</v>
      </c>
      <c r="P235" s="2205" t="s">
        <v>3702</v>
      </c>
      <c r="Q235" s="792"/>
    </row>
    <row r="236" spans="1:32" ht="11.45" customHeight="1">
      <c r="B236" s="55"/>
      <c r="C236" s="592" t="s">
        <v>1658</v>
      </c>
      <c r="D236" s="62" t="s">
        <v>827</v>
      </c>
      <c r="E236" s="62"/>
      <c r="F236" s="62"/>
      <c r="G236" s="62"/>
      <c r="H236" s="62"/>
      <c r="I236" s="50"/>
      <c r="J236" s="40"/>
      <c r="K236" s="50"/>
      <c r="L236" s="40"/>
      <c r="M236" s="40"/>
      <c r="O236" s="592" t="s">
        <v>3257</v>
      </c>
      <c r="P236" s="2205" t="s">
        <v>3702</v>
      </c>
      <c r="Q236" s="792"/>
    </row>
    <row r="237" spans="1:32" ht="11.45" customHeight="1">
      <c r="B237" s="55"/>
      <c r="C237" s="78"/>
      <c r="D237" s="62" t="s">
        <v>1591</v>
      </c>
      <c r="E237" s="62"/>
      <c r="F237" s="62"/>
      <c r="G237" s="62"/>
      <c r="H237" s="62"/>
      <c r="I237" s="50"/>
      <c r="J237" s="40"/>
      <c r="K237" s="50"/>
      <c r="L237" s="40"/>
      <c r="M237" s="40"/>
      <c r="O237" s="592" t="s">
        <v>3258</v>
      </c>
      <c r="P237" s="2205" t="s">
        <v>3703</v>
      </c>
      <c r="Q237" s="792"/>
    </row>
    <row r="238" spans="1:32" ht="3" customHeight="1">
      <c r="B238" s="55"/>
      <c r="C238" s="78"/>
      <c r="D238" s="62"/>
      <c r="E238" s="62"/>
      <c r="F238" s="62"/>
      <c r="G238" s="62"/>
      <c r="H238" s="62"/>
      <c r="I238" s="50"/>
      <c r="J238" s="40"/>
      <c r="K238" s="50"/>
      <c r="L238" s="40"/>
      <c r="M238" s="40"/>
    </row>
    <row r="239" spans="1:32" ht="12" customHeight="1">
      <c r="B239" s="55" t="s">
        <v>2254</v>
      </c>
      <c r="C239" s="261" t="s">
        <v>2895</v>
      </c>
      <c r="D239" s="62"/>
      <c r="E239" s="62"/>
      <c r="F239" s="62"/>
      <c r="G239" s="62"/>
      <c r="H239" s="62"/>
      <c r="I239" s="62"/>
      <c r="J239" s="62"/>
      <c r="K239" s="50"/>
      <c r="L239" s="62"/>
      <c r="M239" s="62"/>
      <c r="O239" s="592" t="s">
        <v>2254</v>
      </c>
      <c r="P239" s="2205"/>
      <c r="Q239" s="792"/>
    </row>
    <row r="240" spans="1:32" ht="11.45" customHeight="1">
      <c r="B240" s="55"/>
      <c r="C240" s="78" t="s">
        <v>1859</v>
      </c>
      <c r="D240" s="47" t="s">
        <v>1333</v>
      </c>
      <c r="E240" s="50"/>
      <c r="F240" s="50"/>
      <c r="G240" s="47"/>
      <c r="H240" s="38"/>
      <c r="I240" s="50"/>
      <c r="J240" s="38"/>
      <c r="K240" s="50"/>
      <c r="L240" s="38"/>
      <c r="M240" s="38"/>
      <c r="O240" s="78" t="s">
        <v>1859</v>
      </c>
      <c r="P240" s="2205"/>
      <c r="Q240" s="792"/>
    </row>
    <row r="241" spans="1:32" ht="11.45" customHeight="1">
      <c r="B241" s="55"/>
      <c r="C241" s="78" t="s">
        <v>1860</v>
      </c>
      <c r="D241" s="47" t="s">
        <v>152</v>
      </c>
      <c r="E241" s="50"/>
      <c r="F241" s="50"/>
      <c r="G241" s="38"/>
      <c r="H241" s="38"/>
      <c r="I241" s="50"/>
      <c r="J241" s="38"/>
      <c r="K241" s="50"/>
      <c r="L241" s="38"/>
      <c r="M241" s="38"/>
      <c r="O241" s="78" t="s">
        <v>1860</v>
      </c>
      <c r="P241" s="2205"/>
      <c r="Q241" s="792"/>
    </row>
    <row r="242" spans="1:32" ht="11.45" customHeight="1">
      <c r="B242" s="55"/>
      <c r="C242" s="78" t="s">
        <v>1861</v>
      </c>
      <c r="D242" s="38" t="s">
        <v>1753</v>
      </c>
      <c r="E242" s="50"/>
      <c r="F242" s="50"/>
      <c r="G242" s="38"/>
      <c r="H242" s="38"/>
      <c r="I242" s="50"/>
      <c r="J242" s="38"/>
      <c r="K242" s="50"/>
      <c r="L242" s="38"/>
      <c r="M242" s="38"/>
      <c r="O242" s="78" t="s">
        <v>2527</v>
      </c>
      <c r="P242" s="2205"/>
      <c r="Q242" s="792"/>
    </row>
    <row r="243" spans="1:32" ht="11.45" customHeight="1">
      <c r="B243" s="44"/>
      <c r="C243" s="50"/>
      <c r="D243" s="38" t="s">
        <v>1371</v>
      </c>
      <c r="E243" s="50"/>
      <c r="F243" s="50"/>
      <c r="G243" s="38"/>
      <c r="H243" s="38"/>
      <c r="I243" s="50"/>
      <c r="J243" s="38"/>
      <c r="K243" s="50"/>
      <c r="L243" s="38"/>
      <c r="M243" s="38"/>
      <c r="O243" s="78" t="s">
        <v>2528</v>
      </c>
      <c r="P243" s="2205"/>
      <c r="Q243" s="792"/>
    </row>
    <row r="244" spans="1:32" ht="11.25" customHeight="1">
      <c r="B244" s="167" t="s">
        <v>1996</v>
      </c>
      <c r="D244" s="167"/>
      <c r="E244" s="167"/>
      <c r="F244" s="167"/>
      <c r="G244" s="167"/>
      <c r="H244" s="48"/>
      <c r="I244" s="1175"/>
      <c r="J244" s="1175"/>
      <c r="K244" s="1175"/>
      <c r="L244" s="1157"/>
      <c r="M244" s="1157"/>
      <c r="N244" s="1157"/>
      <c r="O244" s="1157"/>
      <c r="P244" s="1157"/>
      <c r="Q244" s="60"/>
    </row>
    <row r="245" spans="1:32" ht="11.45" customHeight="1">
      <c r="A245" s="2209" t="s">
        <v>3847</v>
      </c>
      <c r="B245" s="2210"/>
      <c r="C245" s="2210"/>
      <c r="D245" s="2210"/>
      <c r="E245" s="2210"/>
      <c r="F245" s="2210"/>
      <c r="G245" s="2210"/>
      <c r="H245" s="2210"/>
      <c r="I245" s="2210"/>
      <c r="J245" s="2210"/>
      <c r="K245" s="2210"/>
      <c r="L245" s="2210"/>
      <c r="M245" s="2210"/>
      <c r="N245" s="2210"/>
      <c r="O245" s="2210"/>
      <c r="P245" s="2210"/>
      <c r="Q245" s="2211"/>
      <c r="R245" s="561" t="s">
        <v>1332</v>
      </c>
      <c r="S245" s="562"/>
      <c r="U245" s="162"/>
      <c r="V245" s="162"/>
      <c r="W245" s="162"/>
      <c r="X245" s="162"/>
      <c r="Y245" s="162"/>
      <c r="Z245" s="162"/>
      <c r="AA245" s="162"/>
      <c r="AB245" s="162"/>
      <c r="AC245" s="162"/>
      <c r="AD245" s="162"/>
      <c r="AE245" s="594"/>
    </row>
    <row r="246" spans="1:32" ht="11.25" customHeight="1">
      <c r="B246" s="163" t="s">
        <v>1997</v>
      </c>
      <c r="C246" s="164"/>
      <c r="D246" s="1162"/>
      <c r="E246" s="1162"/>
      <c r="F246" s="1162"/>
      <c r="G246" s="1162"/>
      <c r="H246" s="1162"/>
      <c r="I246" s="1162"/>
      <c r="J246" s="1162"/>
      <c r="K246" s="1162"/>
      <c r="L246" s="1162"/>
      <c r="M246" s="1162"/>
      <c r="N246" s="1162"/>
      <c r="O246" s="1162"/>
      <c r="P246" s="1162"/>
      <c r="Q246" s="1162"/>
    </row>
    <row r="247" spans="1:32" ht="13.15" customHeight="1">
      <c r="A247" s="1416"/>
      <c r="B247" s="1417"/>
      <c r="C247" s="1417"/>
      <c r="D247" s="1417"/>
      <c r="E247" s="1417"/>
      <c r="F247" s="1417"/>
      <c r="G247" s="1417"/>
      <c r="H247" s="1417"/>
      <c r="I247" s="1417"/>
      <c r="J247" s="1417"/>
      <c r="K247" s="1417"/>
      <c r="L247" s="1417"/>
      <c r="M247" s="1417"/>
      <c r="N247" s="1417"/>
      <c r="O247" s="1417"/>
      <c r="P247" s="1417"/>
      <c r="Q247" s="1418"/>
    </row>
    <row r="248" spans="1:32" ht="3" customHeight="1">
      <c r="A248" s="1157"/>
      <c r="B248" s="1175"/>
      <c r="C248" s="1162"/>
      <c r="D248" s="1162"/>
      <c r="E248" s="1162"/>
      <c r="F248" s="1162"/>
      <c r="G248" s="1162"/>
      <c r="H248" s="1162"/>
      <c r="I248" s="1162"/>
      <c r="J248" s="1162"/>
      <c r="K248" s="1162"/>
      <c r="L248" s="1162"/>
      <c r="M248" s="1162"/>
      <c r="Q248" s="1157"/>
    </row>
    <row r="249" spans="1:32" ht="13.9" customHeight="1">
      <c r="A249" s="1166">
        <v>15</v>
      </c>
      <c r="B249" s="5" t="s">
        <v>2862</v>
      </c>
      <c r="C249" s="5"/>
      <c r="D249" s="101"/>
      <c r="E249" s="101"/>
      <c r="F249" s="101"/>
      <c r="G249" s="101"/>
      <c r="H249" s="1162"/>
      <c r="I249" s="1162"/>
      <c r="J249" s="1162"/>
      <c r="K249" s="1162"/>
      <c r="L249" s="1162"/>
      <c r="M249" s="1162"/>
      <c r="O249" s="157" t="s">
        <v>1998</v>
      </c>
      <c r="P249" s="1414"/>
      <c r="Q249" s="1415"/>
    </row>
    <row r="250" spans="1:32" ht="4.9000000000000004" customHeight="1"/>
    <row r="251" spans="1:32" ht="11.45" customHeight="1">
      <c r="B251" s="55" t="s">
        <v>2119</v>
      </c>
      <c r="C251" s="62" t="s">
        <v>1348</v>
      </c>
      <c r="D251" s="50"/>
      <c r="E251" s="62"/>
      <c r="F251" s="62"/>
      <c r="G251" s="62"/>
      <c r="H251" s="62"/>
      <c r="I251" s="50"/>
      <c r="J251" s="50"/>
      <c r="K251" s="50"/>
      <c r="L251" s="592" t="s">
        <v>2119</v>
      </c>
      <c r="M251" s="2261" t="s">
        <v>1895</v>
      </c>
      <c r="N251" s="2262"/>
      <c r="O251" s="2263"/>
      <c r="P251" s="1448" t="s">
        <v>1895</v>
      </c>
      <c r="Q251" s="1449"/>
    </row>
    <row r="252" spans="1:32" ht="11.45" customHeight="1">
      <c r="B252" s="55" t="s">
        <v>2122</v>
      </c>
      <c r="C252" s="62" t="s">
        <v>3275</v>
      </c>
      <c r="D252" s="62"/>
      <c r="E252" s="62"/>
      <c r="F252" s="62"/>
      <c r="G252" s="62"/>
      <c r="H252" s="62"/>
      <c r="I252" s="50"/>
      <c r="J252" s="50"/>
      <c r="K252" s="50"/>
      <c r="L252" s="592" t="s">
        <v>2122</v>
      </c>
      <c r="M252" s="2289"/>
      <c r="N252" s="2290"/>
      <c r="O252" s="2291"/>
      <c r="P252" s="1465"/>
      <c r="Q252" s="1466"/>
    </row>
    <row r="253" spans="1:32" s="175" customFormat="1" ht="11.45" customHeight="1">
      <c r="B253" s="55" t="s">
        <v>799</v>
      </c>
      <c r="C253" s="62" t="s">
        <v>2080</v>
      </c>
      <c r="D253" s="62"/>
      <c r="E253" s="62"/>
      <c r="F253" s="62"/>
      <c r="G253" s="62"/>
      <c r="H253" s="62"/>
      <c r="I253" s="111"/>
      <c r="J253" s="111"/>
      <c r="K253" s="111"/>
      <c r="L253" s="592" t="s">
        <v>799</v>
      </c>
      <c r="M253" s="2261"/>
      <c r="N253" s="2262"/>
      <c r="O253" s="2263"/>
      <c r="P253" s="1448"/>
      <c r="Q253" s="1449"/>
      <c r="AE253" s="596"/>
      <c r="AF253" s="596"/>
    </row>
    <row r="254" spans="1:32" s="175" customFormat="1" ht="11.45" customHeight="1">
      <c r="B254" s="55" t="s">
        <v>2254</v>
      </c>
      <c r="C254" s="62" t="s">
        <v>2727</v>
      </c>
      <c r="D254" s="62"/>
      <c r="E254" s="62"/>
      <c r="F254" s="62"/>
      <c r="G254" s="62"/>
      <c r="H254" s="62"/>
      <c r="I254" s="111"/>
      <c r="J254" s="111"/>
      <c r="K254" s="111"/>
      <c r="L254" s="111"/>
      <c r="M254" s="111"/>
      <c r="O254" s="592" t="s">
        <v>2254</v>
      </c>
      <c r="P254" s="2205"/>
      <c r="Q254" s="792"/>
      <c r="AE254" s="596"/>
      <c r="AF254" s="596"/>
    </row>
    <row r="255" spans="1:32" s="175" customFormat="1" ht="22.15" customHeight="1">
      <c r="B255" s="168" t="s">
        <v>1857</v>
      </c>
      <c r="C255" s="1412" t="s">
        <v>3016</v>
      </c>
      <c r="D255" s="1412"/>
      <c r="E255" s="1412"/>
      <c r="F255" s="1412"/>
      <c r="G255" s="1412"/>
      <c r="H255" s="1412"/>
      <c r="I255" s="1412"/>
      <c r="J255" s="1412"/>
      <c r="K255" s="1412"/>
      <c r="L255" s="1412"/>
      <c r="M255" s="1412"/>
      <c r="N255" s="1412"/>
      <c r="O255" s="192" t="s">
        <v>1857</v>
      </c>
      <c r="P255" s="2205"/>
      <c r="Q255" s="792"/>
      <c r="AE255" s="596"/>
      <c r="AF255" s="596"/>
    </row>
    <row r="256" spans="1:32" ht="11.25" customHeight="1">
      <c r="B256" s="167" t="s">
        <v>1996</v>
      </c>
      <c r="D256" s="167"/>
      <c r="E256" s="167"/>
      <c r="F256" s="167"/>
      <c r="G256" s="167"/>
      <c r="H256" s="48"/>
      <c r="I256" s="1175"/>
      <c r="J256" s="1175"/>
      <c r="K256" s="1175"/>
      <c r="L256" s="1157"/>
      <c r="M256" s="1157"/>
      <c r="N256" s="1157"/>
      <c r="O256" s="1157"/>
      <c r="P256" s="1157"/>
      <c r="Q256" s="60"/>
    </row>
    <row r="257" spans="1:32" ht="13.15" customHeight="1">
      <c r="A257" s="2209"/>
      <c r="B257" s="2210"/>
      <c r="C257" s="2210"/>
      <c r="D257" s="2210"/>
      <c r="E257" s="2210"/>
      <c r="F257" s="2210"/>
      <c r="G257" s="2210"/>
      <c r="H257" s="2210"/>
      <c r="I257" s="2210"/>
      <c r="J257" s="2210"/>
      <c r="K257" s="2210"/>
      <c r="L257" s="2210"/>
      <c r="M257" s="2210"/>
      <c r="N257" s="2210"/>
      <c r="O257" s="2210"/>
      <c r="P257" s="2210"/>
      <c r="Q257" s="2211"/>
      <c r="R257" s="561" t="s">
        <v>1332</v>
      </c>
      <c r="S257" s="562"/>
      <c r="U257" s="162"/>
      <c r="V257" s="162"/>
      <c r="W257" s="162"/>
      <c r="X257" s="162"/>
      <c r="Y257" s="162"/>
      <c r="Z257" s="162"/>
      <c r="AA257" s="162"/>
      <c r="AB257" s="162"/>
      <c r="AC257" s="162"/>
      <c r="AD257" s="162"/>
      <c r="AE257" s="594"/>
    </row>
    <row r="258" spans="1:32" ht="10.9" customHeight="1">
      <c r="B258" s="163" t="s">
        <v>1997</v>
      </c>
      <c r="C258" s="164"/>
      <c r="D258" s="1162"/>
      <c r="E258" s="1162"/>
      <c r="F258" s="1162"/>
      <c r="G258" s="1162"/>
      <c r="H258" s="1162"/>
      <c r="I258" s="1162"/>
      <c r="J258" s="1162"/>
      <c r="K258" s="1162"/>
      <c r="L258" s="1162"/>
      <c r="M258" s="1162"/>
      <c r="N258" s="1162"/>
      <c r="O258" s="1162"/>
      <c r="P258" s="1162"/>
      <c r="Q258" s="1162"/>
    </row>
    <row r="259" spans="1:32" ht="13.15" customHeight="1">
      <c r="A259" s="1416"/>
      <c r="B259" s="1417"/>
      <c r="C259" s="1417"/>
      <c r="D259" s="1417"/>
      <c r="E259" s="1417"/>
      <c r="F259" s="1417"/>
      <c r="G259" s="1417"/>
      <c r="H259" s="1417"/>
      <c r="I259" s="1417"/>
      <c r="J259" s="1417"/>
      <c r="K259" s="1417"/>
      <c r="L259" s="1417"/>
      <c r="M259" s="1417"/>
      <c r="N259" s="1417"/>
      <c r="O259" s="1417"/>
      <c r="P259" s="1417"/>
      <c r="Q259" s="1418"/>
    </row>
    <row r="260" spans="1:32" ht="3" customHeight="1">
      <c r="A260" s="1157"/>
      <c r="B260" s="1175"/>
      <c r="C260" s="1162"/>
      <c r="D260" s="1162"/>
      <c r="E260" s="1162"/>
      <c r="F260" s="1162"/>
      <c r="G260" s="1162"/>
      <c r="H260" s="1162"/>
      <c r="I260" s="1162"/>
      <c r="J260" s="1162"/>
      <c r="K260" s="1162"/>
      <c r="L260" s="1162"/>
      <c r="M260" s="1162"/>
      <c r="Q260" s="1157"/>
    </row>
    <row r="261" spans="1:32" ht="13.9" customHeight="1">
      <c r="A261" s="1166">
        <v>16</v>
      </c>
      <c r="B261" s="5" t="s">
        <v>2863</v>
      </c>
      <c r="C261" s="5"/>
      <c r="D261" s="101"/>
      <c r="E261" s="101"/>
      <c r="F261" s="101"/>
      <c r="G261" s="101"/>
      <c r="H261" s="1162"/>
      <c r="I261" s="1162"/>
      <c r="J261" s="1162"/>
      <c r="K261" s="1162"/>
      <c r="L261" s="1162"/>
      <c r="M261" s="1162"/>
      <c r="O261" s="157" t="s">
        <v>1998</v>
      </c>
      <c r="P261" s="1414"/>
      <c r="Q261" s="1415"/>
    </row>
    <row r="262" spans="1:32" ht="3" customHeight="1"/>
    <row r="263" spans="1:32" s="508" customFormat="1" ht="23.25" customHeight="1">
      <c r="B263" s="168" t="s">
        <v>2119</v>
      </c>
      <c r="C263" s="1412" t="s">
        <v>3276</v>
      </c>
      <c r="D263" s="1412"/>
      <c r="E263" s="1412"/>
      <c r="F263" s="1412"/>
      <c r="G263" s="1412"/>
      <c r="H263" s="1412"/>
      <c r="I263" s="1412"/>
      <c r="J263" s="1412"/>
      <c r="K263" s="1412"/>
      <c r="L263" s="1412"/>
      <c r="M263" s="1412"/>
      <c r="N263" s="1412"/>
      <c r="O263" s="192" t="s">
        <v>2119</v>
      </c>
      <c r="P263" s="2260" t="s">
        <v>3702</v>
      </c>
      <c r="Q263" s="812"/>
      <c r="AE263" s="597"/>
      <c r="AF263" s="597"/>
    </row>
    <row r="264" spans="1:32" s="175" customFormat="1" ht="11.45" customHeight="1">
      <c r="B264" s="55" t="s">
        <v>2122</v>
      </c>
      <c r="C264" s="62" t="s">
        <v>1495</v>
      </c>
      <c r="D264" s="62"/>
      <c r="E264" s="62"/>
      <c r="F264" s="62"/>
      <c r="G264" s="62"/>
      <c r="H264" s="62"/>
      <c r="I264" s="62"/>
      <c r="J264" s="62"/>
      <c r="K264" s="62"/>
      <c r="L264" s="62"/>
      <c r="M264" s="62"/>
      <c r="O264" s="592" t="s">
        <v>2122</v>
      </c>
      <c r="P264" s="2205" t="s">
        <v>3702</v>
      </c>
      <c r="Q264" s="792"/>
      <c r="AE264" s="596"/>
      <c r="AF264" s="596"/>
    </row>
    <row r="265" spans="1:32" ht="11.25" customHeight="1">
      <c r="B265" s="167" t="s">
        <v>1996</v>
      </c>
      <c r="D265" s="167"/>
      <c r="E265" s="167"/>
      <c r="F265" s="167"/>
      <c r="G265" s="167"/>
      <c r="H265" s="48"/>
      <c r="I265" s="1175"/>
      <c r="J265" s="1175"/>
      <c r="K265" s="1175"/>
      <c r="L265" s="1157"/>
      <c r="M265" s="1157"/>
      <c r="N265" s="1157"/>
      <c r="O265" s="1157"/>
      <c r="P265" s="1157"/>
      <c r="Q265" s="60"/>
    </row>
    <row r="266" spans="1:32" ht="13.15" customHeight="1">
      <c r="A266" s="2209" t="s">
        <v>3848</v>
      </c>
      <c r="B266" s="2210"/>
      <c r="C266" s="2210"/>
      <c r="D266" s="2210"/>
      <c r="E266" s="2210"/>
      <c r="F266" s="2210"/>
      <c r="G266" s="2210"/>
      <c r="H266" s="2210"/>
      <c r="I266" s="2210"/>
      <c r="J266" s="2210"/>
      <c r="K266" s="2210"/>
      <c r="L266" s="2210"/>
      <c r="M266" s="2210"/>
      <c r="N266" s="2210"/>
      <c r="O266" s="2210"/>
      <c r="P266" s="2210"/>
      <c r="Q266" s="2211"/>
      <c r="R266" s="561" t="s">
        <v>1332</v>
      </c>
      <c r="S266" s="562"/>
      <c r="U266" s="162"/>
      <c r="V266" s="162"/>
      <c r="W266" s="162"/>
      <c r="X266" s="162"/>
      <c r="Y266" s="162"/>
      <c r="Z266" s="162"/>
      <c r="AA266" s="162"/>
      <c r="AB266" s="162"/>
      <c r="AC266" s="162"/>
      <c r="AD266" s="162"/>
      <c r="AE266" s="594"/>
    </row>
    <row r="267" spans="1:32" ht="11.25" customHeight="1">
      <c r="B267" s="163" t="s">
        <v>1997</v>
      </c>
      <c r="C267" s="164"/>
      <c r="D267" s="1162"/>
      <c r="E267" s="1162"/>
      <c r="F267" s="1162"/>
      <c r="G267" s="1162"/>
      <c r="H267" s="1162"/>
      <c r="I267" s="1162"/>
      <c r="J267" s="1162"/>
      <c r="K267" s="1162"/>
      <c r="L267" s="1162"/>
      <c r="M267" s="1162"/>
      <c r="N267" s="1162"/>
      <c r="O267" s="1162"/>
      <c r="P267" s="1162"/>
      <c r="Q267" s="1162"/>
    </row>
    <row r="268" spans="1:32" ht="13.15" customHeight="1">
      <c r="A268" s="1416"/>
      <c r="B268" s="1417"/>
      <c r="C268" s="1417"/>
      <c r="D268" s="1417"/>
      <c r="E268" s="1417"/>
      <c r="F268" s="1417"/>
      <c r="G268" s="1417"/>
      <c r="H268" s="1417"/>
      <c r="I268" s="1417"/>
      <c r="J268" s="1417"/>
      <c r="K268" s="1417"/>
      <c r="L268" s="1417"/>
      <c r="M268" s="1417"/>
      <c r="N268" s="1417"/>
      <c r="O268" s="1417"/>
      <c r="P268" s="1417"/>
      <c r="Q268" s="1418"/>
    </row>
    <row r="269" spans="1:32" ht="3" customHeight="1">
      <c r="A269" s="1157"/>
      <c r="B269" s="1175"/>
      <c r="C269" s="1162"/>
      <c r="D269" s="1162"/>
      <c r="E269" s="1162"/>
      <c r="F269" s="1162"/>
      <c r="G269" s="1162"/>
      <c r="H269" s="1162"/>
      <c r="I269" s="1162"/>
      <c r="J269" s="1162"/>
      <c r="K269" s="1162"/>
      <c r="L269" s="1162"/>
      <c r="M269" s="1162"/>
      <c r="N269" s="1162"/>
      <c r="O269" s="1162"/>
      <c r="P269" s="157"/>
      <c r="Q269" s="60"/>
    </row>
    <row r="270" spans="1:32" ht="13.9" customHeight="1">
      <c r="A270" s="1166">
        <v>17</v>
      </c>
      <c r="B270" s="1166" t="s">
        <v>2864</v>
      </c>
      <c r="C270" s="1166"/>
      <c r="D270" s="1162"/>
      <c r="E270" s="1162"/>
      <c r="F270" s="1162"/>
      <c r="G270" s="1162"/>
      <c r="H270" s="1162"/>
      <c r="I270" s="1162"/>
      <c r="J270" s="1162"/>
      <c r="K270" s="1162"/>
      <c r="L270" s="1162"/>
      <c r="M270" s="1162"/>
      <c r="O270" s="157" t="s">
        <v>1998</v>
      </c>
      <c r="P270" s="1414"/>
      <c r="Q270" s="1415"/>
    </row>
    <row r="271" spans="1:32" ht="3" customHeight="1"/>
    <row r="272" spans="1:32" s="508" customFormat="1" ht="24" customHeight="1">
      <c r="B272" s="168" t="s">
        <v>2119</v>
      </c>
      <c r="C272" s="1463" t="s">
        <v>3277</v>
      </c>
      <c r="D272" s="1301"/>
      <c r="E272" s="1301"/>
      <c r="F272" s="1301"/>
      <c r="G272" s="1301"/>
      <c r="H272" s="1301"/>
      <c r="I272" s="1301"/>
      <c r="J272" s="1301"/>
      <c r="K272" s="1301"/>
      <c r="L272" s="1301"/>
      <c r="M272" s="1301"/>
      <c r="N272" s="1301"/>
      <c r="O272" s="192" t="s">
        <v>2119</v>
      </c>
      <c r="P272" s="2205" t="s">
        <v>3758</v>
      </c>
      <c r="Q272" s="792"/>
      <c r="AE272" s="597"/>
      <c r="AF272" s="597"/>
    </row>
    <row r="273" spans="1:32" s="508" customFormat="1" ht="24" customHeight="1">
      <c r="B273" s="168" t="s">
        <v>2122</v>
      </c>
      <c r="C273" s="1463" t="s">
        <v>3278</v>
      </c>
      <c r="D273" s="1301"/>
      <c r="E273" s="1301"/>
      <c r="F273" s="1301"/>
      <c r="G273" s="1301"/>
      <c r="H273" s="1301"/>
      <c r="I273" s="1301"/>
      <c r="J273" s="1301"/>
      <c r="K273" s="1301"/>
      <c r="L273" s="1301"/>
      <c r="M273" s="1301"/>
      <c r="N273" s="1301"/>
      <c r="O273" s="192" t="s">
        <v>2122</v>
      </c>
      <c r="P273" s="2205" t="s">
        <v>3758</v>
      </c>
      <c r="Q273" s="792"/>
      <c r="AE273" s="597"/>
      <c r="AF273" s="597"/>
    </row>
    <row r="274" spans="1:32" ht="11.25" customHeight="1">
      <c r="B274" s="167" t="s">
        <v>1996</v>
      </c>
      <c r="D274" s="167"/>
      <c r="E274" s="167"/>
      <c r="F274" s="167"/>
      <c r="G274" s="167"/>
      <c r="H274" s="48"/>
      <c r="I274" s="1175"/>
      <c r="J274" s="1175"/>
      <c r="K274" s="1175"/>
      <c r="L274" s="1157"/>
      <c r="M274" s="1157"/>
      <c r="N274" s="1157"/>
      <c r="O274" s="1157"/>
      <c r="P274" s="1157"/>
      <c r="Q274" s="60"/>
    </row>
    <row r="275" spans="1:32" ht="13.15" customHeight="1">
      <c r="A275" s="2209" t="s">
        <v>3815</v>
      </c>
      <c r="B275" s="2210"/>
      <c r="C275" s="2210"/>
      <c r="D275" s="2210"/>
      <c r="E275" s="2210"/>
      <c r="F275" s="2210"/>
      <c r="G275" s="2210"/>
      <c r="H275" s="2210"/>
      <c r="I275" s="2210"/>
      <c r="J275" s="2210"/>
      <c r="K275" s="2210"/>
      <c r="L275" s="2210"/>
      <c r="M275" s="2210"/>
      <c r="N275" s="2210"/>
      <c r="O275" s="2210"/>
      <c r="P275" s="2210"/>
      <c r="Q275" s="2211"/>
      <c r="R275" s="561" t="s">
        <v>1332</v>
      </c>
      <c r="S275" s="562"/>
      <c r="U275" s="162"/>
      <c r="V275" s="162"/>
      <c r="W275" s="162"/>
      <c r="X275" s="162"/>
      <c r="Y275" s="162"/>
      <c r="Z275" s="162"/>
      <c r="AA275" s="162"/>
      <c r="AB275" s="162"/>
      <c r="AC275" s="162"/>
      <c r="AD275" s="162"/>
      <c r="AE275" s="594"/>
    </row>
    <row r="276" spans="1:32" ht="11.25" customHeight="1">
      <c r="B276" s="163" t="s">
        <v>1997</v>
      </c>
      <c r="C276" s="164"/>
      <c r="D276" s="1162"/>
      <c r="E276" s="1162"/>
      <c r="F276" s="1162"/>
      <c r="G276" s="1162"/>
      <c r="H276" s="1162"/>
      <c r="I276" s="1162"/>
      <c r="J276" s="1162"/>
      <c r="K276" s="1162"/>
      <c r="L276" s="1162"/>
      <c r="M276" s="1162"/>
      <c r="N276" s="1162"/>
      <c r="O276" s="1162"/>
      <c r="P276" s="1162"/>
      <c r="Q276" s="1162"/>
    </row>
    <row r="277" spans="1:32" ht="13.15" customHeight="1">
      <c r="A277" s="1416"/>
      <c r="B277" s="1417"/>
      <c r="C277" s="1417"/>
      <c r="D277" s="1417"/>
      <c r="E277" s="1417"/>
      <c r="F277" s="1417"/>
      <c r="G277" s="1417"/>
      <c r="H277" s="1417"/>
      <c r="I277" s="1417"/>
      <c r="J277" s="1417"/>
      <c r="K277" s="1417"/>
      <c r="L277" s="1417"/>
      <c r="M277" s="1417"/>
      <c r="N277" s="1417"/>
      <c r="O277" s="1417"/>
      <c r="P277" s="1417"/>
      <c r="Q277" s="1418"/>
    </row>
    <row r="278" spans="1:32" ht="5.45" customHeight="1">
      <c r="A278" s="1157"/>
      <c r="B278" s="1175"/>
      <c r="C278" s="1162"/>
      <c r="D278" s="1162"/>
      <c r="E278" s="1162"/>
      <c r="F278" s="1162"/>
      <c r="G278" s="1162"/>
      <c r="H278" s="1162"/>
      <c r="I278" s="1162"/>
      <c r="J278" s="1162"/>
      <c r="K278" s="1162"/>
      <c r="L278" s="1162"/>
      <c r="M278" s="1162"/>
      <c r="Q278" s="1157"/>
    </row>
    <row r="279" spans="1:32" ht="13.9" customHeight="1">
      <c r="A279" s="1166">
        <v>18</v>
      </c>
      <c r="B279" s="1166" t="s">
        <v>2865</v>
      </c>
      <c r="C279" s="176"/>
      <c r="D279" s="1165"/>
      <c r="E279" s="1162"/>
      <c r="F279" s="1162"/>
      <c r="G279" s="1162"/>
      <c r="H279" s="1162"/>
      <c r="I279" s="1162"/>
      <c r="J279" s="1162"/>
      <c r="K279" s="1162"/>
      <c r="L279" s="1162"/>
      <c r="M279" s="1162"/>
      <c r="O279" s="157" t="s">
        <v>1998</v>
      </c>
      <c r="P279" s="1414"/>
      <c r="Q279" s="1415"/>
    </row>
    <row r="280" spans="1:32" s="175" customFormat="1" ht="46.5" customHeight="1">
      <c r="B280" s="168" t="s">
        <v>2119</v>
      </c>
      <c r="C280" s="177" t="s">
        <v>1859</v>
      </c>
      <c r="D280" s="1463" t="s">
        <v>3279</v>
      </c>
      <c r="E280" s="1463"/>
      <c r="F280" s="1463"/>
      <c r="G280" s="1463"/>
      <c r="H280" s="1463"/>
      <c r="I280" s="1463"/>
      <c r="J280" s="1463"/>
      <c r="K280" s="1463"/>
      <c r="L280" s="1463"/>
      <c r="M280" s="1463"/>
      <c r="N280" s="1463"/>
      <c r="O280" s="192" t="s">
        <v>2984</v>
      </c>
      <c r="P280" s="2260" t="s">
        <v>3702</v>
      </c>
      <c r="Q280" s="792"/>
      <c r="AE280" s="596"/>
      <c r="AF280" s="596"/>
    </row>
    <row r="281" spans="1:32" s="111" customFormat="1" ht="12.75" customHeight="1">
      <c r="B281" s="55"/>
      <c r="C281" s="78" t="s">
        <v>1860</v>
      </c>
      <c r="D281" s="1464" t="s">
        <v>3280</v>
      </c>
      <c r="E281" s="1464"/>
      <c r="F281" s="1464"/>
      <c r="G281" s="1464"/>
      <c r="H281" s="1464"/>
      <c r="I281" s="1464"/>
      <c r="J281" s="1464"/>
      <c r="K281" s="1464"/>
      <c r="L281" s="1464"/>
      <c r="M281" s="1464"/>
      <c r="N281" s="1464"/>
      <c r="O281" s="78" t="s">
        <v>1860</v>
      </c>
      <c r="P281" s="2205" t="s">
        <v>3702</v>
      </c>
      <c r="Q281" s="792"/>
      <c r="AE281" s="598"/>
      <c r="AF281" s="598"/>
    </row>
    <row r="282" spans="1:32" s="111" customFormat="1" ht="22.5" customHeight="1">
      <c r="B282" s="168" t="s">
        <v>2122</v>
      </c>
      <c r="C282" s="177" t="s">
        <v>1859</v>
      </c>
      <c r="D282" s="1463" t="s">
        <v>2982</v>
      </c>
      <c r="E282" s="1463"/>
      <c r="F282" s="1463"/>
      <c r="G282" s="1463"/>
      <c r="H282" s="1463"/>
      <c r="I282" s="1463"/>
      <c r="J282" s="1463"/>
      <c r="K282" s="1463"/>
      <c r="L282" s="1463"/>
      <c r="M282" s="1463"/>
      <c r="N282" s="1463"/>
      <c r="O282" s="592" t="s">
        <v>2985</v>
      </c>
      <c r="P282" s="2205" t="s">
        <v>3702</v>
      </c>
      <c r="Q282" s="792"/>
      <c r="AE282" s="598"/>
      <c r="AF282" s="598"/>
    </row>
    <row r="283" spans="1:32" s="111" customFormat="1" ht="12" customHeight="1">
      <c r="B283" s="168"/>
      <c r="C283" s="177" t="s">
        <v>1860</v>
      </c>
      <c r="D283" s="1463" t="s">
        <v>2983</v>
      </c>
      <c r="E283" s="1463"/>
      <c r="F283" s="1463"/>
      <c r="G283" s="1463"/>
      <c r="H283" s="1463"/>
      <c r="I283" s="1463"/>
      <c r="J283" s="1463"/>
      <c r="K283" s="1463"/>
      <c r="L283" s="1463"/>
      <c r="M283" s="1463"/>
      <c r="N283" s="1463"/>
      <c r="O283" s="592" t="s">
        <v>3281</v>
      </c>
      <c r="P283" s="2259" t="s">
        <v>3702</v>
      </c>
      <c r="Q283" s="793"/>
      <c r="AE283" s="598"/>
      <c r="AF283" s="598"/>
    </row>
    <row r="284" spans="1:32" s="508" customFormat="1" ht="36" customHeight="1">
      <c r="B284" s="168" t="s">
        <v>799</v>
      </c>
      <c r="C284" s="177"/>
      <c r="D284" s="1463" t="s">
        <v>3396</v>
      </c>
      <c r="E284" s="1463"/>
      <c r="F284" s="1463"/>
      <c r="G284" s="1463"/>
      <c r="H284" s="1463"/>
      <c r="I284" s="1463"/>
      <c r="J284" s="1463"/>
      <c r="K284" s="1463"/>
      <c r="L284" s="1463"/>
      <c r="M284" s="1463"/>
      <c r="N284" s="1463"/>
      <c r="O284" s="192" t="s">
        <v>799</v>
      </c>
      <c r="P284" s="2260" t="s">
        <v>3702</v>
      </c>
      <c r="Q284" s="812"/>
      <c r="AE284" s="597"/>
      <c r="AF284" s="597"/>
    </row>
    <row r="285" spans="1:32" ht="11.25" customHeight="1">
      <c r="B285" s="167" t="s">
        <v>1996</v>
      </c>
      <c r="D285" s="167"/>
      <c r="E285" s="167"/>
      <c r="F285" s="167"/>
      <c r="G285" s="167"/>
      <c r="H285" s="48"/>
      <c r="I285" s="1175"/>
      <c r="J285" s="1175"/>
      <c r="K285" s="1175"/>
      <c r="L285" s="1157"/>
      <c r="M285" s="1157"/>
      <c r="N285" s="1157"/>
      <c r="O285" s="1157"/>
      <c r="P285" s="1157"/>
      <c r="Q285" s="60"/>
    </row>
    <row r="286" spans="1:32" ht="11.45" customHeight="1">
      <c r="A286" s="2209"/>
      <c r="B286" s="2210"/>
      <c r="C286" s="2210"/>
      <c r="D286" s="2210"/>
      <c r="E286" s="2210"/>
      <c r="F286" s="2210"/>
      <c r="G286" s="2210"/>
      <c r="H286" s="2210"/>
      <c r="I286" s="2210"/>
      <c r="J286" s="2210"/>
      <c r="K286" s="2210"/>
      <c r="L286" s="2210"/>
      <c r="M286" s="2210"/>
      <c r="N286" s="2210"/>
      <c r="O286" s="2210"/>
      <c r="P286" s="2210"/>
      <c r="Q286" s="2211"/>
      <c r="R286" s="561" t="s">
        <v>1332</v>
      </c>
      <c r="S286" s="562"/>
      <c r="U286" s="162"/>
      <c r="V286" s="162"/>
      <c r="W286" s="162"/>
      <c r="X286" s="162"/>
      <c r="Y286" s="162"/>
      <c r="Z286" s="162"/>
      <c r="AA286" s="162"/>
      <c r="AB286" s="162"/>
      <c r="AC286" s="162"/>
      <c r="AD286" s="162"/>
      <c r="AE286" s="594"/>
    </row>
    <row r="287" spans="1:32" ht="11.25" customHeight="1">
      <c r="B287" s="163" t="s">
        <v>1997</v>
      </c>
      <c r="C287" s="164"/>
      <c r="D287" s="1162"/>
      <c r="E287" s="1162"/>
      <c r="F287" s="1162"/>
      <c r="G287" s="1162"/>
      <c r="H287" s="1162"/>
      <c r="I287" s="1162"/>
      <c r="J287" s="1162"/>
      <c r="K287" s="1162"/>
      <c r="L287" s="1162"/>
      <c r="M287" s="1162"/>
      <c r="N287" s="1162"/>
      <c r="O287" s="1162"/>
      <c r="P287" s="1162"/>
      <c r="Q287" s="1162"/>
    </row>
    <row r="288" spans="1:32" ht="11.45" customHeight="1">
      <c r="A288" s="1467"/>
      <c r="B288" s="1468"/>
      <c r="C288" s="1468"/>
      <c r="D288" s="1468"/>
      <c r="E288" s="1468"/>
      <c r="F288" s="1468"/>
      <c r="G288" s="1468"/>
      <c r="H288" s="1468"/>
      <c r="I288" s="1468"/>
      <c r="J288" s="1468"/>
      <c r="K288" s="1468"/>
      <c r="L288" s="1468"/>
      <c r="M288" s="1468"/>
      <c r="N288" s="1468"/>
      <c r="O288" s="1468"/>
      <c r="P288" s="1468"/>
      <c r="Q288" s="1469"/>
    </row>
    <row r="289" spans="1:256 1523:1523" ht="13.9" customHeight="1">
      <c r="A289" s="1166">
        <v>19</v>
      </c>
      <c r="B289" s="11" t="s">
        <v>2866</v>
      </c>
      <c r="C289" s="11"/>
      <c r="D289" s="11"/>
      <c r="E289" s="11"/>
      <c r="F289" s="11"/>
      <c r="G289" s="11"/>
      <c r="H289" s="1162"/>
      <c r="I289" s="1162"/>
      <c r="J289" s="1162"/>
      <c r="K289" s="1162"/>
      <c r="L289" s="1162"/>
      <c r="M289" s="1162"/>
      <c r="O289" s="157" t="s">
        <v>1998</v>
      </c>
      <c r="P289" s="1470"/>
      <c r="Q289" s="1471"/>
    </row>
    <row r="290" spans="1:256 1523:1523" ht="11.45" customHeight="1">
      <c r="B290" s="171" t="s">
        <v>2402</v>
      </c>
      <c r="P290" s="2205" t="s">
        <v>3703</v>
      </c>
      <c r="Q290" s="792"/>
    </row>
    <row r="291" spans="1:256 1523:1523" ht="12" customHeight="1">
      <c r="B291" s="173" t="s">
        <v>2356</v>
      </c>
      <c r="C291" s="173"/>
      <c r="D291" s="173"/>
      <c r="E291" s="173"/>
      <c r="F291" s="173"/>
      <c r="G291" s="173"/>
      <c r="H291" s="173"/>
      <c r="I291" s="173"/>
      <c r="J291" s="173"/>
      <c r="K291" s="173"/>
      <c r="L291" s="173"/>
      <c r="P291" s="2205" t="s">
        <v>3702</v>
      </c>
      <c r="Q291" s="792"/>
    </row>
    <row r="292" spans="1:256 1523:1523" ht="11.45" customHeight="1">
      <c r="B292" s="168" t="s">
        <v>2119</v>
      </c>
      <c r="C292" s="226" t="s">
        <v>483</v>
      </c>
      <c r="D292" s="38"/>
      <c r="E292" s="38"/>
      <c r="F292" s="38"/>
      <c r="G292" s="38"/>
      <c r="H292" s="38"/>
      <c r="I292" s="38"/>
      <c r="J292" s="38"/>
      <c r="K292" s="38"/>
      <c r="L292" s="38"/>
      <c r="M292" s="38"/>
      <c r="N292" s="192"/>
    </row>
    <row r="293" spans="1:256 1523:1523" ht="22.5" customHeight="1">
      <c r="A293" s="170"/>
      <c r="C293" s="1463" t="s">
        <v>3526</v>
      </c>
      <c r="D293" s="1463"/>
      <c r="E293" s="1463"/>
      <c r="F293" s="1463"/>
      <c r="G293" s="1463"/>
      <c r="H293" s="1463"/>
      <c r="I293" s="1463"/>
      <c r="J293" s="1463"/>
      <c r="K293" s="1463"/>
      <c r="L293" s="1463"/>
      <c r="M293" s="1463"/>
      <c r="N293" s="1463"/>
      <c r="O293" s="192" t="s">
        <v>2119</v>
      </c>
      <c r="P293" s="2260"/>
      <c r="Q293" s="812"/>
    </row>
    <row r="294" spans="1:256 1523:1523" ht="12.6" customHeight="1">
      <c r="B294" s="168" t="s">
        <v>2122</v>
      </c>
      <c r="C294" s="1481" t="s">
        <v>484</v>
      </c>
      <c r="D294" s="1481"/>
      <c r="E294" s="1481"/>
      <c r="F294" s="1481"/>
      <c r="G294" s="1481"/>
      <c r="H294" s="1481"/>
      <c r="I294" s="1481"/>
      <c r="J294" s="1481"/>
      <c r="K294" s="1481"/>
      <c r="L294" s="1481"/>
      <c r="M294" s="1481"/>
      <c r="O294" s="192" t="s">
        <v>2122</v>
      </c>
      <c r="P294" s="1157"/>
      <c r="Q294" s="60"/>
    </row>
    <row r="295" spans="1:256 1523:1523" ht="23.25" customHeight="1">
      <c r="A295" s="170"/>
      <c r="C295" s="259" t="s">
        <v>1859</v>
      </c>
      <c r="D295" s="260" t="s">
        <v>1197</v>
      </c>
      <c r="E295" s="158"/>
      <c r="F295" s="158"/>
      <c r="G295" s="2292" t="s">
        <v>1539</v>
      </c>
      <c r="H295" s="2293"/>
      <c r="I295" s="2293"/>
      <c r="J295" s="2293"/>
      <c r="K295" s="2293"/>
      <c r="L295" s="2293"/>
      <c r="M295" s="2293"/>
      <c r="N295" s="2294"/>
      <c r="O295" s="263" t="s">
        <v>1859</v>
      </c>
      <c r="P295" s="2260" t="s">
        <v>3702</v>
      </c>
      <c r="Q295" s="812"/>
      <c r="BFO295" s="175" t="s">
        <v>2986</v>
      </c>
    </row>
    <row r="296" spans="1:256 1523:1523" ht="23.25" customHeight="1">
      <c r="A296" s="170"/>
      <c r="C296" s="259" t="s">
        <v>1860</v>
      </c>
      <c r="D296" s="1412" t="s">
        <v>1198</v>
      </c>
      <c r="E296" s="1482"/>
      <c r="F296" s="1483"/>
      <c r="G296" s="2286" t="s">
        <v>2848</v>
      </c>
      <c r="H296" s="2295"/>
      <c r="I296" s="2295"/>
      <c r="J296" s="2295"/>
      <c r="K296" s="2295"/>
      <c r="L296" s="2295"/>
      <c r="M296" s="2295"/>
      <c r="N296" s="2296"/>
      <c r="O296" s="263" t="s">
        <v>1860</v>
      </c>
      <c r="P296" s="2260" t="s">
        <v>3702</v>
      </c>
      <c r="Q296" s="812"/>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799</v>
      </c>
      <c r="C298" s="1472" t="s">
        <v>2874</v>
      </c>
      <c r="D298" s="1472"/>
      <c r="E298" s="1472"/>
      <c r="F298" s="1472"/>
      <c r="G298" s="1472"/>
      <c r="H298" s="1472"/>
      <c r="I298" s="1472"/>
      <c r="J298" s="1472"/>
      <c r="K298" s="1472"/>
      <c r="L298" s="1472"/>
      <c r="M298" s="1472"/>
      <c r="N298" s="1472"/>
      <c r="O298" s="556" t="s">
        <v>799</v>
      </c>
      <c r="P298" s="1157"/>
      <c r="Q298" s="60"/>
      <c r="AE298" s="595"/>
      <c r="AF298" s="595"/>
    </row>
    <row r="299" spans="1:256 1523:1523" s="158" customFormat="1" ht="11.25" customHeight="1">
      <c r="A299" s="170"/>
      <c r="C299" s="259" t="s">
        <v>1859</v>
      </c>
      <c r="D299" s="2283"/>
      <c r="E299" s="2284"/>
      <c r="F299" s="2284"/>
      <c r="G299" s="2284"/>
      <c r="H299" s="2284"/>
      <c r="I299" s="2284"/>
      <c r="J299" s="2284"/>
      <c r="K299" s="2284"/>
      <c r="L299" s="2284"/>
      <c r="M299" s="2284"/>
      <c r="N299" s="2285"/>
      <c r="O299" s="263" t="s">
        <v>1859</v>
      </c>
      <c r="P299" s="2260"/>
      <c r="Q299" s="812"/>
      <c r="AE299" s="595"/>
      <c r="AF299" s="595"/>
    </row>
    <row r="300" spans="1:256 1523:1523" s="158" customFormat="1" ht="11.25" customHeight="1">
      <c r="A300" s="170"/>
      <c r="C300" s="259" t="s">
        <v>1860</v>
      </c>
      <c r="D300" s="2286"/>
      <c r="E300" s="2287"/>
      <c r="F300" s="2287"/>
      <c r="G300" s="2287"/>
      <c r="H300" s="2287"/>
      <c r="I300" s="2287"/>
      <c r="J300" s="2287"/>
      <c r="K300" s="2287"/>
      <c r="L300" s="2287"/>
      <c r="M300" s="2287"/>
      <c r="N300" s="2288"/>
      <c r="O300" s="263" t="s">
        <v>1860</v>
      </c>
      <c r="P300" s="2260"/>
      <c r="Q300" s="812"/>
      <c r="AE300" s="595"/>
      <c r="AF300" s="595"/>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1996</v>
      </c>
      <c r="D302" s="167"/>
      <c r="E302" s="167"/>
      <c r="F302" s="167"/>
      <c r="G302" s="167"/>
      <c r="H302" s="48"/>
      <c r="I302" s="1175"/>
      <c r="J302" s="1175"/>
      <c r="K302" s="1175"/>
      <c r="L302" s="1157"/>
      <c r="M302" s="1157"/>
      <c r="N302" s="1157"/>
      <c r="O302" s="1157"/>
      <c r="P302" s="1157"/>
      <c r="Q302" s="60"/>
    </row>
    <row r="303" spans="1:256 1523:1523" ht="11.45" customHeight="1">
      <c r="A303" s="2209"/>
      <c r="B303" s="2210"/>
      <c r="C303" s="2210"/>
      <c r="D303" s="2210"/>
      <c r="E303" s="2210"/>
      <c r="F303" s="2210"/>
      <c r="G303" s="2210"/>
      <c r="H303" s="2210"/>
      <c r="I303" s="2210"/>
      <c r="J303" s="2210"/>
      <c r="K303" s="2210"/>
      <c r="L303" s="2210"/>
      <c r="M303" s="2210"/>
      <c r="N303" s="2210"/>
      <c r="O303" s="2210"/>
      <c r="P303" s="2210"/>
      <c r="Q303" s="2211"/>
      <c r="R303" s="593" t="s">
        <v>1332</v>
      </c>
      <c r="S303" s="145"/>
      <c r="U303" s="162"/>
      <c r="V303" s="162"/>
      <c r="W303" s="162"/>
      <c r="X303" s="162"/>
      <c r="Y303" s="162"/>
      <c r="Z303" s="162"/>
      <c r="AA303" s="162"/>
      <c r="AB303" s="162"/>
      <c r="AC303" s="162"/>
      <c r="AD303" s="162"/>
      <c r="AE303" s="594"/>
    </row>
    <row r="304" spans="1:256 1523:1523" ht="11.25" customHeight="1">
      <c r="B304" s="163" t="s">
        <v>1997</v>
      </c>
      <c r="C304" s="164"/>
      <c r="D304" s="1162"/>
      <c r="E304" s="1162"/>
      <c r="F304" s="1162"/>
      <c r="G304" s="1162"/>
      <c r="H304" s="1162"/>
      <c r="I304" s="1162"/>
      <c r="J304" s="1162"/>
      <c r="K304" s="1162"/>
      <c r="L304" s="1162"/>
      <c r="M304" s="1162"/>
      <c r="N304" s="1162"/>
      <c r="O304" s="1162"/>
      <c r="P304" s="1162"/>
      <c r="Q304" s="1162"/>
    </row>
    <row r="305" spans="1:31" ht="11.45" customHeight="1">
      <c r="A305" s="1416"/>
      <c r="B305" s="1417"/>
      <c r="C305" s="1417"/>
      <c r="D305" s="1417"/>
      <c r="E305" s="1417"/>
      <c r="F305" s="1417"/>
      <c r="G305" s="1417"/>
      <c r="H305" s="1417"/>
      <c r="I305" s="1417"/>
      <c r="J305" s="1417"/>
      <c r="K305" s="1417"/>
      <c r="L305" s="1417"/>
      <c r="M305" s="1417"/>
      <c r="N305" s="1417"/>
      <c r="O305" s="1417"/>
      <c r="P305" s="1417"/>
      <c r="Q305" s="1418"/>
    </row>
    <row r="306" spans="1:31" ht="3" customHeight="1">
      <c r="A306" s="1157"/>
      <c r="B306" s="1175"/>
      <c r="C306" s="1162"/>
      <c r="D306" s="1162"/>
      <c r="E306" s="1162"/>
      <c r="F306" s="1162"/>
      <c r="G306" s="1162"/>
      <c r="H306" s="1162"/>
      <c r="I306" s="1162"/>
      <c r="J306" s="1162"/>
      <c r="K306" s="1162"/>
      <c r="L306" s="1162"/>
      <c r="M306" s="1162"/>
      <c r="N306" s="1162"/>
      <c r="O306" s="1162"/>
      <c r="P306" s="1162"/>
      <c r="Q306" s="1157"/>
    </row>
    <row r="307" spans="1:31" ht="13.9" customHeight="1">
      <c r="A307" s="1166">
        <v>20</v>
      </c>
      <c r="B307" s="1166" t="s">
        <v>3547</v>
      </c>
      <c r="C307" s="1166"/>
      <c r="D307" s="1162"/>
      <c r="E307" s="1162"/>
      <c r="F307" s="1162"/>
      <c r="G307" s="1162"/>
      <c r="H307" s="1162"/>
      <c r="O307" s="157" t="s">
        <v>1998</v>
      </c>
      <c r="P307" s="1414"/>
      <c r="Q307" s="1415"/>
    </row>
    <row r="308" spans="1:31" ht="11.45" customHeight="1">
      <c r="B308" s="65" t="s">
        <v>3548</v>
      </c>
      <c r="P308" s="2205" t="s">
        <v>3702</v>
      </c>
      <c r="Q308" s="792"/>
    </row>
    <row r="309" spans="1:31" ht="11.45" customHeight="1">
      <c r="B309" s="171" t="s">
        <v>2503</v>
      </c>
      <c r="P309" s="2205" t="s">
        <v>3703</v>
      </c>
      <c r="Q309" s="792"/>
    </row>
    <row r="310" spans="1:31" ht="11.45" customHeight="1">
      <c r="B310" s="65" t="s">
        <v>3549</v>
      </c>
      <c r="M310" s="2297" t="s">
        <v>3553</v>
      </c>
      <c r="N310" s="2298"/>
      <c r="O310" s="2299"/>
    </row>
    <row r="311" spans="1:31" ht="11.45" customHeight="1">
      <c r="B311" s="502" t="s">
        <v>2504</v>
      </c>
      <c r="M311" s="1484" t="s">
        <v>3551</v>
      </c>
      <c r="N311" s="1485"/>
      <c r="O311" s="1486"/>
    </row>
    <row r="312" spans="1:31" ht="11.25" customHeight="1">
      <c r="B312" s="167" t="s">
        <v>1996</v>
      </c>
      <c r="D312" s="167"/>
      <c r="E312" s="167"/>
      <c r="F312" s="167"/>
      <c r="G312" s="167"/>
      <c r="H312" s="48"/>
      <c r="I312" s="1175"/>
      <c r="J312" s="1175"/>
      <c r="K312" s="1175"/>
      <c r="L312" s="1157"/>
      <c r="M312" s="1157"/>
      <c r="N312" s="1157"/>
      <c r="O312" s="1157"/>
      <c r="P312" s="1157"/>
      <c r="Q312" s="60"/>
    </row>
    <row r="313" spans="1:31" ht="13.15" customHeight="1">
      <c r="A313" s="2209"/>
      <c r="B313" s="2210"/>
      <c r="C313" s="2210"/>
      <c r="D313" s="2210"/>
      <c r="E313" s="2210"/>
      <c r="F313" s="2210"/>
      <c r="G313" s="2210"/>
      <c r="H313" s="2210"/>
      <c r="I313" s="2210"/>
      <c r="J313" s="2210"/>
      <c r="K313" s="2210"/>
      <c r="L313" s="2210"/>
      <c r="M313" s="2210"/>
      <c r="N313" s="2210"/>
      <c r="O313" s="2210"/>
      <c r="P313" s="2210"/>
      <c r="Q313" s="2211"/>
      <c r="R313" s="561" t="s">
        <v>1332</v>
      </c>
      <c r="S313" s="562"/>
      <c r="U313" s="162"/>
      <c r="V313" s="162"/>
      <c r="W313" s="162"/>
      <c r="X313" s="162"/>
      <c r="Y313" s="162"/>
      <c r="Z313" s="162"/>
      <c r="AA313" s="162"/>
      <c r="AB313" s="162"/>
      <c r="AC313" s="162"/>
      <c r="AD313" s="162"/>
      <c r="AE313" s="594"/>
    </row>
    <row r="314" spans="1:31" ht="11.25" customHeight="1">
      <c r="B314" s="163" t="s">
        <v>1997</v>
      </c>
      <c r="C314" s="164"/>
      <c r="D314" s="1162"/>
      <c r="E314" s="1162"/>
      <c r="F314" s="1162"/>
      <c r="G314" s="1162"/>
      <c r="H314" s="1162"/>
      <c r="I314" s="1162"/>
      <c r="J314" s="1162"/>
      <c r="K314" s="1162"/>
      <c r="L314" s="1162"/>
      <c r="M314" s="1162"/>
      <c r="N314" s="1162"/>
      <c r="O314" s="1162"/>
      <c r="P314" s="1162"/>
      <c r="Q314" s="1162"/>
    </row>
    <row r="315" spans="1:31" ht="13.15" customHeight="1">
      <c r="A315" s="1416"/>
      <c r="B315" s="1417"/>
      <c r="C315" s="1417"/>
      <c r="D315" s="1417"/>
      <c r="E315" s="1417"/>
      <c r="F315" s="1417"/>
      <c r="G315" s="1417"/>
      <c r="H315" s="1417"/>
      <c r="I315" s="1417"/>
      <c r="J315" s="1417"/>
      <c r="K315" s="1417"/>
      <c r="L315" s="1417"/>
      <c r="M315" s="1417"/>
      <c r="N315" s="1417"/>
      <c r="O315" s="1417"/>
      <c r="P315" s="1417"/>
      <c r="Q315" s="1418"/>
    </row>
    <row r="316" spans="1:31" ht="4.1500000000000004" customHeight="1">
      <c r="B316" s="1175"/>
      <c r="C316" s="1162"/>
      <c r="D316" s="1162"/>
      <c r="E316" s="1162"/>
      <c r="F316" s="1162"/>
      <c r="G316" s="1162"/>
      <c r="H316" s="1162"/>
      <c r="I316" s="1162"/>
      <c r="J316" s="1162"/>
      <c r="K316" s="1162"/>
      <c r="L316" s="1162"/>
      <c r="M316" s="1162"/>
      <c r="Q316" s="60"/>
    </row>
    <row r="317" spans="1:31" ht="13.9" customHeight="1">
      <c r="A317" s="1166">
        <v>21</v>
      </c>
      <c r="B317" s="5" t="s">
        <v>2867</v>
      </c>
      <c r="C317" s="5"/>
      <c r="D317" s="101"/>
      <c r="E317" s="1162"/>
      <c r="F317" s="1162"/>
      <c r="G317" s="1162"/>
      <c r="H317" s="1162"/>
      <c r="I317" s="1162"/>
      <c r="J317" s="1162"/>
      <c r="K317" s="1162"/>
      <c r="L317" s="1162"/>
      <c r="M317" s="1162"/>
      <c r="O317" s="157" t="s">
        <v>1998</v>
      </c>
      <c r="P317" s="1414"/>
      <c r="Q317" s="1415"/>
    </row>
    <row r="318" spans="1:31" ht="22.15" customHeight="1">
      <c r="B318" s="168" t="s">
        <v>2119</v>
      </c>
      <c r="C318" s="1412" t="s">
        <v>3550</v>
      </c>
      <c r="D318" s="1412"/>
      <c r="E318" s="1412"/>
      <c r="F318" s="1412"/>
      <c r="G318" s="1412"/>
      <c r="H318" s="1412"/>
      <c r="I318" s="1412"/>
      <c r="J318" s="1412"/>
      <c r="K318" s="1412"/>
      <c r="L318" s="1412"/>
      <c r="M318" s="1412"/>
      <c r="N318" s="1412"/>
      <c r="O318" s="192" t="s">
        <v>2119</v>
      </c>
      <c r="P318" s="2205"/>
      <c r="Q318" s="792"/>
    </row>
    <row r="319" spans="1:31" ht="12" customHeight="1">
      <c r="B319" s="168" t="s">
        <v>2122</v>
      </c>
      <c r="C319" s="1412" t="s">
        <v>3587</v>
      </c>
      <c r="D319" s="1412"/>
      <c r="E319" s="1412"/>
      <c r="F319" s="1412"/>
      <c r="G319" s="1412"/>
      <c r="H319" s="1412"/>
      <c r="I319" s="1412"/>
      <c r="J319" s="1412"/>
      <c r="K319" s="1412"/>
      <c r="L319" s="1412"/>
      <c r="M319" s="1412"/>
      <c r="N319" s="1412"/>
      <c r="O319" s="192" t="s">
        <v>2122</v>
      </c>
      <c r="P319" s="2205"/>
      <c r="Q319" s="792"/>
    </row>
    <row r="320" spans="1:31" ht="12" customHeight="1">
      <c r="B320" s="168" t="s">
        <v>799</v>
      </c>
      <c r="C320" s="173" t="s">
        <v>3282</v>
      </c>
      <c r="D320" s="173"/>
      <c r="E320" s="173"/>
      <c r="F320" s="173"/>
      <c r="G320" s="173"/>
      <c r="H320" s="173"/>
      <c r="I320" s="173"/>
      <c r="J320" s="173"/>
      <c r="K320" s="173"/>
      <c r="L320" s="173"/>
      <c r="M320" s="173"/>
      <c r="O320" s="192" t="s">
        <v>799</v>
      </c>
      <c r="P320" s="2205"/>
      <c r="Q320" s="792"/>
    </row>
    <row r="321" spans="1:32" ht="12" customHeight="1">
      <c r="B321" s="168" t="s">
        <v>2254</v>
      </c>
      <c r="C321" s="1412" t="s">
        <v>3153</v>
      </c>
      <c r="D321" s="1412"/>
      <c r="E321" s="1412"/>
      <c r="F321" s="1412"/>
      <c r="G321" s="1412"/>
      <c r="H321" s="1412"/>
      <c r="I321" s="1412"/>
      <c r="J321" s="1412"/>
      <c r="K321" s="1412"/>
      <c r="L321" s="1412"/>
      <c r="M321" s="1412"/>
      <c r="N321" s="1412"/>
      <c r="O321" s="192" t="s">
        <v>2254</v>
      </c>
      <c r="P321" s="2205"/>
      <c r="Q321" s="792"/>
    </row>
    <row r="322" spans="1:32" ht="12" customHeight="1">
      <c r="B322" s="168" t="s">
        <v>1857</v>
      </c>
      <c r="C322" s="1412" t="s">
        <v>3283</v>
      </c>
      <c r="D322" s="1412"/>
      <c r="E322" s="1412"/>
      <c r="F322" s="1412"/>
      <c r="G322" s="1412"/>
      <c r="H322" s="1412"/>
      <c r="I322" s="1412"/>
      <c r="J322" s="1412"/>
      <c r="K322" s="1412"/>
      <c r="L322" s="1412"/>
      <c r="M322" s="1412"/>
      <c r="N322" s="1412"/>
      <c r="O322" s="192" t="s">
        <v>1857</v>
      </c>
      <c r="P322" s="2205"/>
      <c r="Q322" s="792"/>
    </row>
    <row r="323" spans="1:32" ht="11.25" customHeight="1">
      <c r="B323" s="167" t="s">
        <v>1996</v>
      </c>
      <c r="D323" s="167"/>
      <c r="E323" s="167"/>
      <c r="F323" s="167"/>
      <c r="G323" s="167"/>
      <c r="H323" s="48"/>
      <c r="I323" s="1175"/>
      <c r="J323" s="1175"/>
      <c r="K323" s="1175"/>
      <c r="L323" s="1157"/>
      <c r="M323" s="1157"/>
      <c r="N323" s="1157"/>
      <c r="O323" s="1157"/>
      <c r="P323" s="1157"/>
      <c r="Q323" s="60"/>
    </row>
    <row r="324" spans="1:32" ht="24.75" customHeight="1">
      <c r="A324" s="2209" t="s">
        <v>3772</v>
      </c>
      <c r="B324" s="2210"/>
      <c r="C324" s="2210"/>
      <c r="D324" s="2210"/>
      <c r="E324" s="2210"/>
      <c r="F324" s="2210"/>
      <c r="G324" s="2210"/>
      <c r="H324" s="2210"/>
      <c r="I324" s="2210"/>
      <c r="J324" s="2210"/>
      <c r="K324" s="2210"/>
      <c r="L324" s="2210"/>
      <c r="M324" s="2210"/>
      <c r="N324" s="2210"/>
      <c r="O324" s="2210"/>
      <c r="P324" s="2210"/>
      <c r="Q324" s="2211"/>
      <c r="U324" s="162"/>
      <c r="V324" s="162"/>
      <c r="W324" s="162"/>
      <c r="X324" s="162"/>
      <c r="Y324" s="162"/>
      <c r="Z324" s="162"/>
      <c r="AA324" s="162"/>
      <c r="AB324" s="162"/>
      <c r="AC324" s="162"/>
      <c r="AD324" s="162"/>
      <c r="AE324" s="594"/>
    </row>
    <row r="325" spans="1:32" ht="11.25" customHeight="1">
      <c r="B325" s="163" t="s">
        <v>1997</v>
      </c>
      <c r="C325" s="164"/>
      <c r="D325" s="1162"/>
      <c r="E325" s="1162"/>
      <c r="F325" s="1162"/>
      <c r="G325" s="1162"/>
      <c r="H325" s="1162"/>
      <c r="I325" s="1162"/>
      <c r="J325" s="1162"/>
      <c r="K325" s="1162"/>
      <c r="L325" s="1162"/>
      <c r="M325" s="1162"/>
      <c r="N325" s="1162"/>
      <c r="O325" s="1162"/>
      <c r="P325" s="1162"/>
      <c r="Q325" s="1162"/>
    </row>
    <row r="326" spans="1:32" ht="11.45" customHeight="1">
      <c r="A326" s="1416"/>
      <c r="B326" s="1417"/>
      <c r="C326" s="1417"/>
      <c r="D326" s="1417"/>
      <c r="E326" s="1417"/>
      <c r="F326" s="1417"/>
      <c r="G326" s="1417"/>
      <c r="H326" s="1417"/>
      <c r="I326" s="1417"/>
      <c r="J326" s="1417"/>
      <c r="K326" s="1417"/>
      <c r="L326" s="1417"/>
      <c r="M326" s="1417"/>
      <c r="N326" s="1417"/>
      <c r="O326" s="1417"/>
      <c r="P326" s="1417"/>
      <c r="Q326" s="1418"/>
    </row>
    <row r="327" spans="1:32" ht="2.25" customHeight="1">
      <c r="A327" s="1157"/>
      <c r="B327" s="1175"/>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6">
        <v>22</v>
      </c>
      <c r="B328" s="5" t="s">
        <v>2901</v>
      </c>
      <c r="C328" s="5"/>
      <c r="D328" s="5"/>
      <c r="E328" s="5"/>
      <c r="F328" s="5"/>
      <c r="G328" s="5"/>
      <c r="H328" s="1162"/>
      <c r="I328" s="1162"/>
      <c r="J328" s="1162"/>
      <c r="K328" s="1162"/>
      <c r="L328" s="1162"/>
      <c r="M328" s="1162"/>
      <c r="O328" s="157" t="s">
        <v>1998</v>
      </c>
      <c r="P328" s="1414"/>
      <c r="Q328" s="1415"/>
    </row>
    <row r="329" spans="1:32" ht="12" customHeight="1">
      <c r="B329" s="55" t="s">
        <v>2119</v>
      </c>
      <c r="C329" s="138" t="s">
        <v>2897</v>
      </c>
      <c r="D329" s="1172"/>
      <c r="E329" s="1172"/>
      <c r="F329" s="1172"/>
      <c r="G329" s="1172"/>
      <c r="H329" s="1172"/>
      <c r="I329" s="50"/>
      <c r="J329" s="592" t="s">
        <v>2119</v>
      </c>
      <c r="K329" s="2255" t="s">
        <v>3718</v>
      </c>
      <c r="L329" s="2256"/>
      <c r="M329" s="2256"/>
      <c r="N329" s="2256"/>
      <c r="O329" s="2256"/>
      <c r="P329" s="2271"/>
      <c r="Q329" s="792"/>
    </row>
    <row r="330" spans="1:32" ht="22.5" customHeight="1">
      <c r="B330" s="168" t="s">
        <v>2122</v>
      </c>
      <c r="C330" s="1400" t="s">
        <v>2896</v>
      </c>
      <c r="D330" s="1400"/>
      <c r="E330" s="1400"/>
      <c r="F330" s="1400"/>
      <c r="G330" s="1400"/>
      <c r="H330" s="1400"/>
      <c r="I330" s="1400"/>
      <c r="J330" s="1400"/>
      <c r="K330" s="1400"/>
      <c r="L330" s="1400"/>
      <c r="M330" s="1400"/>
      <c r="N330" s="1400"/>
      <c r="O330" s="192" t="s">
        <v>2122</v>
      </c>
      <c r="P330" s="2260" t="s">
        <v>3702</v>
      </c>
      <c r="Q330" s="792"/>
    </row>
    <row r="331" spans="1:32" ht="11.45" customHeight="1">
      <c r="B331" s="55" t="s">
        <v>799</v>
      </c>
      <c r="C331" s="62" t="s">
        <v>2898</v>
      </c>
      <c r="D331" s="62"/>
      <c r="E331" s="62"/>
      <c r="F331" s="62"/>
      <c r="G331" s="62"/>
      <c r="H331" s="62"/>
      <c r="I331" s="62"/>
      <c r="J331" s="62"/>
      <c r="K331" s="62"/>
      <c r="L331" s="38"/>
      <c r="M331" s="38"/>
      <c r="O331" s="592" t="s">
        <v>799</v>
      </c>
      <c r="P331" s="2205" t="s">
        <v>3702</v>
      </c>
      <c r="Q331" s="792"/>
    </row>
    <row r="332" spans="1:32" ht="11.45" customHeight="1">
      <c r="B332" s="55" t="s">
        <v>2254</v>
      </c>
      <c r="C332" s="62" t="s">
        <v>2899</v>
      </c>
      <c r="D332" s="62"/>
      <c r="E332" s="62"/>
      <c r="F332" s="62"/>
      <c r="G332" s="62"/>
      <c r="H332" s="62"/>
      <c r="I332" s="62"/>
      <c r="J332" s="62"/>
      <c r="K332" s="62"/>
      <c r="L332" s="62"/>
      <c r="M332" s="62"/>
      <c r="O332" s="592" t="s">
        <v>2254</v>
      </c>
      <c r="P332" s="2205" t="s">
        <v>3702</v>
      </c>
      <c r="Q332" s="792"/>
    </row>
    <row r="333" spans="1:32" s="158" customFormat="1" ht="11.45" customHeight="1">
      <c r="B333" s="168" t="s">
        <v>1857</v>
      </c>
      <c r="C333" s="1412" t="s">
        <v>2903</v>
      </c>
      <c r="D333" s="1412"/>
      <c r="E333" s="1412"/>
      <c r="F333" s="1412"/>
      <c r="G333" s="1412"/>
      <c r="H333" s="1412"/>
      <c r="I333" s="1412"/>
      <c r="J333" s="1412"/>
      <c r="K333" s="1412"/>
      <c r="L333" s="1412"/>
      <c r="M333" s="1412"/>
      <c r="N333" s="1412"/>
      <c r="O333" s="192" t="s">
        <v>1857</v>
      </c>
      <c r="P333" s="2260" t="s">
        <v>3702</v>
      </c>
      <c r="Q333" s="812"/>
      <c r="AE333" s="595"/>
      <c r="AF333" s="595"/>
    </row>
    <row r="334" spans="1:32" s="158" customFormat="1" ht="11.45" customHeight="1">
      <c r="B334" s="168" t="s">
        <v>1858</v>
      </c>
      <c r="C334" s="1412" t="s">
        <v>2906</v>
      </c>
      <c r="D334" s="1412"/>
      <c r="E334" s="1412"/>
      <c r="F334" s="1412"/>
      <c r="G334" s="1412"/>
      <c r="H334" s="1412"/>
      <c r="I334" s="1412"/>
      <c r="J334" s="1412"/>
      <c r="K334" s="1412"/>
      <c r="L334" s="1412"/>
      <c r="M334" s="1412"/>
      <c r="N334" s="1412"/>
      <c r="O334" s="192" t="s">
        <v>1858</v>
      </c>
      <c r="P334" s="2260" t="s">
        <v>3702</v>
      </c>
      <c r="Q334" s="812"/>
      <c r="AE334" s="595"/>
      <c r="AF334" s="595"/>
    </row>
    <row r="335" spans="1:32" ht="11.45" customHeight="1">
      <c r="B335" s="55" t="s">
        <v>2082</v>
      </c>
      <c r="C335" s="62" t="s">
        <v>2900</v>
      </c>
      <c r="D335" s="62"/>
      <c r="E335" s="62"/>
      <c r="F335" s="62"/>
      <c r="G335" s="62"/>
      <c r="H335" s="62"/>
      <c r="I335" s="62"/>
      <c r="J335" s="62"/>
      <c r="K335" s="62"/>
      <c r="L335" s="62"/>
      <c r="M335" s="62"/>
      <c r="O335" s="592" t="s">
        <v>2082</v>
      </c>
      <c r="P335" s="2205" t="s">
        <v>3703</v>
      </c>
      <c r="Q335" s="792"/>
    </row>
    <row r="336" spans="1:32" ht="11.25" customHeight="1">
      <c r="B336" s="167" t="s">
        <v>1996</v>
      </c>
      <c r="D336" s="167"/>
      <c r="E336" s="167"/>
      <c r="F336" s="167"/>
      <c r="G336" s="167"/>
      <c r="H336" s="48"/>
      <c r="I336" s="1175"/>
      <c r="J336" s="1175"/>
      <c r="K336" s="1175"/>
      <c r="L336" s="1157"/>
      <c r="M336" s="1157"/>
      <c r="N336" s="1157"/>
      <c r="O336" s="1157"/>
      <c r="P336" s="1157"/>
      <c r="Q336" s="60"/>
    </row>
    <row r="337" spans="1:32" ht="11.45" customHeight="1">
      <c r="A337" s="2209" t="s">
        <v>3796</v>
      </c>
      <c r="B337" s="2210"/>
      <c r="C337" s="2210"/>
      <c r="D337" s="2210"/>
      <c r="E337" s="2210"/>
      <c r="F337" s="2210"/>
      <c r="G337" s="2210"/>
      <c r="H337" s="2210"/>
      <c r="I337" s="2210"/>
      <c r="J337" s="2210"/>
      <c r="K337" s="2210"/>
      <c r="L337" s="2210"/>
      <c r="M337" s="2210"/>
      <c r="N337" s="2210"/>
      <c r="O337" s="2210"/>
      <c r="P337" s="2210"/>
      <c r="Q337" s="2211"/>
      <c r="U337" s="162"/>
      <c r="V337" s="162"/>
      <c r="W337" s="162"/>
      <c r="X337" s="162"/>
      <c r="Y337" s="162"/>
      <c r="Z337" s="162"/>
      <c r="AA337" s="162"/>
      <c r="AB337" s="162"/>
      <c r="AC337" s="162"/>
      <c r="AD337" s="162"/>
      <c r="AE337" s="594"/>
    </row>
    <row r="338" spans="1:32" ht="11.25" customHeight="1">
      <c r="B338" s="163" t="s">
        <v>1997</v>
      </c>
      <c r="C338" s="164"/>
      <c r="D338" s="1162"/>
      <c r="E338" s="1162"/>
      <c r="F338" s="1162"/>
      <c r="G338" s="1162"/>
      <c r="H338" s="1162"/>
      <c r="I338" s="1162"/>
      <c r="J338" s="1162"/>
      <c r="K338" s="1162"/>
      <c r="L338" s="1162"/>
      <c r="M338" s="1162"/>
      <c r="N338" s="1162"/>
      <c r="O338" s="1162"/>
      <c r="P338" s="1162"/>
      <c r="Q338" s="1162"/>
    </row>
    <row r="339" spans="1:32" ht="11.45" customHeight="1">
      <c r="A339" s="1416"/>
      <c r="B339" s="1417"/>
      <c r="C339" s="1417"/>
      <c r="D339" s="1417"/>
      <c r="E339" s="1417"/>
      <c r="F339" s="1417"/>
      <c r="G339" s="1417"/>
      <c r="H339" s="1417"/>
      <c r="I339" s="1417"/>
      <c r="J339" s="1417"/>
      <c r="K339" s="1417"/>
      <c r="L339" s="1417"/>
      <c r="M339" s="1417"/>
      <c r="N339" s="1417"/>
      <c r="O339" s="1417"/>
      <c r="P339" s="1417"/>
      <c r="Q339" s="1418"/>
    </row>
    <row r="340" spans="1:32" ht="3" customHeight="1">
      <c r="A340" s="1157"/>
      <c r="B340" s="1175"/>
      <c r="C340" s="1162"/>
      <c r="D340" s="1162"/>
      <c r="E340" s="1162"/>
      <c r="F340" s="1162"/>
      <c r="G340" s="1162"/>
      <c r="H340" s="1162"/>
      <c r="I340" s="1162"/>
      <c r="J340" s="1162"/>
      <c r="K340" s="1162"/>
      <c r="L340" s="1162"/>
      <c r="M340" s="1162"/>
      <c r="Q340" s="60"/>
    </row>
    <row r="341" spans="1:32" ht="13.9" customHeight="1">
      <c r="A341" s="1166">
        <v>23</v>
      </c>
      <c r="B341" s="5" t="s">
        <v>2907</v>
      </c>
      <c r="C341" s="5"/>
      <c r="D341" s="5"/>
      <c r="E341" s="5"/>
      <c r="F341" s="5"/>
      <c r="G341" s="5"/>
      <c r="H341" s="1162"/>
      <c r="I341" s="1162"/>
      <c r="J341" s="1162"/>
      <c r="O341" s="157" t="s">
        <v>1998</v>
      </c>
      <c r="P341" s="1414"/>
      <c r="Q341" s="1415"/>
    </row>
    <row r="342" spans="1:32" ht="11.45" customHeight="1">
      <c r="B342" s="55" t="s">
        <v>2119</v>
      </c>
      <c r="C342" s="138" t="s">
        <v>1096</v>
      </c>
      <c r="E342" s="2261"/>
      <c r="F342" s="2262"/>
      <c r="G342" s="2262"/>
      <c r="H342" s="2262"/>
      <c r="I342" s="2263"/>
      <c r="J342" s="1478" t="s">
        <v>2873</v>
      </c>
      <c r="K342" s="1479"/>
      <c r="L342" s="1480"/>
      <c r="M342" s="2261"/>
      <c r="N342" s="2262"/>
      <c r="O342" s="2262"/>
      <c r="P342" s="2262"/>
      <c r="Q342" s="2263"/>
    </row>
    <row r="343" spans="1:32" ht="11.45" customHeight="1">
      <c r="B343" s="55" t="s">
        <v>2122</v>
      </c>
      <c r="C343" s="62" t="s">
        <v>1862</v>
      </c>
      <c r="D343" s="62"/>
      <c r="E343" s="62"/>
      <c r="F343" s="62"/>
      <c r="G343" s="62"/>
      <c r="H343" s="62"/>
      <c r="I343" s="62"/>
      <c r="J343" s="62"/>
      <c r="K343" s="62"/>
      <c r="L343" s="38"/>
      <c r="M343" s="38"/>
      <c r="O343" s="592" t="s">
        <v>2122</v>
      </c>
      <c r="P343" s="2205"/>
      <c r="Q343" s="792"/>
    </row>
    <row r="344" spans="1:32" ht="22.5" customHeight="1">
      <c r="B344" s="168" t="s">
        <v>799</v>
      </c>
      <c r="C344" s="1400" t="s">
        <v>2988</v>
      </c>
      <c r="D344" s="1400"/>
      <c r="E344" s="1400"/>
      <c r="F344" s="1400"/>
      <c r="G344" s="1400"/>
      <c r="H344" s="1400"/>
      <c r="I344" s="1400"/>
      <c r="J344" s="1400"/>
      <c r="K344" s="1400"/>
      <c r="L344" s="1400"/>
      <c r="M344" s="1400"/>
      <c r="N344" s="1400"/>
      <c r="O344" s="592" t="s">
        <v>799</v>
      </c>
      <c r="P344" s="2205"/>
      <c r="Q344" s="792"/>
    </row>
    <row r="345" spans="1:32" ht="11.25" customHeight="1">
      <c r="B345" s="167" t="s">
        <v>1996</v>
      </c>
      <c r="D345" s="167"/>
      <c r="E345" s="167"/>
      <c r="F345" s="167"/>
      <c r="G345" s="167"/>
      <c r="H345" s="48"/>
      <c r="I345" s="1175"/>
      <c r="J345" s="1175"/>
      <c r="K345" s="1175"/>
      <c r="L345" s="1157"/>
      <c r="M345" s="1157"/>
      <c r="N345" s="1157"/>
      <c r="O345" s="1157"/>
      <c r="P345" s="1157"/>
      <c r="Q345" s="60"/>
    </row>
    <row r="346" spans="1:32" ht="11.45" customHeight="1">
      <c r="A346" s="2209"/>
      <c r="B346" s="2210"/>
      <c r="C346" s="2210"/>
      <c r="D346" s="2210"/>
      <c r="E346" s="2210"/>
      <c r="F346" s="2210"/>
      <c r="G346" s="2210"/>
      <c r="H346" s="2210"/>
      <c r="I346" s="2210"/>
      <c r="J346" s="2210"/>
      <c r="K346" s="2210"/>
      <c r="L346" s="2210"/>
      <c r="M346" s="2210"/>
      <c r="N346" s="2210"/>
      <c r="O346" s="2210"/>
      <c r="P346" s="2210"/>
      <c r="Q346" s="2211"/>
      <c r="U346" s="162"/>
      <c r="V346" s="162"/>
      <c r="W346" s="162"/>
      <c r="X346" s="162"/>
      <c r="Y346" s="162"/>
      <c r="Z346" s="162"/>
      <c r="AA346" s="162"/>
      <c r="AB346" s="162"/>
      <c r="AC346" s="162"/>
      <c r="AD346" s="162"/>
      <c r="AE346" s="594"/>
    </row>
    <row r="347" spans="1:32" ht="11.25" customHeight="1">
      <c r="B347" s="163" t="s">
        <v>1997</v>
      </c>
      <c r="C347" s="164"/>
      <c r="D347" s="1162"/>
      <c r="E347" s="1162"/>
      <c r="F347" s="1162"/>
      <c r="G347" s="1162"/>
      <c r="H347" s="1162"/>
      <c r="I347" s="1162"/>
      <c r="J347" s="1162"/>
      <c r="K347" s="1162"/>
      <c r="L347" s="1162"/>
      <c r="M347" s="1162"/>
      <c r="N347" s="1162"/>
      <c r="O347" s="1162"/>
      <c r="P347" s="1162"/>
      <c r="Q347" s="1162"/>
    </row>
    <row r="348" spans="1:32" ht="11.45" customHeight="1">
      <c r="A348" s="1416"/>
      <c r="B348" s="1417"/>
      <c r="C348" s="1417"/>
      <c r="D348" s="1417"/>
      <c r="E348" s="1417"/>
      <c r="F348" s="1417"/>
      <c r="G348" s="1417"/>
      <c r="H348" s="1417"/>
      <c r="I348" s="1417"/>
      <c r="J348" s="1417"/>
      <c r="K348" s="1417"/>
      <c r="L348" s="1417"/>
      <c r="M348" s="1417"/>
      <c r="N348" s="1417"/>
      <c r="O348" s="1417"/>
      <c r="P348" s="1417"/>
      <c r="Q348" s="1418"/>
    </row>
    <row r="349" spans="1:32" ht="3.6" customHeight="1">
      <c r="A349" s="1157"/>
      <c r="B349" s="1175"/>
      <c r="C349" s="1162"/>
      <c r="D349" s="1162"/>
      <c r="E349" s="1162"/>
      <c r="F349" s="1162"/>
      <c r="G349" s="1162"/>
      <c r="H349" s="1162"/>
      <c r="I349" s="1162"/>
      <c r="J349" s="1162"/>
      <c r="K349" s="1162"/>
      <c r="L349" s="1162"/>
      <c r="M349" s="1162"/>
      <c r="Q349" s="60"/>
    </row>
    <row r="350" spans="1:32" ht="13.9" customHeight="1">
      <c r="A350" s="1166">
        <v>24</v>
      </c>
      <c r="B350" s="5" t="s">
        <v>2871</v>
      </c>
      <c r="C350" s="5"/>
      <c r="D350" s="101"/>
      <c r="E350" s="1162"/>
      <c r="F350" s="1162"/>
      <c r="G350" s="1162"/>
      <c r="H350" s="1162"/>
      <c r="I350" s="1162"/>
      <c r="J350" s="1162"/>
      <c r="K350" s="1162"/>
      <c r="L350" s="1162"/>
      <c r="M350" s="1162"/>
      <c r="O350" s="157" t="s">
        <v>1998</v>
      </c>
      <c r="P350" s="1414"/>
      <c r="Q350" s="1415"/>
    </row>
    <row r="351" spans="1:32" s="1" customFormat="1" ht="23.45" customHeight="1">
      <c r="B351" s="168" t="s">
        <v>2119</v>
      </c>
      <c r="C351" s="1412" t="s">
        <v>154</v>
      </c>
      <c r="D351" s="1412"/>
      <c r="E351" s="1412"/>
      <c r="F351" s="1412"/>
      <c r="G351" s="1412"/>
      <c r="H351" s="1412"/>
      <c r="I351" s="1412"/>
      <c r="J351" s="1412"/>
      <c r="K351" s="1412"/>
      <c r="L351" s="1412"/>
      <c r="M351" s="192" t="s">
        <v>2119</v>
      </c>
      <c r="N351" s="2300" t="s">
        <v>3797</v>
      </c>
      <c r="O351" s="2301"/>
      <c r="P351" s="1474" t="s">
        <v>1895</v>
      </c>
      <c r="Q351" s="1475"/>
      <c r="AE351" s="6"/>
      <c r="AF351" s="6"/>
    </row>
    <row r="352" spans="1:32" s="1" customFormat="1" ht="12" customHeight="1">
      <c r="B352" s="55" t="s">
        <v>2122</v>
      </c>
      <c r="C352" s="135" t="s">
        <v>1</v>
      </c>
      <c r="D352" s="178"/>
      <c r="E352" s="178"/>
      <c r="G352" s="592" t="s">
        <v>2122</v>
      </c>
      <c r="H352" s="2264" t="s">
        <v>3816</v>
      </c>
      <c r="I352" s="2265"/>
      <c r="J352" s="2265"/>
      <c r="K352" s="2265"/>
      <c r="L352" s="2265"/>
      <c r="M352" s="2265"/>
      <c r="N352" s="2265"/>
      <c r="O352" s="2265"/>
      <c r="P352" s="2266"/>
      <c r="Q352" s="792"/>
      <c r="AE352" s="6"/>
      <c r="AF352" s="6"/>
    </row>
    <row r="353" spans="1:32" s="1" customFormat="1" ht="12" customHeight="1">
      <c r="B353" s="55" t="s">
        <v>799</v>
      </c>
      <c r="C353" s="38" t="s">
        <v>1507</v>
      </c>
      <c r="D353" s="12"/>
      <c r="E353" s="12"/>
      <c r="F353" s="12"/>
      <c r="G353" s="8"/>
      <c r="H353" s="8"/>
      <c r="I353" s="38"/>
      <c r="K353" s="8"/>
      <c r="L353" s="8"/>
      <c r="M353" s="8"/>
      <c r="O353" s="592" t="s">
        <v>799</v>
      </c>
      <c r="P353" s="2205"/>
      <c r="Q353" s="792"/>
      <c r="AE353" s="6"/>
      <c r="AF353" s="6"/>
    </row>
    <row r="354" spans="1:32" ht="11.25" customHeight="1">
      <c r="B354" s="167" t="s">
        <v>1996</v>
      </c>
      <c r="D354" s="167"/>
      <c r="E354" s="167"/>
      <c r="F354" s="167"/>
      <c r="G354" s="167"/>
      <c r="H354" s="48"/>
      <c r="I354" s="1175"/>
      <c r="J354" s="1175"/>
      <c r="K354" s="1175"/>
      <c r="L354" s="1157"/>
      <c r="M354" s="1157"/>
      <c r="N354" s="1157"/>
      <c r="O354" s="1157"/>
      <c r="P354" s="1157"/>
      <c r="Q354" s="60"/>
    </row>
    <row r="355" spans="1:32" ht="11.45" customHeight="1">
      <c r="A355" s="2209"/>
      <c r="B355" s="2210"/>
      <c r="C355" s="2210"/>
      <c r="D355" s="2210"/>
      <c r="E355" s="2210"/>
      <c r="F355" s="2210"/>
      <c r="G355" s="2210"/>
      <c r="H355" s="2210"/>
      <c r="I355" s="2210"/>
      <c r="J355" s="2210"/>
      <c r="K355" s="2210"/>
      <c r="L355" s="2210"/>
      <c r="M355" s="2210"/>
      <c r="N355" s="2210"/>
      <c r="O355" s="2210"/>
      <c r="P355" s="2210"/>
      <c r="Q355" s="2211"/>
      <c r="R355" s="562" t="s">
        <v>1332</v>
      </c>
      <c r="S355" s="562"/>
      <c r="U355" s="162"/>
      <c r="V355" s="162"/>
      <c r="W355" s="162"/>
      <c r="X355" s="162"/>
      <c r="Y355" s="162"/>
      <c r="Z355" s="162"/>
      <c r="AA355" s="162"/>
      <c r="AB355" s="162"/>
      <c r="AC355" s="162"/>
      <c r="AD355" s="162"/>
      <c r="AE355" s="594"/>
    </row>
    <row r="356" spans="1:32" s="31" customFormat="1" ht="3" customHeight="1">
      <c r="C356" s="137"/>
      <c r="D356" s="137"/>
      <c r="R356" s="562"/>
      <c r="S356" s="562"/>
      <c r="AE356" s="137"/>
      <c r="AF356" s="137"/>
    </row>
    <row r="357" spans="1:32" ht="11.25" customHeight="1">
      <c r="B357" s="163" t="s">
        <v>1997</v>
      </c>
      <c r="C357" s="164"/>
      <c r="D357" s="1162"/>
      <c r="E357" s="1162"/>
      <c r="F357" s="1162"/>
      <c r="G357" s="1162"/>
      <c r="H357" s="1162"/>
      <c r="I357" s="1162"/>
      <c r="J357" s="1162"/>
      <c r="K357" s="1162"/>
      <c r="L357" s="1162"/>
      <c r="M357" s="1162"/>
      <c r="N357" s="1162"/>
      <c r="O357" s="1162"/>
      <c r="P357" s="1162"/>
      <c r="Q357" s="1162"/>
    </row>
    <row r="358" spans="1:32" ht="11.45" customHeight="1">
      <c r="A358" s="1416"/>
      <c r="B358" s="1417"/>
      <c r="C358" s="1417"/>
      <c r="D358" s="1417"/>
      <c r="E358" s="1417"/>
      <c r="F358" s="1417"/>
      <c r="G358" s="1417"/>
      <c r="H358" s="1417"/>
      <c r="I358" s="1417"/>
      <c r="J358" s="1417"/>
      <c r="K358" s="1417"/>
      <c r="L358" s="1417"/>
      <c r="M358" s="1417"/>
      <c r="N358" s="1417"/>
      <c r="O358" s="1417"/>
      <c r="P358" s="1417"/>
      <c r="Q358" s="1418"/>
    </row>
    <row r="359" spans="1:32" ht="3" customHeight="1">
      <c r="A359" s="1157"/>
      <c r="B359" s="1175"/>
      <c r="C359" s="1162"/>
      <c r="D359" s="1162"/>
      <c r="E359" s="1162"/>
      <c r="F359" s="1162"/>
      <c r="G359" s="1162"/>
      <c r="H359" s="1162"/>
      <c r="I359" s="1162"/>
      <c r="J359" s="1162"/>
      <c r="K359" s="1162"/>
      <c r="L359" s="1162"/>
      <c r="M359" s="1162"/>
      <c r="N359" s="1162"/>
      <c r="O359" s="1162"/>
      <c r="P359" s="1162"/>
      <c r="Q359" s="1157"/>
    </row>
    <row r="360" spans="1:32" ht="13.9" customHeight="1">
      <c r="A360" s="1166">
        <v>25</v>
      </c>
      <c r="B360" s="5" t="s">
        <v>2868</v>
      </c>
      <c r="C360" s="5"/>
      <c r="D360" s="5"/>
      <c r="E360" s="1162"/>
      <c r="G360" s="166" t="s">
        <v>749</v>
      </c>
      <c r="H360" s="1162"/>
      <c r="I360" s="1162"/>
      <c r="J360" s="1162"/>
      <c r="K360" s="1162"/>
      <c r="L360" s="1162"/>
      <c r="M360" s="1162"/>
      <c r="O360" s="157" t="s">
        <v>1998</v>
      </c>
      <c r="P360" s="1414"/>
      <c r="Q360" s="1444"/>
    </row>
    <row r="361" spans="1:32" ht="12" customHeight="1">
      <c r="A361" s="170"/>
      <c r="B361" s="55" t="s">
        <v>2119</v>
      </c>
      <c r="C361" s="62" t="s">
        <v>2875</v>
      </c>
      <c r="D361" s="555"/>
      <c r="E361" s="555"/>
      <c r="H361" s="166"/>
      <c r="O361" s="592" t="s">
        <v>2119</v>
      </c>
      <c r="P361" s="2205" t="s">
        <v>3703</v>
      </c>
      <c r="Q361" s="792"/>
    </row>
    <row r="362" spans="1:32" ht="12" customHeight="1">
      <c r="A362" s="170"/>
      <c r="B362" s="55" t="s">
        <v>2122</v>
      </c>
      <c r="C362" s="62" t="s">
        <v>2876</v>
      </c>
      <c r="D362" s="555"/>
      <c r="E362" s="555"/>
      <c r="O362" s="592" t="s">
        <v>2122</v>
      </c>
      <c r="P362" s="2205" t="s">
        <v>3703</v>
      </c>
      <c r="Q362" s="792"/>
    </row>
    <row r="363" spans="1:32" ht="12" customHeight="1">
      <c r="A363" s="170"/>
      <c r="B363" s="55" t="s">
        <v>799</v>
      </c>
      <c r="C363" s="62" t="s">
        <v>2908</v>
      </c>
      <c r="D363" s="555"/>
      <c r="E363" s="555"/>
      <c r="O363" s="592" t="s">
        <v>799</v>
      </c>
      <c r="P363" s="2205" t="s">
        <v>3702</v>
      </c>
      <c r="Q363" s="792"/>
    </row>
    <row r="364" spans="1:32" ht="12" customHeight="1">
      <c r="A364" s="170"/>
      <c r="B364" s="55" t="s">
        <v>2254</v>
      </c>
      <c r="C364" s="62" t="s">
        <v>2872</v>
      </c>
      <c r="E364" s="166"/>
      <c r="O364" s="592" t="s">
        <v>2254</v>
      </c>
      <c r="P364" s="2205" t="s">
        <v>3703</v>
      </c>
      <c r="Q364" s="792"/>
    </row>
    <row r="365" spans="1:32" ht="12" customHeight="1">
      <c r="B365" s="55" t="s">
        <v>1857</v>
      </c>
      <c r="C365" s="62" t="s">
        <v>2218</v>
      </c>
      <c r="E365" s="166"/>
      <c r="G365" s="592" t="s">
        <v>1857</v>
      </c>
      <c r="H365" s="2302"/>
      <c r="I365" s="2303"/>
      <c r="J365" s="2303"/>
      <c r="K365" s="2303"/>
      <c r="L365" s="2303"/>
      <c r="M365" s="2303"/>
      <c r="N365" s="2303"/>
      <c r="O365" s="2304"/>
      <c r="P365" s="2205"/>
      <c r="Q365" s="792"/>
    </row>
    <row r="366" spans="1:32" ht="11.25" customHeight="1">
      <c r="B366" s="167" t="s">
        <v>1996</v>
      </c>
      <c r="D366" s="167"/>
      <c r="E366" s="167"/>
      <c r="F366" s="167"/>
      <c r="G366" s="167"/>
      <c r="H366" s="48"/>
      <c r="I366" s="1175"/>
      <c r="J366" s="1175"/>
      <c r="K366" s="1175"/>
      <c r="L366" s="1157"/>
      <c r="M366" s="1157"/>
      <c r="N366" s="1157"/>
      <c r="O366" s="1157"/>
      <c r="P366" s="1157"/>
      <c r="Q366" s="60"/>
    </row>
    <row r="367" spans="1:32" ht="11.45" customHeight="1">
      <c r="A367" s="2209"/>
      <c r="B367" s="2210"/>
      <c r="C367" s="2210"/>
      <c r="D367" s="2210"/>
      <c r="E367" s="2210"/>
      <c r="F367" s="2210"/>
      <c r="G367" s="2210"/>
      <c r="H367" s="2210"/>
      <c r="I367" s="2210"/>
      <c r="J367" s="2210"/>
      <c r="K367" s="2210"/>
      <c r="L367" s="2210"/>
      <c r="M367" s="2210"/>
      <c r="N367" s="2210"/>
      <c r="O367" s="2210"/>
      <c r="P367" s="2210"/>
      <c r="Q367" s="2211"/>
      <c r="U367" s="162"/>
      <c r="V367" s="162"/>
      <c r="W367" s="162"/>
      <c r="X367" s="162"/>
      <c r="Y367" s="162"/>
      <c r="Z367" s="162"/>
      <c r="AA367" s="162"/>
      <c r="AB367" s="162"/>
      <c r="AC367" s="162"/>
      <c r="AD367" s="162"/>
      <c r="AE367" s="594"/>
    </row>
    <row r="368" spans="1:32" ht="11.25" customHeight="1">
      <c r="B368" s="163" t="s">
        <v>1997</v>
      </c>
      <c r="C368" s="164"/>
      <c r="D368" s="1162"/>
      <c r="E368" s="1162"/>
      <c r="F368" s="1162"/>
      <c r="G368" s="1162"/>
      <c r="H368" s="1162"/>
      <c r="I368" s="1162"/>
      <c r="J368" s="1162"/>
      <c r="K368" s="1162"/>
      <c r="L368" s="1162"/>
      <c r="M368" s="1162"/>
      <c r="N368" s="1162"/>
      <c r="O368" s="1162"/>
      <c r="P368" s="1162"/>
      <c r="Q368" s="1162"/>
    </row>
    <row r="369" spans="1:17" ht="11.45" customHeight="1">
      <c r="A369" s="1416"/>
      <c r="B369" s="1417"/>
      <c r="C369" s="1417"/>
      <c r="D369" s="1417"/>
      <c r="E369" s="1417"/>
      <c r="F369" s="1417"/>
      <c r="G369" s="1417"/>
      <c r="H369" s="1417"/>
      <c r="I369" s="1417"/>
      <c r="J369" s="1417"/>
      <c r="K369" s="1417"/>
      <c r="L369" s="1417"/>
      <c r="M369" s="1417"/>
      <c r="N369" s="1417"/>
      <c r="O369" s="1417"/>
      <c r="P369" s="1417"/>
      <c r="Q369" s="1418"/>
    </row>
    <row r="370" spans="1:17" ht="3" customHeight="1">
      <c r="A370" s="1157"/>
      <c r="B370" s="1175"/>
      <c r="C370" s="1162"/>
      <c r="D370" s="1162"/>
      <c r="E370" s="1162"/>
      <c r="F370" s="1162"/>
      <c r="G370" s="1162"/>
      <c r="H370" s="1162"/>
      <c r="I370" s="1162"/>
      <c r="J370" s="1162"/>
      <c r="K370" s="1162"/>
      <c r="L370" s="1162"/>
      <c r="M370" s="1162"/>
      <c r="N370" s="1162"/>
      <c r="O370" s="1162"/>
      <c r="P370" s="1162"/>
      <c r="Q370" s="1157"/>
    </row>
    <row r="371" spans="1:17" ht="13.9" customHeight="1">
      <c r="A371" s="1166">
        <v>26</v>
      </c>
      <c r="B371" s="5" t="s">
        <v>2869</v>
      </c>
      <c r="C371" s="5"/>
      <c r="D371" s="5"/>
      <c r="E371" s="5"/>
      <c r="F371" s="5"/>
      <c r="G371" s="5"/>
      <c r="H371" s="1162"/>
      <c r="I371" s="1162"/>
      <c r="J371" s="1162"/>
      <c r="K371" s="1162"/>
      <c r="L371" s="1162"/>
      <c r="M371" s="1162"/>
      <c r="O371" s="157" t="s">
        <v>1998</v>
      </c>
      <c r="P371" s="1414"/>
      <c r="Q371" s="1444"/>
    </row>
    <row r="372" spans="1:17" ht="12" customHeight="1">
      <c r="A372" s="50"/>
      <c r="B372" s="55" t="s">
        <v>2119</v>
      </c>
      <c r="C372" s="47" t="s">
        <v>802</v>
      </c>
      <c r="D372" s="50"/>
      <c r="E372" s="50"/>
      <c r="F372" s="50"/>
      <c r="G372" s="50"/>
      <c r="H372" s="50"/>
      <c r="I372" s="50"/>
      <c r="J372" s="50"/>
      <c r="K372" s="50"/>
      <c r="L372" s="50"/>
      <c r="M372" s="50"/>
      <c r="N372" s="50"/>
      <c r="O372" s="592" t="s">
        <v>2119</v>
      </c>
      <c r="P372" s="2205" t="s">
        <v>3702</v>
      </c>
      <c r="Q372" s="792"/>
    </row>
    <row r="373" spans="1:17" ht="12" customHeight="1">
      <c r="A373" s="50"/>
      <c r="B373" s="55" t="s">
        <v>2122</v>
      </c>
      <c r="C373" s="47" t="s">
        <v>2345</v>
      </c>
      <c r="D373" s="50"/>
      <c r="E373" s="50"/>
      <c r="F373" s="50"/>
      <c r="G373" s="50"/>
      <c r="H373" s="50"/>
      <c r="I373" s="50"/>
      <c r="J373" s="50"/>
      <c r="K373" s="50"/>
      <c r="L373" s="50"/>
      <c r="M373" s="50"/>
      <c r="N373" s="50"/>
      <c r="O373" s="592" t="s">
        <v>1542</v>
      </c>
      <c r="P373" s="2205" t="s">
        <v>3702</v>
      </c>
      <c r="Q373" s="792"/>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2" t="s">
        <v>1860</v>
      </c>
      <c r="P375" s="2205" t="s">
        <v>3703</v>
      </c>
      <c r="Q375" s="792"/>
    </row>
    <row r="376" spans="1:17" ht="12" customHeight="1">
      <c r="A376" s="50"/>
      <c r="B376" s="55" t="s">
        <v>799</v>
      </c>
      <c r="C376" s="1400" t="s">
        <v>2344</v>
      </c>
      <c r="D376" s="1400"/>
      <c r="E376" s="1400"/>
      <c r="F376" s="1400"/>
      <c r="G376" s="1400"/>
      <c r="H376" s="1400"/>
      <c r="I376" s="1400"/>
      <c r="J376" s="1400"/>
      <c r="K376" s="1400"/>
      <c r="L376" s="1400"/>
      <c r="M376" s="1400"/>
      <c r="N376" s="1400"/>
      <c r="O376" s="592" t="s">
        <v>799</v>
      </c>
      <c r="P376" s="2205" t="s">
        <v>3702</v>
      </c>
      <c r="Q376" s="792"/>
    </row>
    <row r="377" spans="1:17" ht="12" customHeight="1">
      <c r="A377" s="50"/>
      <c r="B377" s="55" t="s">
        <v>2254</v>
      </c>
      <c r="C377" s="38" t="s">
        <v>3284</v>
      </c>
      <c r="D377" s="38"/>
      <c r="E377" s="38"/>
      <c r="F377" s="38"/>
      <c r="G377" s="38"/>
      <c r="H377" s="38"/>
      <c r="I377" s="38"/>
      <c r="J377" s="38"/>
      <c r="K377" s="38"/>
      <c r="L377" s="38"/>
      <c r="M377" s="38"/>
      <c r="N377" s="50"/>
      <c r="O377" s="592"/>
      <c r="P377" s="50"/>
      <c r="Q377" s="50"/>
    </row>
    <row r="378" spans="1:17" ht="12" customHeight="1">
      <c r="A378" s="50"/>
      <c r="B378" s="55"/>
      <c r="C378" s="160" t="s">
        <v>2347</v>
      </c>
      <c r="D378" s="44"/>
      <c r="E378" s="50"/>
      <c r="F378" s="38"/>
      <c r="G378" s="1744">
        <v>2</v>
      </c>
      <c r="H378" s="819" t="s">
        <v>256</v>
      </c>
      <c r="J378" s="160" t="s">
        <v>2350</v>
      </c>
      <c r="K378" s="38"/>
      <c r="N378" s="1744"/>
      <c r="O378" s="819" t="s">
        <v>256</v>
      </c>
    </row>
    <row r="379" spans="1:17" ht="12" customHeight="1">
      <c r="A379" s="50"/>
      <c r="B379" s="55"/>
      <c r="C379" s="160" t="s">
        <v>2348</v>
      </c>
      <c r="D379" s="44"/>
      <c r="E379" s="50"/>
      <c r="F379" s="38"/>
      <c r="G379" s="1752"/>
      <c r="H379" s="820"/>
      <c r="J379" s="160" t="s">
        <v>2351</v>
      </c>
      <c r="K379" s="38"/>
      <c r="N379" s="1760"/>
      <c r="O379" s="821"/>
    </row>
    <row r="380" spans="1:17" ht="12" customHeight="1">
      <c r="A380" s="50"/>
      <c r="B380" s="55"/>
      <c r="C380" s="160" t="s">
        <v>2349</v>
      </c>
      <c r="D380" s="44"/>
      <c r="E380" s="50"/>
      <c r="F380" s="38"/>
      <c r="G380" s="1760">
        <v>3</v>
      </c>
      <c r="H380" s="821" t="s">
        <v>256</v>
      </c>
      <c r="K380" s="38"/>
      <c r="L380" s="38"/>
      <c r="M380" s="38"/>
      <c r="N380" s="50"/>
      <c r="O380" s="592"/>
    </row>
    <row r="381" spans="1:17" ht="12" customHeight="1">
      <c r="A381" s="50"/>
      <c r="B381" s="55" t="s">
        <v>1857</v>
      </c>
      <c r="C381" s="38" t="s">
        <v>2543</v>
      </c>
      <c r="D381" s="38"/>
      <c r="E381" s="38"/>
      <c r="F381" s="38"/>
      <c r="G381" s="38"/>
      <c r="J381" s="50"/>
      <c r="K381" s="38"/>
      <c r="L381" s="38"/>
      <c r="M381" s="38"/>
      <c r="N381" s="50"/>
      <c r="O381" s="592"/>
      <c r="P381" s="592"/>
      <c r="Q381" s="592"/>
    </row>
    <row r="382" spans="1:17" ht="12" customHeight="1">
      <c r="A382" s="50"/>
      <c r="B382" s="55"/>
      <c r="C382" s="535" t="s">
        <v>2352</v>
      </c>
      <c r="D382" s="38"/>
      <c r="E382" s="38"/>
      <c r="F382" s="38"/>
      <c r="G382" s="2268" t="s">
        <v>3702</v>
      </c>
      <c r="H382" s="795"/>
      <c r="J382" s="535" t="s">
        <v>1253</v>
      </c>
      <c r="K382" s="38"/>
      <c r="N382" s="2259" t="s">
        <v>3702</v>
      </c>
      <c r="O382" s="793"/>
    </row>
    <row r="383" spans="1:17" ht="12" customHeight="1">
      <c r="A383" s="50"/>
      <c r="B383" s="55"/>
      <c r="C383" s="535" t="s">
        <v>1252</v>
      </c>
      <c r="D383" s="38"/>
      <c r="E383" s="38"/>
      <c r="F383" s="38"/>
      <c r="G383" s="2270" t="s">
        <v>3702</v>
      </c>
      <c r="H383" s="797"/>
      <c r="J383" s="535" t="s">
        <v>2403</v>
      </c>
      <c r="N383" s="2305"/>
      <c r="O383" s="2306"/>
      <c r="P383" s="2306"/>
      <c r="Q383" s="2307"/>
    </row>
    <row r="384" spans="1:17" ht="12" customHeight="1">
      <c r="B384" s="167" t="s">
        <v>1996</v>
      </c>
      <c r="D384" s="167"/>
      <c r="E384" s="167"/>
      <c r="F384" s="167"/>
      <c r="G384" s="167"/>
      <c r="H384" s="48"/>
      <c r="I384" s="1175"/>
      <c r="J384" s="1175"/>
      <c r="K384" s="1175"/>
      <c r="P384" s="1157"/>
      <c r="Q384" s="60"/>
    </row>
    <row r="385" spans="1:32" ht="25.5" customHeight="1">
      <c r="A385" s="2209" t="s">
        <v>3820</v>
      </c>
      <c r="B385" s="2210"/>
      <c r="C385" s="2210"/>
      <c r="D385" s="2210"/>
      <c r="E385" s="2210"/>
      <c r="F385" s="2210"/>
      <c r="G385" s="2210"/>
      <c r="H385" s="2210"/>
      <c r="I385" s="2210"/>
      <c r="J385" s="2210"/>
      <c r="K385" s="2210"/>
      <c r="L385" s="2210"/>
      <c r="M385" s="2210"/>
      <c r="N385" s="2210"/>
      <c r="O385" s="2210"/>
      <c r="P385" s="2210"/>
      <c r="Q385" s="2211"/>
      <c r="U385" s="162"/>
      <c r="V385" s="162"/>
      <c r="W385" s="162"/>
      <c r="X385" s="162"/>
      <c r="Y385" s="162"/>
      <c r="Z385" s="162"/>
      <c r="AA385" s="162"/>
      <c r="AB385" s="162"/>
      <c r="AC385" s="162"/>
      <c r="AD385" s="162"/>
      <c r="AE385" s="594"/>
    </row>
    <row r="386" spans="1:32" ht="12" customHeight="1">
      <c r="B386" s="163" t="s">
        <v>1997</v>
      </c>
      <c r="C386" s="164"/>
      <c r="D386" s="1162"/>
      <c r="E386" s="1162"/>
      <c r="F386" s="1162"/>
      <c r="G386" s="1162"/>
      <c r="H386" s="1162"/>
      <c r="I386" s="1162"/>
      <c r="J386" s="1162"/>
      <c r="K386" s="1162"/>
      <c r="L386" s="1162"/>
      <c r="M386" s="1162"/>
      <c r="N386" s="1162"/>
      <c r="O386" s="1162"/>
      <c r="P386" s="1162"/>
      <c r="Q386" s="1162"/>
    </row>
    <row r="387" spans="1:32" ht="12" customHeight="1">
      <c r="A387" s="1416"/>
      <c r="B387" s="1417"/>
      <c r="C387" s="1417"/>
      <c r="D387" s="1417"/>
      <c r="E387" s="1417"/>
      <c r="F387" s="1417"/>
      <c r="G387" s="1417"/>
      <c r="H387" s="1417"/>
      <c r="I387" s="1417"/>
      <c r="J387" s="1417"/>
      <c r="K387" s="1417"/>
      <c r="L387" s="1417"/>
      <c r="M387" s="1417"/>
      <c r="N387" s="1417"/>
      <c r="O387" s="1417"/>
      <c r="P387" s="1417"/>
      <c r="Q387" s="1418"/>
    </row>
    <row r="388" spans="1:32" ht="3" customHeight="1">
      <c r="A388" s="1157"/>
      <c r="B388" s="1175"/>
      <c r="C388" s="1162"/>
      <c r="D388" s="1162"/>
      <c r="E388" s="1162"/>
      <c r="F388" s="1162"/>
      <c r="G388" s="1162"/>
      <c r="H388" s="1162"/>
      <c r="I388" s="1162"/>
      <c r="J388" s="1162"/>
      <c r="K388" s="1162"/>
      <c r="L388" s="1162"/>
      <c r="M388" s="1162"/>
      <c r="Q388" s="60"/>
    </row>
    <row r="389" spans="1:32" ht="13.9" customHeight="1">
      <c r="A389" s="1166">
        <v>27</v>
      </c>
      <c r="B389" s="5" t="s">
        <v>3285</v>
      </c>
      <c r="C389" s="5"/>
      <c r="D389" s="101"/>
      <c r="E389" s="1162"/>
      <c r="F389" s="1162"/>
      <c r="G389" s="1162"/>
      <c r="H389" s="1162"/>
      <c r="O389" s="157" t="s">
        <v>1998</v>
      </c>
      <c r="P389" s="1414"/>
      <c r="Q389" s="1415"/>
    </row>
    <row r="390" spans="1:32" s="158" customFormat="1" ht="21.75" customHeight="1">
      <c r="B390" s="168" t="s">
        <v>2119</v>
      </c>
      <c r="C390" s="1462" t="s">
        <v>3286</v>
      </c>
      <c r="D390" s="1462"/>
      <c r="E390" s="1462"/>
      <c r="F390" s="1462"/>
      <c r="G390" s="1462"/>
      <c r="H390" s="1462"/>
      <c r="I390" s="1462"/>
      <c r="J390" s="1462"/>
      <c r="K390" s="1462"/>
      <c r="L390" s="1462"/>
      <c r="M390" s="1462"/>
      <c r="N390" s="1462"/>
      <c r="O390" s="192" t="s">
        <v>2119</v>
      </c>
      <c r="P390" s="2260" t="s">
        <v>3758</v>
      </c>
      <c r="Q390" s="812"/>
      <c r="AE390" s="595"/>
      <c r="AF390" s="595"/>
    </row>
    <row r="391" spans="1:32" s="158" customFormat="1" ht="21.75" customHeight="1">
      <c r="B391" s="168" t="s">
        <v>2122</v>
      </c>
      <c r="C391" s="1462" t="s">
        <v>3287</v>
      </c>
      <c r="D391" s="1462"/>
      <c r="E391" s="1462"/>
      <c r="F391" s="1462"/>
      <c r="G391" s="1462"/>
      <c r="H391" s="1462"/>
      <c r="I391" s="1462"/>
      <c r="J391" s="1462"/>
      <c r="K391" s="1462"/>
      <c r="L391" s="1462"/>
      <c r="M391" s="1462"/>
      <c r="N391" s="1462"/>
      <c r="O391" s="192" t="s">
        <v>2122</v>
      </c>
      <c r="P391" s="2260" t="s">
        <v>3758</v>
      </c>
      <c r="Q391" s="812"/>
      <c r="AE391" s="595"/>
      <c r="AF391" s="595"/>
    </row>
    <row r="392" spans="1:32" s="158" customFormat="1" ht="21.75" customHeight="1">
      <c r="B392" s="168" t="s">
        <v>799</v>
      </c>
      <c r="C392" s="1462" t="s">
        <v>3288</v>
      </c>
      <c r="D392" s="1462"/>
      <c r="E392" s="1462"/>
      <c r="F392" s="1462"/>
      <c r="G392" s="1462"/>
      <c r="H392" s="1462"/>
      <c r="I392" s="1462"/>
      <c r="J392" s="1462"/>
      <c r="K392" s="1462"/>
      <c r="L392" s="1462"/>
      <c r="M392" s="1462"/>
      <c r="N392" s="1462"/>
      <c r="O392" s="192" t="s">
        <v>799</v>
      </c>
      <c r="P392" s="2260" t="s">
        <v>3758</v>
      </c>
      <c r="Q392" s="812"/>
      <c r="AE392" s="595"/>
      <c r="AF392" s="595"/>
    </row>
    <row r="393" spans="1:32" s="158" customFormat="1" ht="33.75" customHeight="1">
      <c r="B393" s="168" t="s">
        <v>2254</v>
      </c>
      <c r="C393" s="1462" t="s">
        <v>3289</v>
      </c>
      <c r="D393" s="1462"/>
      <c r="E393" s="1462"/>
      <c r="F393" s="1462"/>
      <c r="G393" s="1462"/>
      <c r="H393" s="1462"/>
      <c r="I393" s="1462"/>
      <c r="J393" s="1462"/>
      <c r="K393" s="1462"/>
      <c r="L393" s="1462"/>
      <c r="M393" s="1462"/>
      <c r="N393" s="1462"/>
      <c r="O393" s="192" t="s">
        <v>2254</v>
      </c>
      <c r="P393" s="2260" t="s">
        <v>3758</v>
      </c>
      <c r="Q393" s="812"/>
      <c r="AE393" s="595"/>
      <c r="AF393" s="595"/>
    </row>
    <row r="394" spans="1:32" s="158" customFormat="1" ht="21.75" customHeight="1">
      <c r="B394" s="168" t="s">
        <v>1857</v>
      </c>
      <c r="C394" s="1462" t="s">
        <v>3290</v>
      </c>
      <c r="D394" s="1462"/>
      <c r="E394" s="1462"/>
      <c r="F394" s="1462"/>
      <c r="G394" s="1462"/>
      <c r="H394" s="1462"/>
      <c r="I394" s="1462"/>
      <c r="J394" s="1462"/>
      <c r="K394" s="1462"/>
      <c r="L394" s="1462"/>
      <c r="M394" s="1462"/>
      <c r="N394" s="1462"/>
      <c r="O394" s="192" t="s">
        <v>1857</v>
      </c>
      <c r="P394" s="2260" t="s">
        <v>3758</v>
      </c>
      <c r="Q394" s="812"/>
      <c r="AE394" s="595"/>
      <c r="AF394" s="595"/>
    </row>
    <row r="395" spans="1:32" s="158" customFormat="1" ht="21.75" customHeight="1">
      <c r="B395" s="168" t="s">
        <v>1858</v>
      </c>
      <c r="C395" s="1462" t="s">
        <v>3291</v>
      </c>
      <c r="D395" s="1462"/>
      <c r="E395" s="1462"/>
      <c r="F395" s="1462"/>
      <c r="G395" s="1462"/>
      <c r="H395" s="1462"/>
      <c r="I395" s="1462"/>
      <c r="J395" s="1462"/>
      <c r="K395" s="1462"/>
      <c r="L395" s="1462"/>
      <c r="M395" s="1462"/>
      <c r="N395" s="1462"/>
      <c r="O395" s="192" t="s">
        <v>1858</v>
      </c>
      <c r="P395" s="2260" t="s">
        <v>3758</v>
      </c>
      <c r="Q395" s="812"/>
      <c r="AE395" s="595"/>
      <c r="AF395" s="595"/>
    </row>
    <row r="396" spans="1:32" s="158" customFormat="1" ht="21.75" customHeight="1">
      <c r="B396" s="168" t="s">
        <v>2082</v>
      </c>
      <c r="C396" s="1462" t="s">
        <v>2904</v>
      </c>
      <c r="D396" s="1462"/>
      <c r="E396" s="1462"/>
      <c r="F396" s="1462"/>
      <c r="G396" s="1462"/>
      <c r="H396" s="1462"/>
      <c r="I396" s="1462"/>
      <c r="J396" s="1462"/>
      <c r="K396" s="1462"/>
      <c r="L396" s="1462"/>
      <c r="M396" s="1462"/>
      <c r="N396" s="1462"/>
      <c r="O396" s="192" t="s">
        <v>2082</v>
      </c>
      <c r="P396" s="2260" t="s">
        <v>3758</v>
      </c>
      <c r="Q396" s="812"/>
      <c r="AE396" s="595"/>
      <c r="AF396" s="595"/>
    </row>
    <row r="397" spans="1:32" ht="11.25" customHeight="1">
      <c r="B397" s="167" t="s">
        <v>1996</v>
      </c>
      <c r="D397" s="167"/>
      <c r="E397" s="167"/>
      <c r="F397" s="167"/>
      <c r="G397" s="167"/>
      <c r="H397" s="48"/>
      <c r="I397" s="1175"/>
      <c r="J397" s="1175"/>
      <c r="K397" s="1175"/>
      <c r="L397" s="1157"/>
      <c r="M397" s="1157"/>
      <c r="N397" s="1157"/>
      <c r="O397" s="1157"/>
      <c r="P397" s="1157"/>
      <c r="Q397" s="60"/>
    </row>
    <row r="398" spans="1:32" ht="11.45" customHeight="1">
      <c r="A398" s="2209"/>
      <c r="B398" s="2210"/>
      <c r="C398" s="2210"/>
      <c r="D398" s="2210"/>
      <c r="E398" s="2210"/>
      <c r="F398" s="2210"/>
      <c r="G398" s="2210"/>
      <c r="H398" s="2210"/>
      <c r="I398" s="2210"/>
      <c r="J398" s="2210"/>
      <c r="K398" s="2210"/>
      <c r="L398" s="2210"/>
      <c r="M398" s="2210"/>
      <c r="N398" s="2210"/>
      <c r="O398" s="2210"/>
      <c r="P398" s="2210"/>
      <c r="Q398" s="2211"/>
      <c r="R398" s="561" t="s">
        <v>1332</v>
      </c>
      <c r="S398" s="562"/>
      <c r="U398" s="162"/>
      <c r="V398" s="162"/>
      <c r="W398" s="162"/>
      <c r="X398" s="162"/>
      <c r="Y398" s="162"/>
      <c r="Z398" s="162"/>
      <c r="AA398" s="162"/>
      <c r="AB398" s="162"/>
      <c r="AC398" s="162"/>
      <c r="AD398" s="162"/>
      <c r="AE398" s="594"/>
    </row>
    <row r="399" spans="1:32" ht="11.25" customHeight="1">
      <c r="B399" s="163" t="s">
        <v>1997</v>
      </c>
      <c r="C399" s="164"/>
      <c r="D399" s="1162"/>
      <c r="E399" s="1162"/>
      <c r="F399" s="1162"/>
      <c r="G399" s="1162"/>
      <c r="H399" s="1162"/>
      <c r="I399" s="1162"/>
      <c r="J399" s="1162"/>
      <c r="K399" s="1162"/>
      <c r="L399" s="1162"/>
      <c r="M399" s="1162"/>
      <c r="N399" s="1162"/>
      <c r="O399" s="1162"/>
      <c r="P399" s="1162"/>
      <c r="Q399" s="1162"/>
    </row>
    <row r="400" spans="1:32" ht="11.45" customHeight="1">
      <c r="A400" s="1416"/>
      <c r="B400" s="1417"/>
      <c r="C400" s="1417"/>
      <c r="D400" s="1417"/>
      <c r="E400" s="1417"/>
      <c r="F400" s="1417"/>
      <c r="G400" s="1417"/>
      <c r="H400" s="1417"/>
      <c r="I400" s="1417"/>
      <c r="J400" s="1417"/>
      <c r="K400" s="1417"/>
      <c r="L400" s="1417"/>
      <c r="M400" s="1417"/>
      <c r="N400" s="1417"/>
      <c r="O400" s="1417"/>
      <c r="P400" s="1417"/>
      <c r="Q400" s="1418"/>
    </row>
    <row r="401" spans="1:32" ht="3" customHeight="1">
      <c r="A401" s="1157"/>
      <c r="B401" s="1175"/>
      <c r="C401" s="1162"/>
      <c r="D401" s="1162"/>
      <c r="E401" s="1162"/>
      <c r="F401" s="1162"/>
      <c r="G401" s="1162"/>
      <c r="H401" s="1162"/>
      <c r="I401" s="1162"/>
      <c r="J401" s="1162"/>
      <c r="K401" s="1162"/>
      <c r="L401" s="1162"/>
      <c r="M401" s="1162"/>
      <c r="Q401" s="60"/>
    </row>
    <row r="402" spans="1:32" ht="13.9" customHeight="1">
      <c r="A402" s="1166">
        <v>28</v>
      </c>
      <c r="B402" s="5" t="s">
        <v>2870</v>
      </c>
      <c r="C402" s="5"/>
      <c r="D402" s="101"/>
      <c r="E402" s="1162"/>
      <c r="F402" s="1162"/>
      <c r="G402" s="1162"/>
      <c r="H402" s="1162"/>
      <c r="I402" s="1162"/>
      <c r="J402" s="1162"/>
      <c r="K402" s="1162"/>
      <c r="L402" s="1162"/>
      <c r="M402" s="1162"/>
      <c r="O402" s="157" t="s">
        <v>1998</v>
      </c>
      <c r="P402" s="1414"/>
      <c r="Q402" s="1415"/>
    </row>
    <row r="403" spans="1:32" ht="11.25" customHeight="1">
      <c r="A403" s="1166"/>
      <c r="B403" s="167" t="s">
        <v>1996</v>
      </c>
      <c r="D403" s="167"/>
      <c r="E403" s="167"/>
      <c r="F403" s="167"/>
      <c r="G403" s="167"/>
      <c r="H403" s="48"/>
      <c r="I403" s="1175"/>
      <c r="J403" s="1175"/>
      <c r="K403" s="1175"/>
      <c r="L403" s="1157"/>
      <c r="M403" s="1157"/>
      <c r="N403" s="1157"/>
      <c r="O403" s="1157"/>
      <c r="P403" s="1157"/>
      <c r="Q403" s="60"/>
    </row>
    <row r="404" spans="1:32" ht="11.45" customHeight="1">
      <c r="A404" s="2209"/>
      <c r="B404" s="2210"/>
      <c r="C404" s="2210"/>
      <c r="D404" s="2210"/>
      <c r="E404" s="2210"/>
      <c r="F404" s="2210"/>
      <c r="G404" s="2210"/>
      <c r="H404" s="2210"/>
      <c r="I404" s="2210"/>
      <c r="J404" s="2210"/>
      <c r="K404" s="2210"/>
      <c r="L404" s="2210"/>
      <c r="M404" s="2210"/>
      <c r="N404" s="2210"/>
      <c r="O404" s="2210"/>
      <c r="P404" s="2210"/>
      <c r="Q404" s="2211"/>
      <c r="R404" s="561" t="s">
        <v>1332</v>
      </c>
      <c r="S404" s="562"/>
      <c r="U404" s="162"/>
      <c r="V404" s="162"/>
      <c r="W404" s="162"/>
      <c r="X404" s="162"/>
      <c r="Y404" s="162"/>
      <c r="Z404" s="162"/>
      <c r="AA404" s="162"/>
      <c r="AB404" s="162"/>
      <c r="AC404" s="162"/>
      <c r="AD404" s="162"/>
      <c r="AE404" s="594"/>
    </row>
    <row r="405" spans="1:32" ht="11.25" customHeight="1">
      <c r="B405" s="163" t="s">
        <v>1997</v>
      </c>
      <c r="C405" s="164"/>
      <c r="D405" s="1162"/>
      <c r="E405" s="1162"/>
      <c r="F405" s="1162"/>
      <c r="G405" s="1162"/>
      <c r="H405" s="1162"/>
      <c r="I405" s="1162"/>
      <c r="J405" s="1162"/>
      <c r="K405" s="1162"/>
      <c r="L405" s="1162"/>
      <c r="M405" s="1162"/>
      <c r="N405" s="1162"/>
      <c r="O405" s="1162"/>
      <c r="P405" s="1162"/>
      <c r="Q405" s="1162"/>
    </row>
    <row r="406" spans="1:32" ht="12" customHeight="1">
      <c r="A406" s="1416"/>
      <c r="B406" s="1417"/>
      <c r="C406" s="1417"/>
      <c r="D406" s="1417"/>
      <c r="E406" s="1417"/>
      <c r="F406" s="1417"/>
      <c r="G406" s="1417"/>
      <c r="H406" s="1417"/>
      <c r="I406" s="1417"/>
      <c r="J406" s="1417"/>
      <c r="K406" s="1417"/>
      <c r="L406" s="1417"/>
      <c r="M406" s="1417"/>
      <c r="N406" s="1417"/>
      <c r="O406" s="1417"/>
      <c r="P406" s="1417"/>
      <c r="Q406" s="1418"/>
    </row>
    <row r="407" spans="1:32" ht="3" customHeight="1">
      <c r="A407" s="1157"/>
      <c r="B407" s="1175"/>
      <c r="C407" s="1162"/>
      <c r="D407" s="1162"/>
      <c r="E407" s="1162"/>
      <c r="F407" s="1162"/>
      <c r="G407" s="1162"/>
      <c r="H407" s="1162"/>
      <c r="I407" s="1162"/>
      <c r="J407" s="1162"/>
      <c r="K407" s="1162"/>
      <c r="L407" s="1162"/>
      <c r="M407" s="1162"/>
      <c r="N407" s="1162"/>
      <c r="O407" s="1162"/>
      <c r="P407" s="1162"/>
      <c r="Q407" s="1157"/>
    </row>
    <row r="408" spans="1:32" s="175" customFormat="1" ht="8.4499999999999993" customHeight="1">
      <c r="A408" s="1157"/>
      <c r="B408" s="1175"/>
      <c r="C408" s="1162"/>
      <c r="D408" s="1162"/>
      <c r="E408" s="1162"/>
      <c r="F408" s="1162"/>
      <c r="G408" s="1162"/>
      <c r="H408" s="1162"/>
      <c r="I408" s="1162"/>
      <c r="J408" s="1162"/>
      <c r="K408" s="1162"/>
      <c r="L408" s="1162"/>
      <c r="M408" s="1162"/>
      <c r="AE408" s="596"/>
      <c r="AF408" s="596"/>
    </row>
    <row r="409" spans="1:32" s="175" customFormat="1" ht="3" customHeight="1">
      <c r="A409" s="1157"/>
      <c r="B409" s="1175"/>
      <c r="C409" s="1162"/>
      <c r="D409" s="1162"/>
      <c r="E409" s="1162"/>
      <c r="F409" s="1162"/>
      <c r="G409" s="1162"/>
      <c r="H409" s="1162"/>
      <c r="I409" s="1162"/>
      <c r="J409" s="1162"/>
      <c r="K409" s="1162"/>
      <c r="L409" s="1162"/>
      <c r="M409" s="1162"/>
      <c r="N409" s="1162"/>
      <c r="O409" s="1162"/>
      <c r="P409" s="1162"/>
      <c r="Q409" s="1157"/>
      <c r="AE409" s="596"/>
      <c r="AF409" s="596"/>
    </row>
    <row r="410" spans="1:32" s="175" customFormat="1" ht="12" customHeight="1">
      <c r="A410" s="2308"/>
      <c r="B410" s="2308"/>
      <c r="C410" s="2308"/>
      <c r="D410" s="2308"/>
      <c r="E410" s="2308"/>
      <c r="F410" s="2308"/>
      <c r="G410" s="2308"/>
      <c r="H410" s="2308"/>
      <c r="I410" s="2308"/>
      <c r="J410" s="2308"/>
      <c r="K410" s="2308"/>
      <c r="L410" s="2308"/>
      <c r="M410" s="2308"/>
      <c r="N410" s="2308"/>
      <c r="O410" s="2308"/>
      <c r="P410" s="2308"/>
      <c r="Q410" s="2308"/>
      <c r="AE410" s="596"/>
      <c r="AF410" s="596"/>
    </row>
    <row r="411" spans="1:32" s="175" customFormat="1" ht="12" customHeight="1">
      <c r="A411" s="2308"/>
      <c r="B411" s="2308"/>
      <c r="C411" s="2308"/>
      <c r="D411" s="2308"/>
      <c r="E411" s="2308"/>
      <c r="F411" s="2308"/>
      <c r="G411" s="2308"/>
      <c r="H411" s="2308"/>
      <c r="I411" s="2308"/>
      <c r="J411" s="2308"/>
      <c r="K411" s="2308"/>
      <c r="L411" s="2308"/>
      <c r="M411" s="2308"/>
      <c r="N411" s="2308"/>
      <c r="O411" s="2308"/>
      <c r="P411" s="2308"/>
      <c r="Q411" s="2308"/>
      <c r="AE411" s="596"/>
      <c r="AF411" s="596"/>
    </row>
    <row r="412" spans="1:32" s="175" customFormat="1" ht="12" customHeight="1">
      <c r="A412" s="2308"/>
      <c r="B412" s="2308"/>
      <c r="C412" s="2308"/>
      <c r="D412" s="2308"/>
      <c r="E412" s="2308"/>
      <c r="F412" s="2308"/>
      <c r="G412" s="2308"/>
      <c r="H412" s="2308"/>
      <c r="I412" s="2308"/>
      <c r="J412" s="2308"/>
      <c r="K412" s="2308"/>
      <c r="L412" s="2308"/>
      <c r="M412" s="2308"/>
      <c r="N412" s="2308"/>
      <c r="O412" s="2308"/>
      <c r="P412" s="2308"/>
      <c r="Q412" s="2308"/>
      <c r="AE412" s="596"/>
      <c r="AF412" s="596"/>
    </row>
    <row r="413" spans="1:32" s="175" customFormat="1" ht="12" customHeight="1">
      <c r="A413" s="2308"/>
      <c r="B413" s="2308"/>
      <c r="C413" s="2308"/>
      <c r="D413" s="2308"/>
      <c r="E413" s="2308"/>
      <c r="F413" s="2308"/>
      <c r="G413" s="2308"/>
      <c r="H413" s="2308"/>
      <c r="I413" s="2308"/>
      <c r="J413" s="2308"/>
      <c r="K413" s="2308"/>
      <c r="L413" s="2308"/>
      <c r="M413" s="2308"/>
      <c r="N413" s="2308"/>
      <c r="O413" s="2308"/>
      <c r="P413" s="2308"/>
      <c r="Q413" s="2308"/>
      <c r="AE413" s="596"/>
      <c r="AF413" s="596"/>
    </row>
    <row r="414" spans="1:32" s="175" customFormat="1" ht="12" customHeight="1">
      <c r="A414" s="2308"/>
      <c r="B414" s="2308"/>
      <c r="C414" s="2308"/>
      <c r="D414" s="2308"/>
      <c r="E414" s="2308"/>
      <c r="F414" s="2308"/>
      <c r="G414" s="2308"/>
      <c r="H414" s="2308"/>
      <c r="I414" s="2308"/>
      <c r="J414" s="2308"/>
      <c r="K414" s="2308"/>
      <c r="L414" s="2308"/>
      <c r="M414" s="2308"/>
      <c r="N414" s="2308"/>
      <c r="O414" s="2308"/>
      <c r="P414" s="2308"/>
      <c r="Q414" s="2308"/>
      <c r="AE414" s="596"/>
      <c r="AF414" s="596"/>
    </row>
    <row r="415" spans="1:32" s="175" customFormat="1" ht="12" customHeight="1">
      <c r="A415" s="2308"/>
      <c r="B415" s="2308"/>
      <c r="C415" s="2308"/>
      <c r="D415" s="2308"/>
      <c r="E415" s="2308"/>
      <c r="F415" s="2308"/>
      <c r="G415" s="2308"/>
      <c r="H415" s="2308"/>
      <c r="I415" s="2308"/>
      <c r="J415" s="2308"/>
      <c r="K415" s="2308"/>
      <c r="L415" s="2308"/>
      <c r="M415" s="2308"/>
      <c r="N415" s="2308"/>
      <c r="O415" s="2308"/>
      <c r="P415" s="2308"/>
      <c r="Q415" s="2308"/>
      <c r="AE415" s="596"/>
      <c r="AF415" s="596"/>
    </row>
    <row r="416" spans="1:32" s="175" customFormat="1" ht="12" customHeight="1">
      <c r="A416" s="2308"/>
      <c r="B416" s="2308"/>
      <c r="C416" s="2308"/>
      <c r="D416" s="2308"/>
      <c r="E416" s="2308"/>
      <c r="F416" s="2308"/>
      <c r="G416" s="2308"/>
      <c r="H416" s="2308"/>
      <c r="I416" s="2308"/>
      <c r="J416" s="2308"/>
      <c r="K416" s="2308"/>
      <c r="L416" s="2308"/>
      <c r="M416" s="2308"/>
      <c r="N416" s="2308"/>
      <c r="O416" s="2308"/>
      <c r="P416" s="2308"/>
      <c r="Q416" s="2308"/>
      <c r="AE416" s="596"/>
      <c r="AF416" s="596"/>
    </row>
    <row r="417" spans="1:32" s="175" customFormat="1" ht="12" customHeight="1">
      <c r="A417" s="2308"/>
      <c r="B417" s="2308"/>
      <c r="C417" s="2308"/>
      <c r="D417" s="2308"/>
      <c r="E417" s="2308"/>
      <c r="F417" s="2308"/>
      <c r="G417" s="2308"/>
      <c r="H417" s="2308"/>
      <c r="I417" s="2308"/>
      <c r="J417" s="2308"/>
      <c r="K417" s="2308"/>
      <c r="L417" s="2308"/>
      <c r="M417" s="2308"/>
      <c r="N417" s="2308"/>
      <c r="O417" s="2308"/>
      <c r="P417" s="2308"/>
      <c r="Q417" s="2308"/>
      <c r="AE417" s="596"/>
      <c r="AF417" s="596"/>
    </row>
    <row r="418" spans="1:32" s="175" customFormat="1" ht="12" customHeight="1">
      <c r="A418" s="2308"/>
      <c r="B418" s="2308"/>
      <c r="C418" s="2308"/>
      <c r="D418" s="2308"/>
      <c r="E418" s="2308"/>
      <c r="F418" s="2308"/>
      <c r="G418" s="2308"/>
      <c r="H418" s="2308"/>
      <c r="I418" s="2308"/>
      <c r="J418" s="2308"/>
      <c r="K418" s="2308"/>
      <c r="L418" s="2308"/>
      <c r="M418" s="2308"/>
      <c r="N418" s="2308"/>
      <c r="O418" s="2308"/>
      <c r="P418" s="2308"/>
      <c r="Q418" s="2308"/>
      <c r="AE418" s="596"/>
      <c r="AF418" s="596"/>
    </row>
    <row r="419" spans="1:32" s="175" customFormat="1" ht="12" customHeight="1">
      <c r="A419" s="2308"/>
      <c r="B419" s="2308"/>
      <c r="C419" s="2308"/>
      <c r="D419" s="2308"/>
      <c r="E419" s="2308"/>
      <c r="F419" s="2308"/>
      <c r="G419" s="2308"/>
      <c r="H419" s="2308"/>
      <c r="I419" s="2308"/>
      <c r="J419" s="2308"/>
      <c r="K419" s="2308"/>
      <c r="L419" s="2308"/>
      <c r="M419" s="2308"/>
      <c r="N419" s="2308"/>
      <c r="O419" s="2308"/>
      <c r="P419" s="2308"/>
      <c r="Q419" s="2308"/>
      <c r="AE419" s="596"/>
      <c r="AF419" s="596"/>
    </row>
    <row r="420" spans="1:32" s="175" customFormat="1" ht="12" customHeight="1">
      <c r="A420" s="2308"/>
      <c r="B420" s="2308"/>
      <c r="C420" s="2308"/>
      <c r="D420" s="2308"/>
      <c r="E420" s="2308"/>
      <c r="F420" s="2308"/>
      <c r="G420" s="2308"/>
      <c r="H420" s="2308"/>
      <c r="I420" s="2308"/>
      <c r="J420" s="2308"/>
      <c r="K420" s="2308"/>
      <c r="L420" s="2308"/>
      <c r="M420" s="2308"/>
      <c r="N420" s="2308"/>
      <c r="O420" s="2308"/>
      <c r="P420" s="2308"/>
      <c r="Q420" s="2308"/>
      <c r="AE420" s="596"/>
      <c r="AF420" s="596"/>
    </row>
    <row r="421" spans="1:32" s="175" customFormat="1" ht="12" customHeight="1">
      <c r="A421" s="2308"/>
      <c r="B421" s="2308"/>
      <c r="C421" s="2308"/>
      <c r="D421" s="2308"/>
      <c r="E421" s="2308"/>
      <c r="F421" s="2308"/>
      <c r="G421" s="2308"/>
      <c r="H421" s="2308"/>
      <c r="I421" s="2308"/>
      <c r="J421" s="2308"/>
      <c r="K421" s="2308"/>
      <c r="L421" s="2308"/>
      <c r="M421" s="2308"/>
      <c r="N421" s="2308"/>
      <c r="O421" s="2308"/>
      <c r="P421" s="2308"/>
      <c r="Q421" s="2308"/>
      <c r="AE421" s="596"/>
      <c r="AF421" s="596"/>
    </row>
    <row r="422" spans="1:32" s="175" customFormat="1" ht="12" customHeight="1">
      <c r="A422" s="2308"/>
      <c r="B422" s="2308"/>
      <c r="C422" s="2308"/>
      <c r="D422" s="2308"/>
      <c r="E422" s="2308"/>
      <c r="F422" s="2308"/>
      <c r="G422" s="2308"/>
      <c r="H422" s="2308"/>
      <c r="I422" s="2308"/>
      <c r="J422" s="2308"/>
      <c r="K422" s="2308"/>
      <c r="L422" s="2308"/>
      <c r="M422" s="2308"/>
      <c r="N422" s="2308"/>
      <c r="O422" s="2308"/>
      <c r="P422" s="2308"/>
      <c r="Q422" s="2308"/>
      <c r="AE422" s="596"/>
      <c r="AF422" s="596"/>
    </row>
    <row r="423" spans="1:32" s="175" customFormat="1" ht="12" customHeight="1">
      <c r="A423" s="2309"/>
      <c r="B423" s="2309"/>
      <c r="C423" s="2309"/>
      <c r="D423" s="2309"/>
      <c r="E423" s="2309"/>
      <c r="F423" s="2309"/>
      <c r="G423" s="2309"/>
      <c r="H423" s="2309"/>
      <c r="I423" s="2309"/>
      <c r="J423" s="2309"/>
      <c r="K423" s="2309"/>
      <c r="L423" s="2309"/>
      <c r="M423" s="2309"/>
      <c r="N423" s="2308"/>
      <c r="O423" s="2308"/>
      <c r="P423" s="2308"/>
      <c r="Q423" s="2308"/>
      <c r="AE423" s="596"/>
      <c r="AF423" s="596"/>
    </row>
    <row r="424" spans="1:32" s="175" customFormat="1" ht="12" customHeight="1">
      <c r="A424" s="2309"/>
      <c r="B424" s="2309"/>
      <c r="C424" s="2309"/>
      <c r="D424" s="2309"/>
      <c r="E424" s="2309"/>
      <c r="F424" s="2309"/>
      <c r="G424" s="2309"/>
      <c r="H424" s="2309"/>
      <c r="I424" s="2309"/>
      <c r="J424" s="2309"/>
      <c r="K424" s="2309"/>
      <c r="L424" s="2309"/>
      <c r="M424" s="2309"/>
      <c r="N424" s="2308"/>
      <c r="O424" s="2308"/>
      <c r="P424" s="2308"/>
      <c r="Q424" s="2308"/>
      <c r="AE424" s="596"/>
      <c r="AF424" s="596"/>
    </row>
    <row r="425" spans="1:32" s="175" customFormat="1">
      <c r="A425" s="566"/>
      <c r="B425" s="566"/>
      <c r="C425" s="566"/>
      <c r="D425" s="566"/>
      <c r="E425" s="566"/>
      <c r="F425" s="566"/>
      <c r="G425" s="566"/>
      <c r="H425" s="566"/>
      <c r="I425" s="566"/>
      <c r="J425" s="566"/>
      <c r="K425" s="566"/>
      <c r="L425" s="566"/>
      <c r="M425" s="566"/>
      <c r="AE425" s="596"/>
      <c r="AF425" s="596"/>
    </row>
    <row r="426" spans="1:32" s="189" customFormat="1">
      <c r="A426" s="620"/>
      <c r="B426" s="620"/>
      <c r="C426" s="620"/>
      <c r="D426" s="620"/>
      <c r="E426" s="620"/>
      <c r="F426" s="620"/>
      <c r="G426" s="620"/>
      <c r="H426" s="620"/>
      <c r="I426" s="620"/>
      <c r="J426" s="620"/>
      <c r="K426" s="620"/>
      <c r="L426" s="620"/>
      <c r="M426" s="620"/>
      <c r="N426" s="143"/>
      <c r="O426" s="1153"/>
      <c r="P426" s="1153"/>
      <c r="AE426" s="599"/>
      <c r="AF426" s="599"/>
    </row>
    <row r="427" spans="1:32" s="535" customFormat="1" ht="15">
      <c r="A427" s="622"/>
      <c r="B427" s="622"/>
      <c r="C427" s="623" t="s">
        <v>1762</v>
      </c>
      <c r="D427" s="623"/>
      <c r="E427" s="623"/>
      <c r="F427" s="623"/>
      <c r="G427" s="623"/>
      <c r="H427" s="623"/>
      <c r="I427" s="623"/>
      <c r="J427" s="623" t="s">
        <v>1074</v>
      </c>
      <c r="K427" s="623"/>
      <c r="L427" s="622"/>
      <c r="M427" s="622"/>
      <c r="N427" s="541"/>
      <c r="O427" s="2310" t="s">
        <v>3551</v>
      </c>
      <c r="P427" s="557"/>
      <c r="AE427" s="550"/>
      <c r="AF427" s="550"/>
    </row>
    <row r="428" spans="1:32" s="535" customFormat="1" ht="15">
      <c r="A428" s="622"/>
      <c r="B428" s="622"/>
      <c r="C428" s="622" t="s">
        <v>2228</v>
      </c>
      <c r="D428" s="622"/>
      <c r="E428" s="622"/>
      <c r="F428" s="622"/>
      <c r="G428" s="622"/>
      <c r="H428" s="622"/>
      <c r="I428" s="622"/>
      <c r="J428" s="622" t="s">
        <v>1895</v>
      </c>
      <c r="K428" s="622"/>
      <c r="L428" s="622"/>
      <c r="M428" s="622"/>
      <c r="N428" s="541"/>
      <c r="O428" s="2310" t="s">
        <v>3552</v>
      </c>
      <c r="P428" s="557"/>
      <c r="AE428" s="550"/>
      <c r="AF428" s="550"/>
    </row>
    <row r="429" spans="1:32" s="535" customFormat="1" ht="15">
      <c r="A429" s="622"/>
      <c r="B429" s="622"/>
      <c r="C429" s="623" t="s">
        <v>2728</v>
      </c>
      <c r="D429" s="623"/>
      <c r="E429" s="623"/>
      <c r="F429" s="623"/>
      <c r="G429" s="623"/>
      <c r="H429" s="623"/>
      <c r="I429" s="623"/>
      <c r="J429" s="624" t="s">
        <v>1845</v>
      </c>
      <c r="K429" s="623"/>
      <c r="L429" s="622"/>
      <c r="M429" s="622"/>
      <c r="N429" s="541"/>
      <c r="O429" s="2310" t="s">
        <v>3553</v>
      </c>
      <c r="P429" s="557"/>
      <c r="AE429" s="550"/>
      <c r="AF429" s="550"/>
    </row>
    <row r="430" spans="1:32" s="535" customFormat="1" ht="15">
      <c r="A430" s="622"/>
      <c r="B430" s="622"/>
      <c r="C430" s="623" t="s">
        <v>2229</v>
      </c>
      <c r="D430" s="623"/>
      <c r="E430" s="623"/>
      <c r="F430" s="623"/>
      <c r="G430" s="623"/>
      <c r="H430" s="623"/>
      <c r="I430" s="623"/>
      <c r="J430" s="624" t="s">
        <v>241</v>
      </c>
      <c r="K430" s="623"/>
      <c r="L430" s="622"/>
      <c r="M430" s="622"/>
      <c r="N430" s="541"/>
      <c r="O430" s="2310" t="s">
        <v>3554</v>
      </c>
      <c r="P430" s="557"/>
      <c r="AE430" s="550"/>
      <c r="AF430" s="550"/>
    </row>
    <row r="431" spans="1:32" s="535" customFormat="1" ht="15">
      <c r="A431" s="622"/>
      <c r="B431" s="622"/>
      <c r="C431" s="623" t="s">
        <v>2230</v>
      </c>
      <c r="D431" s="623"/>
      <c r="E431" s="623"/>
      <c r="F431" s="623"/>
      <c r="G431" s="623"/>
      <c r="H431" s="623"/>
      <c r="I431" s="623"/>
      <c r="J431" s="622" t="s">
        <v>1257</v>
      </c>
      <c r="K431" s="623"/>
      <c r="L431" s="622"/>
      <c r="M431" s="622"/>
      <c r="N431" s="541"/>
      <c r="O431" s="2310" t="s">
        <v>3555</v>
      </c>
      <c r="P431" s="557"/>
      <c r="AE431" s="550"/>
      <c r="AF431" s="550"/>
    </row>
    <row r="432" spans="1:32" s="535" customFormat="1" ht="15">
      <c r="A432" s="622"/>
      <c r="B432" s="622"/>
      <c r="C432" s="625" t="s">
        <v>2231</v>
      </c>
      <c r="D432" s="623"/>
      <c r="E432" s="623"/>
      <c r="F432" s="623"/>
      <c r="G432" s="623"/>
      <c r="H432" s="623"/>
      <c r="I432" s="623"/>
      <c r="J432" s="626" t="s">
        <v>2243</v>
      </c>
      <c r="K432" s="623"/>
      <c r="L432" s="622"/>
      <c r="M432" s="622"/>
      <c r="N432" s="541"/>
      <c r="O432" s="2310" t="s">
        <v>3556</v>
      </c>
      <c r="P432" s="557"/>
      <c r="AE432" s="550"/>
      <c r="AF432" s="550"/>
    </row>
    <row r="433" spans="1:32" s="535" customFormat="1" ht="15">
      <c r="A433" s="622"/>
      <c r="B433" s="622"/>
      <c r="C433" s="625" t="s">
        <v>2232</v>
      </c>
      <c r="D433" s="623"/>
      <c r="E433" s="623"/>
      <c r="F433" s="623"/>
      <c r="G433" s="623"/>
      <c r="H433" s="623"/>
      <c r="I433" s="623"/>
      <c r="J433" s="624" t="s">
        <v>1774</v>
      </c>
      <c r="K433" s="623"/>
      <c r="L433" s="622"/>
      <c r="M433" s="622"/>
      <c r="N433" s="541"/>
      <c r="O433" s="2310" t="s">
        <v>3557</v>
      </c>
      <c r="P433" s="557"/>
      <c r="AE433" s="550"/>
      <c r="AF433" s="550"/>
    </row>
    <row r="434" spans="1:32" s="535" customFormat="1" ht="15">
      <c r="A434" s="622"/>
      <c r="B434" s="622"/>
      <c r="C434" s="625"/>
      <c r="D434" s="623"/>
      <c r="E434" s="623"/>
      <c r="F434" s="623"/>
      <c r="G434" s="623"/>
      <c r="H434" s="623"/>
      <c r="I434" s="623"/>
      <c r="J434" s="624" t="s">
        <v>1265</v>
      </c>
      <c r="K434" s="623"/>
      <c r="L434" s="622"/>
      <c r="M434" s="622"/>
      <c r="N434" s="541"/>
      <c r="O434" s="2310" t="s">
        <v>3558</v>
      </c>
      <c r="P434" s="557"/>
      <c r="AE434" s="550"/>
      <c r="AF434" s="550"/>
    </row>
    <row r="435" spans="1:32" s="535" customFormat="1" ht="15">
      <c r="A435" s="622"/>
      <c r="B435" s="622"/>
      <c r="C435" s="622" t="s">
        <v>1895</v>
      </c>
      <c r="D435" s="623"/>
      <c r="E435" s="623"/>
      <c r="F435" s="623"/>
      <c r="G435" s="623"/>
      <c r="H435" s="623"/>
      <c r="I435" s="623"/>
      <c r="J435" s="624" t="s">
        <v>1771</v>
      </c>
      <c r="K435" s="623"/>
      <c r="L435" s="622"/>
      <c r="M435" s="622"/>
      <c r="N435" s="541"/>
      <c r="O435" s="2310" t="s">
        <v>3559</v>
      </c>
      <c r="P435" s="557"/>
      <c r="AE435" s="550"/>
      <c r="AF435" s="550"/>
    </row>
    <row r="436" spans="1:32" s="535" customFormat="1" ht="11.25">
      <c r="A436" s="622"/>
      <c r="B436" s="622"/>
      <c r="C436" s="627" t="s">
        <v>1480</v>
      </c>
      <c r="D436" s="623"/>
      <c r="E436" s="623"/>
      <c r="F436" s="623"/>
      <c r="G436" s="623"/>
      <c r="H436" s="623"/>
      <c r="I436" s="623"/>
      <c r="J436" s="624" t="s">
        <v>2244</v>
      </c>
      <c r="K436" s="623"/>
      <c r="L436" s="622"/>
      <c r="M436" s="622"/>
      <c r="N436" s="541"/>
      <c r="O436" s="557"/>
      <c r="P436" s="557"/>
      <c r="AE436" s="550"/>
      <c r="AF436" s="550"/>
    </row>
    <row r="437" spans="1:32" s="535" customFormat="1" ht="11.25">
      <c r="A437" s="622"/>
      <c r="B437" s="622"/>
      <c r="C437" s="627" t="s">
        <v>1481</v>
      </c>
      <c r="D437" s="623"/>
      <c r="E437" s="623"/>
      <c r="F437" s="623"/>
      <c r="G437" s="623"/>
      <c r="H437" s="623"/>
      <c r="I437" s="623"/>
      <c r="J437" s="624" t="s">
        <v>1764</v>
      </c>
      <c r="K437" s="623"/>
      <c r="L437" s="622"/>
      <c r="M437" s="622"/>
      <c r="N437" s="541"/>
      <c r="O437" s="557"/>
      <c r="P437" s="557"/>
      <c r="AE437" s="550"/>
      <c r="AF437" s="550"/>
    </row>
    <row r="438" spans="1:32" s="535" customFormat="1" ht="11.25">
      <c r="A438" s="622"/>
      <c r="B438" s="622"/>
      <c r="C438" s="628" t="s">
        <v>2272</v>
      </c>
      <c r="D438" s="623"/>
      <c r="E438" s="623"/>
      <c r="F438" s="623"/>
      <c r="G438" s="623"/>
      <c r="H438" s="623"/>
      <c r="I438" s="623"/>
      <c r="J438" s="624" t="s">
        <v>1266</v>
      </c>
      <c r="K438" s="623"/>
      <c r="L438" s="622"/>
      <c r="M438" s="622"/>
      <c r="N438" s="541"/>
      <c r="O438" s="557"/>
      <c r="P438" s="557"/>
      <c r="AE438" s="550"/>
      <c r="AF438" s="550"/>
    </row>
    <row r="439" spans="1:32" s="535" customFormat="1" ht="11.25">
      <c r="A439" s="622"/>
      <c r="B439" s="622"/>
      <c r="C439" s="628" t="s">
        <v>1477</v>
      </c>
      <c r="D439" s="623"/>
      <c r="E439" s="623"/>
      <c r="F439" s="623"/>
      <c r="G439" s="623"/>
      <c r="H439" s="623"/>
      <c r="I439" s="623"/>
      <c r="J439" s="624" t="s">
        <v>629</v>
      </c>
      <c r="K439" s="623"/>
      <c r="L439" s="622"/>
      <c r="M439" s="622"/>
      <c r="N439" s="541"/>
      <c r="O439" s="557"/>
      <c r="P439" s="557"/>
      <c r="AE439" s="550"/>
      <c r="AF439" s="550"/>
    </row>
    <row r="440" spans="1:32" s="535" customFormat="1" ht="11.25">
      <c r="A440" s="622"/>
      <c r="B440" s="622"/>
      <c r="C440" s="628" t="s">
        <v>1478</v>
      </c>
      <c r="D440" s="623"/>
      <c r="E440" s="623"/>
      <c r="F440" s="623"/>
      <c r="G440" s="623"/>
      <c r="H440" s="623"/>
      <c r="I440" s="623"/>
      <c r="J440" s="624" t="s">
        <v>1770</v>
      </c>
      <c r="K440" s="623"/>
      <c r="L440" s="622"/>
      <c r="M440" s="622"/>
      <c r="N440" s="541"/>
      <c r="O440" s="557"/>
      <c r="P440" s="557"/>
      <c r="AE440" s="550"/>
      <c r="AF440" s="550"/>
    </row>
    <row r="441" spans="1:32" s="535" customFormat="1" ht="11.25">
      <c r="A441" s="622"/>
      <c r="B441" s="622"/>
      <c r="C441" s="627" t="s">
        <v>2267</v>
      </c>
      <c r="D441" s="623"/>
      <c r="E441" s="623"/>
      <c r="F441" s="623"/>
      <c r="G441" s="623"/>
      <c r="H441" s="623"/>
      <c r="I441" s="623"/>
      <c r="J441" s="624" t="s">
        <v>1259</v>
      </c>
      <c r="K441" s="623"/>
      <c r="L441" s="622"/>
      <c r="M441" s="622"/>
      <c r="N441" s="541"/>
      <c r="O441" s="557"/>
      <c r="P441" s="557"/>
      <c r="AE441" s="550"/>
      <c r="AF441" s="550"/>
    </row>
    <row r="442" spans="1:32" s="535" customFormat="1" ht="11.25">
      <c r="A442" s="622"/>
      <c r="B442" s="622"/>
      <c r="C442" s="627" t="s">
        <v>2268</v>
      </c>
      <c r="D442" s="623"/>
      <c r="E442" s="623"/>
      <c r="F442" s="623"/>
      <c r="G442" s="623"/>
      <c r="H442" s="623"/>
      <c r="I442" s="623"/>
      <c r="J442" s="624" t="s">
        <v>1258</v>
      </c>
      <c r="K442" s="622"/>
      <c r="L442" s="622"/>
      <c r="M442" s="622"/>
      <c r="N442" s="541"/>
      <c r="O442" s="557"/>
      <c r="P442" s="557"/>
      <c r="AE442" s="550"/>
      <c r="AF442" s="550"/>
    </row>
    <row r="443" spans="1:32" s="535" customFormat="1" ht="11.25">
      <c r="A443" s="622"/>
      <c r="B443" s="622"/>
      <c r="C443" s="627" t="s">
        <v>2269</v>
      </c>
      <c r="D443" s="622"/>
      <c r="E443" s="622"/>
      <c r="F443" s="622"/>
      <c r="G443" s="622"/>
      <c r="H443" s="622"/>
      <c r="I443" s="622"/>
      <c r="J443" s="624" t="s">
        <v>1846</v>
      </c>
      <c r="K443" s="622"/>
      <c r="L443" s="622"/>
      <c r="M443" s="622"/>
      <c r="N443" s="541"/>
      <c r="O443" s="557"/>
      <c r="P443" s="557"/>
      <c r="AE443" s="550"/>
      <c r="AF443" s="550"/>
    </row>
    <row r="444" spans="1:32" s="535" customFormat="1" ht="11.25">
      <c r="A444" s="622"/>
      <c r="B444" s="622"/>
      <c r="C444" s="627" t="s">
        <v>2270</v>
      </c>
      <c r="D444" s="622"/>
      <c r="E444" s="622"/>
      <c r="F444" s="622"/>
      <c r="G444" s="622"/>
      <c r="H444" s="622"/>
      <c r="I444" s="622"/>
      <c r="J444" s="624" t="s">
        <v>1773</v>
      </c>
      <c r="K444" s="622"/>
      <c r="L444" s="622"/>
      <c r="M444" s="622"/>
      <c r="N444" s="541"/>
      <c r="O444" s="557"/>
      <c r="P444" s="557"/>
      <c r="AE444" s="550"/>
      <c r="AF444" s="550"/>
    </row>
    <row r="445" spans="1:32" s="535" customFormat="1" ht="11.25">
      <c r="A445" s="622"/>
      <c r="B445" s="622"/>
      <c r="C445" s="627" t="s">
        <v>2271</v>
      </c>
      <c r="D445" s="622"/>
      <c r="E445" s="622"/>
      <c r="F445" s="622"/>
      <c r="G445" s="622"/>
      <c r="H445" s="622"/>
      <c r="I445" s="622"/>
      <c r="J445" s="624" t="s">
        <v>1765</v>
      </c>
      <c r="K445" s="622"/>
      <c r="L445" s="622"/>
      <c r="M445" s="622"/>
      <c r="N445" s="541"/>
      <c r="O445" s="557"/>
      <c r="P445" s="557"/>
      <c r="AE445" s="550"/>
      <c r="AF445" s="550"/>
    </row>
    <row r="446" spans="1:32" s="535" customFormat="1" ht="11.25">
      <c r="A446" s="622"/>
      <c r="B446" s="622"/>
      <c r="C446" s="627" t="s">
        <v>1479</v>
      </c>
      <c r="D446" s="622"/>
      <c r="E446" s="622"/>
      <c r="F446" s="622"/>
      <c r="G446" s="622"/>
      <c r="H446" s="622"/>
      <c r="I446" s="622"/>
      <c r="J446" s="624" t="s">
        <v>2242</v>
      </c>
      <c r="K446" s="622"/>
      <c r="L446" s="622"/>
      <c r="M446" s="622"/>
      <c r="N446" s="541"/>
      <c r="O446" s="557"/>
      <c r="P446" s="557"/>
      <c r="AE446" s="550"/>
      <c r="AF446" s="550"/>
    </row>
    <row r="447" spans="1:32" s="535" customFormat="1" ht="11.25">
      <c r="A447" s="622"/>
      <c r="B447" s="622"/>
      <c r="C447" s="627" t="s">
        <v>2432</v>
      </c>
      <c r="D447" s="622"/>
      <c r="E447" s="622"/>
      <c r="F447" s="622"/>
      <c r="G447" s="622"/>
      <c r="H447" s="622"/>
      <c r="I447" s="622"/>
      <c r="J447" s="622"/>
      <c r="K447" s="622"/>
      <c r="L447" s="622"/>
      <c r="M447" s="622"/>
      <c r="N447" s="541"/>
      <c r="O447" s="557"/>
      <c r="P447" s="557"/>
      <c r="AE447" s="550"/>
      <c r="AF447" s="550"/>
    </row>
    <row r="448" spans="1:32" s="535" customFormat="1" ht="11.25">
      <c r="A448" s="622"/>
      <c r="B448" s="622"/>
      <c r="C448" s="622"/>
      <c r="D448" s="622"/>
      <c r="E448" s="622"/>
      <c r="F448" s="622"/>
      <c r="G448" s="622"/>
      <c r="H448" s="622"/>
      <c r="I448" s="622"/>
      <c r="J448" s="622"/>
      <c r="K448" s="622"/>
      <c r="L448" s="622"/>
      <c r="M448" s="622"/>
      <c r="N448" s="541"/>
      <c r="O448" s="557"/>
      <c r="P448" s="557"/>
      <c r="AE448" s="550"/>
      <c r="AF448" s="550"/>
    </row>
    <row r="449" spans="1:32" s="65" customFormat="1" ht="11.25">
      <c r="A449" s="623"/>
      <c r="B449" s="623"/>
      <c r="C449" s="629" t="s">
        <v>1697</v>
      </c>
      <c r="D449" s="623"/>
      <c r="E449" s="623"/>
      <c r="F449" s="623"/>
      <c r="G449" s="623"/>
      <c r="H449" s="623"/>
      <c r="I449" s="623"/>
      <c r="J449" s="623"/>
      <c r="K449" s="623"/>
      <c r="L449" s="623"/>
      <c r="M449" s="623"/>
      <c r="AE449" s="509"/>
      <c r="AF449" s="509"/>
    </row>
    <row r="450" spans="1:32" s="65" customFormat="1" ht="11.25">
      <c r="A450" s="623"/>
      <c r="B450" s="623"/>
      <c r="C450" s="623" t="s">
        <v>1895</v>
      </c>
      <c r="D450" s="623"/>
      <c r="E450" s="623"/>
      <c r="F450" s="623"/>
      <c r="G450" s="623"/>
      <c r="H450" s="623"/>
      <c r="I450" s="623"/>
      <c r="J450" s="623"/>
      <c r="K450" s="623"/>
      <c r="L450" s="623"/>
      <c r="M450" s="623"/>
      <c r="AE450" s="509"/>
      <c r="AF450" s="509"/>
    </row>
    <row r="451" spans="1:32" s="65" customFormat="1" ht="11.25">
      <c r="A451" s="623"/>
      <c r="B451" s="623"/>
      <c r="C451" s="623" t="s">
        <v>2228</v>
      </c>
      <c r="D451" s="623"/>
      <c r="E451" s="622"/>
      <c r="F451" s="622"/>
      <c r="G451" s="622"/>
      <c r="H451" s="622"/>
      <c r="I451" s="622"/>
      <c r="J451" s="622"/>
      <c r="K451" s="622"/>
      <c r="L451" s="622"/>
      <c r="M451" s="622"/>
      <c r="AE451" s="509"/>
      <c r="AF451" s="509"/>
    </row>
    <row r="452" spans="1:32" s="65" customFormat="1" ht="11.25">
      <c r="A452" s="623"/>
      <c r="B452" s="623"/>
      <c r="C452" s="623" t="s">
        <v>2728</v>
      </c>
      <c r="D452" s="622"/>
      <c r="E452" s="622"/>
      <c r="F452" s="622"/>
      <c r="G452" s="622"/>
      <c r="H452" s="623"/>
      <c r="I452" s="622"/>
      <c r="J452" s="622"/>
      <c r="K452" s="622"/>
      <c r="L452" s="622"/>
      <c r="M452" s="622"/>
      <c r="AE452" s="509"/>
      <c r="AF452" s="509"/>
    </row>
    <row r="453" spans="1:32" s="65" customFormat="1" ht="11.25">
      <c r="A453" s="623"/>
      <c r="B453" s="623"/>
      <c r="C453" s="623" t="s">
        <v>2229</v>
      </c>
      <c r="D453" s="622"/>
      <c r="E453" s="622"/>
      <c r="F453" s="622"/>
      <c r="G453" s="622"/>
      <c r="H453" s="622"/>
      <c r="I453" s="622"/>
      <c r="J453" s="622"/>
      <c r="K453" s="622"/>
      <c r="L453" s="622"/>
      <c r="M453" s="622"/>
      <c r="AE453" s="509"/>
      <c r="AF453" s="509"/>
    </row>
    <row r="454" spans="1:32" s="65" customFormat="1" ht="11.25">
      <c r="A454" s="623"/>
      <c r="B454" s="623"/>
      <c r="C454" s="623" t="s">
        <v>1763</v>
      </c>
      <c r="D454" s="622"/>
      <c r="E454" s="622"/>
      <c r="F454" s="622"/>
      <c r="G454" s="622"/>
      <c r="H454" s="623"/>
      <c r="I454" s="622"/>
      <c r="J454" s="622"/>
      <c r="K454" s="622"/>
      <c r="L454" s="622"/>
      <c r="M454" s="622"/>
      <c r="AE454" s="509"/>
      <c r="AF454" s="509"/>
    </row>
    <row r="455" spans="1:32" s="65" customFormat="1" ht="11.25">
      <c r="A455" s="623"/>
      <c r="B455" s="623"/>
      <c r="C455" s="625" t="s">
        <v>2148</v>
      </c>
      <c r="D455" s="622"/>
      <c r="E455" s="622"/>
      <c r="F455" s="622"/>
      <c r="G455" s="622"/>
      <c r="H455" s="623"/>
      <c r="I455" s="622"/>
      <c r="J455" s="622"/>
      <c r="K455" s="622"/>
      <c r="L455" s="622"/>
      <c r="M455" s="622"/>
      <c r="AE455" s="509"/>
      <c r="AF455" s="509"/>
    </row>
    <row r="456" spans="1:32" s="65" customFormat="1" ht="11.25">
      <c r="A456" s="623"/>
      <c r="B456" s="623"/>
      <c r="C456" s="623" t="s">
        <v>241</v>
      </c>
      <c r="D456" s="622"/>
      <c r="E456" s="622"/>
      <c r="F456" s="622"/>
      <c r="G456" s="622"/>
      <c r="H456" s="623"/>
      <c r="I456" s="622"/>
      <c r="J456" s="623"/>
      <c r="K456" s="622"/>
      <c r="L456" s="622"/>
      <c r="M456" s="622"/>
      <c r="AE456" s="509"/>
      <c r="AF456" s="509"/>
    </row>
    <row r="457" spans="1:32" s="65" customFormat="1" ht="11.25">
      <c r="A457" s="623"/>
      <c r="B457" s="623"/>
      <c r="C457" s="623" t="s">
        <v>1764</v>
      </c>
      <c r="D457" s="622"/>
      <c r="E457" s="622"/>
      <c r="F457" s="622"/>
      <c r="G457" s="622"/>
      <c r="H457" s="623"/>
      <c r="I457" s="622"/>
      <c r="J457" s="623"/>
      <c r="K457" s="622"/>
      <c r="L457" s="622"/>
      <c r="M457" s="622"/>
      <c r="AE457" s="509"/>
      <c r="AF457" s="509"/>
    </row>
    <row r="458" spans="1:32" s="65" customFormat="1" ht="11.25">
      <c r="A458" s="623"/>
      <c r="B458" s="623"/>
      <c r="C458" s="623" t="s">
        <v>1765</v>
      </c>
      <c r="D458" s="622"/>
      <c r="E458" s="622"/>
      <c r="F458" s="622"/>
      <c r="G458" s="622"/>
      <c r="H458" s="623"/>
      <c r="I458" s="622"/>
      <c r="J458" s="623"/>
      <c r="K458" s="622"/>
      <c r="L458" s="622"/>
      <c r="M458" s="622"/>
      <c r="AE458" s="509"/>
      <c r="AF458" s="509"/>
    </row>
    <row r="459" spans="1:32" s="65" customFormat="1" ht="11.25">
      <c r="A459" s="623"/>
      <c r="B459" s="623"/>
      <c r="C459" s="623" t="s">
        <v>2675</v>
      </c>
      <c r="D459" s="622"/>
      <c r="E459" s="622"/>
      <c r="F459" s="622"/>
      <c r="G459" s="622"/>
      <c r="H459" s="622"/>
      <c r="I459" s="622"/>
      <c r="J459" s="622"/>
      <c r="K459" s="622"/>
      <c r="L459" s="622"/>
      <c r="M459" s="622"/>
      <c r="AE459" s="509"/>
      <c r="AF459" s="509"/>
    </row>
    <row r="460" spans="1:32" s="65" customFormat="1" ht="11.25">
      <c r="A460" s="623"/>
      <c r="B460" s="623"/>
      <c r="C460" s="623" t="s">
        <v>1698</v>
      </c>
      <c r="D460" s="622"/>
      <c r="E460" s="622"/>
      <c r="F460" s="622"/>
      <c r="G460" s="622"/>
      <c r="H460" s="622"/>
      <c r="I460" s="622"/>
      <c r="J460" s="622"/>
      <c r="K460" s="622"/>
      <c r="L460" s="622"/>
      <c r="M460" s="622"/>
      <c r="AE460" s="509"/>
      <c r="AF460" s="509"/>
    </row>
    <row r="461" spans="1:32" s="65" customFormat="1" ht="11.25">
      <c r="A461" s="623"/>
      <c r="B461" s="623"/>
      <c r="C461" s="623" t="s">
        <v>1767</v>
      </c>
      <c r="D461" s="622"/>
      <c r="E461" s="622"/>
      <c r="F461" s="622"/>
      <c r="G461" s="622"/>
      <c r="H461" s="622"/>
      <c r="I461" s="622"/>
      <c r="J461" s="622"/>
      <c r="K461" s="622"/>
      <c r="L461" s="622"/>
      <c r="M461" s="622"/>
      <c r="AE461" s="509"/>
      <c r="AF461" s="509"/>
    </row>
    <row r="462" spans="1:32" s="65" customFormat="1" ht="11.25">
      <c r="A462" s="623"/>
      <c r="B462" s="623"/>
      <c r="C462" s="623" t="s">
        <v>2678</v>
      </c>
      <c r="D462" s="622"/>
      <c r="E462" s="622"/>
      <c r="F462" s="622"/>
      <c r="G462" s="622"/>
      <c r="H462" s="622"/>
      <c r="I462" s="622"/>
      <c r="J462" s="622"/>
      <c r="K462" s="622"/>
      <c r="L462" s="622"/>
      <c r="M462" s="622"/>
      <c r="AE462" s="509"/>
      <c r="AF462" s="509"/>
    </row>
    <row r="463" spans="1:32" s="65" customFormat="1" ht="11.25">
      <c r="A463" s="623"/>
      <c r="B463" s="623"/>
      <c r="C463" s="623" t="s">
        <v>1769</v>
      </c>
      <c r="D463" s="622"/>
      <c r="E463" s="622"/>
      <c r="F463" s="622"/>
      <c r="G463" s="622"/>
      <c r="H463" s="622"/>
      <c r="I463" s="622"/>
      <c r="J463" s="622"/>
      <c r="K463" s="622"/>
      <c r="L463" s="622"/>
      <c r="M463" s="622"/>
      <c r="N463" s="65" t="s">
        <v>2676</v>
      </c>
      <c r="AE463" s="509"/>
      <c r="AF463" s="509"/>
    </row>
    <row r="464" spans="1:32" s="65" customFormat="1" ht="11.25">
      <c r="A464" s="623"/>
      <c r="B464" s="623"/>
      <c r="C464" s="623" t="s">
        <v>1770</v>
      </c>
      <c r="D464" s="622"/>
      <c r="E464" s="622"/>
      <c r="F464" s="622"/>
      <c r="G464" s="622"/>
      <c r="H464" s="622"/>
      <c r="I464" s="622"/>
      <c r="J464" s="622"/>
      <c r="K464" s="622"/>
      <c r="L464" s="622"/>
      <c r="M464" s="622"/>
      <c r="AE464" s="509"/>
      <c r="AF464" s="509"/>
    </row>
    <row r="465" spans="1:32" s="65" customFormat="1" ht="11.25">
      <c r="A465" s="623"/>
      <c r="B465" s="623"/>
      <c r="C465" s="623" t="s">
        <v>1771</v>
      </c>
      <c r="D465" s="622"/>
      <c r="E465" s="622"/>
      <c r="F465" s="622"/>
      <c r="G465" s="622"/>
      <c r="H465" s="622"/>
      <c r="I465" s="622"/>
      <c r="J465" s="622"/>
      <c r="K465" s="622"/>
      <c r="L465" s="622"/>
      <c r="M465" s="622"/>
      <c r="AE465" s="509"/>
      <c r="AF465" s="509"/>
    </row>
    <row r="466" spans="1:32" s="65" customFormat="1" ht="11.25">
      <c r="A466" s="623"/>
      <c r="B466" s="623"/>
      <c r="C466" s="623" t="s">
        <v>629</v>
      </c>
      <c r="D466" s="622"/>
      <c r="E466" s="622"/>
      <c r="F466" s="622"/>
      <c r="G466" s="622"/>
      <c r="H466" s="622"/>
      <c r="I466" s="622"/>
      <c r="J466" s="622"/>
      <c r="K466" s="622"/>
      <c r="L466" s="622"/>
      <c r="M466" s="622"/>
      <c r="AE466" s="509"/>
      <c r="AF466" s="509"/>
    </row>
    <row r="467" spans="1:32" s="65" customFormat="1" ht="11.25">
      <c r="A467" s="623"/>
      <c r="B467" s="623"/>
      <c r="C467" s="623" t="s">
        <v>1772</v>
      </c>
      <c r="D467" s="622"/>
      <c r="E467" s="622"/>
      <c r="F467" s="622"/>
      <c r="G467" s="622"/>
      <c r="H467" s="622"/>
      <c r="I467" s="622"/>
      <c r="J467" s="622"/>
      <c r="K467" s="622"/>
      <c r="L467" s="622"/>
      <c r="M467" s="622"/>
      <c r="AE467" s="509"/>
      <c r="AF467" s="509"/>
    </row>
    <row r="468" spans="1:32" s="65" customFormat="1" ht="11.25">
      <c r="A468" s="623"/>
      <c r="B468" s="623"/>
      <c r="C468" s="623" t="s">
        <v>2009</v>
      </c>
      <c r="D468" s="622"/>
      <c r="E468" s="622"/>
      <c r="F468" s="622"/>
      <c r="G468" s="622"/>
      <c r="H468" s="622"/>
      <c r="I468" s="622"/>
      <c r="J468" s="622"/>
      <c r="K468" s="622"/>
      <c r="L468" s="622"/>
      <c r="M468" s="622"/>
      <c r="AE468" s="509"/>
      <c r="AF468" s="509"/>
    </row>
    <row r="469" spans="1:32" s="65" customFormat="1" ht="11.25">
      <c r="A469" s="623"/>
      <c r="B469" s="623"/>
      <c r="C469" s="623" t="s">
        <v>240</v>
      </c>
      <c r="D469" s="622"/>
      <c r="E469" s="622"/>
      <c r="F469" s="622"/>
      <c r="G469" s="622"/>
      <c r="H469" s="622"/>
      <c r="I469" s="622"/>
      <c r="J469" s="622"/>
      <c r="K469" s="622"/>
      <c r="L469" s="622"/>
      <c r="M469" s="622"/>
      <c r="AE469" s="509"/>
      <c r="AF469" s="509"/>
    </row>
    <row r="470" spans="1:32" s="65" customFormat="1" ht="11.25">
      <c r="A470" s="623"/>
      <c r="B470" s="623"/>
      <c r="C470" s="623"/>
      <c r="D470" s="623"/>
      <c r="E470" s="623"/>
      <c r="F470" s="623"/>
      <c r="G470" s="623"/>
      <c r="H470" s="623"/>
      <c r="I470" s="623"/>
      <c r="J470" s="623"/>
      <c r="K470" s="623"/>
      <c r="L470" s="623"/>
      <c r="M470" s="623"/>
      <c r="AE470" s="509"/>
      <c r="AF470" s="509"/>
    </row>
    <row r="471" spans="1:32" s="65" customFormat="1" ht="11.25">
      <c r="A471" s="623"/>
      <c r="B471" s="623"/>
      <c r="C471" s="629" t="s">
        <v>1913</v>
      </c>
      <c r="D471" s="623"/>
      <c r="E471" s="623"/>
      <c r="F471" s="623"/>
      <c r="G471" s="623"/>
      <c r="H471" s="623"/>
      <c r="I471" s="623"/>
      <c r="J471" s="623"/>
      <c r="K471" s="623"/>
      <c r="L471" s="623"/>
      <c r="M471" s="623"/>
      <c r="AE471" s="509"/>
      <c r="AF471" s="509"/>
    </row>
    <row r="472" spans="1:32" s="65" customFormat="1" ht="11.25">
      <c r="A472" s="623"/>
      <c r="B472" s="623"/>
      <c r="C472" s="623" t="s">
        <v>983</v>
      </c>
      <c r="D472" s="623"/>
      <c r="E472" s="623"/>
      <c r="F472" s="623"/>
      <c r="G472" s="623"/>
      <c r="H472" s="623"/>
      <c r="I472" s="623"/>
      <c r="J472" s="623"/>
      <c r="K472" s="623"/>
      <c r="L472" s="623"/>
      <c r="M472" s="623"/>
      <c r="AE472" s="509"/>
      <c r="AF472" s="509"/>
    </row>
    <row r="473" spans="1:32" s="65" customFormat="1" ht="11.25">
      <c r="A473" s="623"/>
      <c r="B473" s="623"/>
      <c r="C473" s="627" t="s">
        <v>1740</v>
      </c>
      <c r="D473" s="623"/>
      <c r="E473" s="623"/>
      <c r="F473" s="623"/>
      <c r="G473" s="623"/>
      <c r="H473" s="623"/>
      <c r="I473" s="623"/>
      <c r="J473" s="623"/>
      <c r="K473" s="623"/>
      <c r="L473" s="623"/>
      <c r="M473" s="623"/>
      <c r="AE473" s="509"/>
      <c r="AF473" s="509"/>
    </row>
    <row r="474" spans="1:32" s="65" customFormat="1" ht="11.25">
      <c r="A474" s="623"/>
      <c r="B474" s="623"/>
      <c r="C474" s="627" t="s">
        <v>769</v>
      </c>
      <c r="D474" s="623"/>
      <c r="E474" s="623"/>
      <c r="F474" s="623"/>
      <c r="G474" s="623"/>
      <c r="H474" s="623"/>
      <c r="I474" s="623"/>
      <c r="J474" s="623"/>
      <c r="K474" s="623"/>
      <c r="L474" s="627"/>
      <c r="M474" s="623"/>
      <c r="AE474" s="509"/>
      <c r="AF474" s="509"/>
    </row>
    <row r="475" spans="1:32" s="65" customFormat="1" ht="11.25">
      <c r="A475" s="623"/>
      <c r="B475" s="623"/>
      <c r="C475" s="627" t="s">
        <v>770</v>
      </c>
      <c r="D475" s="623"/>
      <c r="E475" s="623"/>
      <c r="F475" s="623"/>
      <c r="G475" s="623"/>
      <c r="H475" s="623"/>
      <c r="I475" s="623"/>
      <c r="J475" s="623"/>
      <c r="K475" s="623"/>
      <c r="L475" s="627"/>
      <c r="M475" s="623"/>
      <c r="AE475" s="509"/>
      <c r="AF475" s="509"/>
    </row>
    <row r="476" spans="1:32" s="65" customFormat="1" ht="11.25">
      <c r="A476" s="623"/>
      <c r="B476" s="623"/>
      <c r="C476" s="627" t="s">
        <v>2296</v>
      </c>
      <c r="D476" s="623"/>
      <c r="E476" s="623"/>
      <c r="F476" s="623"/>
      <c r="G476" s="623"/>
      <c r="H476" s="623"/>
      <c r="I476" s="623"/>
      <c r="J476" s="623"/>
      <c r="K476" s="623"/>
      <c r="L476" s="627"/>
      <c r="M476" s="623"/>
      <c r="AE476" s="509"/>
      <c r="AF476" s="509"/>
    </row>
    <row r="477" spans="1:32" s="65" customFormat="1" ht="11.25">
      <c r="A477" s="623"/>
      <c r="B477" s="623"/>
      <c r="C477" s="627" t="s">
        <v>129</v>
      </c>
      <c r="D477" s="623"/>
      <c r="E477" s="623"/>
      <c r="F477" s="623"/>
      <c r="G477" s="623"/>
      <c r="H477" s="623"/>
      <c r="I477" s="623"/>
      <c r="J477" s="623"/>
      <c r="K477" s="623"/>
      <c r="L477" s="627"/>
      <c r="M477" s="623"/>
      <c r="AE477" s="509"/>
      <c r="AF477" s="509"/>
    </row>
    <row r="478" spans="1:32" s="65" customFormat="1" ht="11.25">
      <c r="A478" s="623"/>
      <c r="B478" s="623"/>
      <c r="C478" s="565" t="s">
        <v>127</v>
      </c>
      <c r="D478" s="623"/>
      <c r="E478" s="623"/>
      <c r="F478" s="623"/>
      <c r="G478" s="623"/>
      <c r="H478" s="623"/>
      <c r="I478" s="623"/>
      <c r="J478" s="623"/>
      <c r="K478" s="623"/>
      <c r="L478" s="627"/>
      <c r="M478" s="623"/>
      <c r="AE478" s="509"/>
      <c r="AF478" s="509"/>
    </row>
    <row r="479" spans="1:32" s="65" customFormat="1" ht="11.25">
      <c r="A479" s="623"/>
      <c r="B479" s="623"/>
      <c r="C479" s="565" t="s">
        <v>2014</v>
      </c>
      <c r="D479" s="623"/>
      <c r="E479" s="623"/>
      <c r="F479" s="623"/>
      <c r="G479" s="623"/>
      <c r="H479" s="623"/>
      <c r="I479" s="623"/>
      <c r="J479" s="623"/>
      <c r="K479" s="623"/>
      <c r="L479" s="623"/>
      <c r="M479" s="623"/>
      <c r="AE479" s="509"/>
      <c r="AF479" s="509"/>
    </row>
    <row r="480" spans="1:32" s="65" customFormat="1" ht="11.25">
      <c r="A480" s="623"/>
      <c r="B480" s="623"/>
      <c r="C480" s="627" t="s">
        <v>1003</v>
      </c>
      <c r="D480" s="623"/>
      <c r="E480" s="623"/>
      <c r="F480" s="623"/>
      <c r="G480" s="623"/>
      <c r="H480" s="623"/>
      <c r="I480" s="623"/>
      <c r="J480" s="623"/>
      <c r="K480" s="623"/>
      <c r="L480" s="627"/>
      <c r="M480" s="623"/>
      <c r="AE480" s="509"/>
      <c r="AF480" s="509"/>
    </row>
    <row r="481" spans="1:32" s="65" customFormat="1" ht="11.25">
      <c r="A481" s="623"/>
      <c r="B481" s="623"/>
      <c r="C481" s="565" t="s">
        <v>128</v>
      </c>
      <c r="D481" s="623"/>
      <c r="E481" s="623"/>
      <c r="F481" s="623"/>
      <c r="G481" s="623"/>
      <c r="H481" s="623"/>
      <c r="I481" s="623"/>
      <c r="J481" s="623"/>
      <c r="K481" s="623"/>
      <c r="L481" s="627"/>
      <c r="M481" s="623"/>
      <c r="AE481" s="509"/>
      <c r="AF481" s="509"/>
    </row>
    <row r="482" spans="1:32" s="65" customFormat="1" ht="11.25">
      <c r="A482" s="623"/>
      <c r="B482" s="623"/>
      <c r="C482" s="565" t="s">
        <v>129</v>
      </c>
      <c r="D482" s="623"/>
      <c r="E482" s="623"/>
      <c r="F482" s="623"/>
      <c r="G482" s="623"/>
      <c r="H482" s="623"/>
      <c r="I482" s="623"/>
      <c r="J482" s="623"/>
      <c r="K482" s="623"/>
      <c r="L482" s="627"/>
      <c r="M482" s="623"/>
      <c r="AE482" s="509"/>
      <c r="AF482" s="509"/>
    </row>
    <row r="483" spans="1:32" s="65" customFormat="1" ht="11.25">
      <c r="A483" s="623"/>
      <c r="B483" s="623"/>
      <c r="C483" s="565" t="s">
        <v>130</v>
      </c>
      <c r="D483" s="623"/>
      <c r="E483" s="623"/>
      <c r="F483" s="623"/>
      <c r="G483" s="623"/>
      <c r="H483" s="623"/>
      <c r="I483" s="623"/>
      <c r="J483" s="623"/>
      <c r="K483" s="623"/>
      <c r="L483" s="627"/>
      <c r="M483" s="623"/>
      <c r="AE483" s="509"/>
      <c r="AF483" s="509"/>
    </row>
    <row r="484" spans="1:32" s="65" customFormat="1" ht="11.25">
      <c r="A484" s="623"/>
      <c r="B484" s="623"/>
      <c r="C484" s="565" t="s">
        <v>2877</v>
      </c>
      <c r="D484" s="623"/>
      <c r="E484" s="623"/>
      <c r="F484" s="623"/>
      <c r="G484" s="623"/>
      <c r="H484" s="623"/>
      <c r="I484" s="623"/>
      <c r="J484" s="623"/>
      <c r="K484" s="623"/>
      <c r="L484" s="623"/>
      <c r="M484" s="623"/>
      <c r="AE484" s="509"/>
      <c r="AF484" s="509"/>
    </row>
    <row r="485" spans="1:32" s="65" customFormat="1" ht="11.25">
      <c r="A485" s="623"/>
      <c r="B485" s="623"/>
      <c r="C485" s="627" t="s">
        <v>2147</v>
      </c>
      <c r="D485" s="623"/>
      <c r="E485" s="623"/>
      <c r="F485" s="623"/>
      <c r="G485" s="623"/>
      <c r="H485" s="623"/>
      <c r="I485" s="623"/>
      <c r="J485" s="623"/>
      <c r="K485" s="623"/>
      <c r="L485" s="627"/>
      <c r="M485" s="623"/>
      <c r="AE485" s="509"/>
      <c r="AF485" s="509"/>
    </row>
    <row r="486" spans="1:32" s="65" customFormat="1" ht="11.25">
      <c r="A486" s="623"/>
      <c r="B486" s="623"/>
      <c r="C486" s="565" t="s">
        <v>2878</v>
      </c>
      <c r="D486" s="623"/>
      <c r="E486" s="623"/>
      <c r="F486" s="623"/>
      <c r="G486" s="623"/>
      <c r="H486" s="623"/>
      <c r="I486" s="623"/>
      <c r="J486" s="623"/>
      <c r="K486" s="623"/>
      <c r="L486" s="627"/>
      <c r="M486" s="623"/>
      <c r="AE486" s="509"/>
      <c r="AF486" s="509"/>
    </row>
    <row r="487" spans="1:32" s="65" customFormat="1" ht="11.25">
      <c r="A487" s="623"/>
      <c r="B487" s="623"/>
      <c r="C487" s="565" t="s">
        <v>1470</v>
      </c>
      <c r="D487" s="623"/>
      <c r="E487" s="623"/>
      <c r="F487" s="623"/>
      <c r="G487" s="623"/>
      <c r="H487" s="623"/>
      <c r="I487" s="623"/>
      <c r="J487" s="623"/>
      <c r="K487" s="623"/>
      <c r="L487" s="627"/>
      <c r="M487" s="623"/>
      <c r="AE487" s="509"/>
      <c r="AF487" s="509"/>
    </row>
    <row r="488" spans="1:32" s="65" customFormat="1" ht="11.25">
      <c r="A488" s="623"/>
      <c r="B488" s="623"/>
      <c r="C488" s="565" t="s">
        <v>1696</v>
      </c>
      <c r="D488" s="623"/>
      <c r="E488" s="623"/>
      <c r="F488" s="623"/>
      <c r="G488" s="623"/>
      <c r="H488" s="623"/>
      <c r="I488" s="623"/>
      <c r="J488" s="623"/>
      <c r="K488" s="630" t="s">
        <v>485</v>
      </c>
      <c r="L488" s="627"/>
      <c r="M488" s="623"/>
      <c r="AE488" s="509"/>
      <c r="AF488" s="509"/>
    </row>
    <row r="489" spans="1:32" s="65" customFormat="1" ht="11.25">
      <c r="A489" s="623"/>
      <c r="B489" s="623"/>
      <c r="C489" s="565" t="s">
        <v>2879</v>
      </c>
      <c r="D489" s="623"/>
      <c r="E489" s="623"/>
      <c r="F489" s="623"/>
      <c r="G489" s="623"/>
      <c r="H489" s="623"/>
      <c r="I489" s="623"/>
      <c r="J489" s="623"/>
      <c r="K489" s="623" t="s">
        <v>1148</v>
      </c>
      <c r="L489" s="627"/>
      <c r="M489" s="623"/>
      <c r="AE489" s="509"/>
      <c r="AF489" s="509"/>
    </row>
    <row r="490" spans="1:32" s="65" customFormat="1" ht="11.25">
      <c r="A490" s="623"/>
      <c r="B490" s="623"/>
      <c r="C490" s="565" t="s">
        <v>2880</v>
      </c>
      <c r="D490" s="623"/>
      <c r="E490" s="623"/>
      <c r="F490" s="623"/>
      <c r="G490" s="623"/>
      <c r="H490" s="623"/>
      <c r="I490" s="623"/>
      <c r="J490" s="623"/>
      <c r="K490" s="623" t="s">
        <v>2848</v>
      </c>
      <c r="L490" s="623"/>
      <c r="M490" s="623"/>
      <c r="AE490" s="509"/>
      <c r="AF490" s="509"/>
    </row>
    <row r="491" spans="1:32" s="65" customFormat="1" ht="11.25">
      <c r="A491" s="623"/>
      <c r="B491" s="623"/>
      <c r="C491" s="627" t="s">
        <v>1281</v>
      </c>
      <c r="D491" s="623"/>
      <c r="E491" s="623"/>
      <c r="F491" s="623"/>
      <c r="G491" s="623"/>
      <c r="H491" s="623"/>
      <c r="I491" s="623"/>
      <c r="J491" s="623"/>
      <c r="K491" s="623" t="s">
        <v>2849</v>
      </c>
      <c r="L491" s="623"/>
      <c r="M491" s="623"/>
      <c r="AE491" s="509"/>
      <c r="AF491" s="509"/>
    </row>
    <row r="492" spans="1:32" s="65" customFormat="1" ht="11.25">
      <c r="A492" s="623"/>
      <c r="B492" s="623"/>
      <c r="C492" s="623"/>
      <c r="D492" s="623"/>
      <c r="E492" s="623"/>
      <c r="F492" s="623"/>
      <c r="G492" s="623"/>
      <c r="H492" s="623"/>
      <c r="I492" s="623"/>
      <c r="J492" s="623"/>
      <c r="K492" s="623"/>
      <c r="L492" s="623"/>
      <c r="M492" s="623"/>
      <c r="AE492" s="509"/>
      <c r="AF492" s="509"/>
    </row>
    <row r="493" spans="1:32" s="65" customFormat="1" ht="11.25">
      <c r="A493" s="623"/>
      <c r="B493" s="623"/>
      <c r="C493" s="629" t="s">
        <v>268</v>
      </c>
      <c r="D493" s="623"/>
      <c r="E493" s="623"/>
      <c r="F493" s="623"/>
      <c r="G493" s="623"/>
      <c r="H493" s="623"/>
      <c r="I493" s="623"/>
      <c r="J493" s="623"/>
      <c r="K493" s="630" t="s">
        <v>2391</v>
      </c>
      <c r="L493" s="623"/>
      <c r="M493" s="623"/>
      <c r="AE493" s="509"/>
      <c r="AF493" s="509"/>
    </row>
    <row r="494" spans="1:32" s="65" customFormat="1" ht="11.25">
      <c r="A494" s="623"/>
      <c r="B494" s="623"/>
      <c r="C494" s="623" t="s">
        <v>1149</v>
      </c>
      <c r="D494" s="623"/>
      <c r="E494" s="623"/>
      <c r="F494" s="623"/>
      <c r="G494" s="623"/>
      <c r="H494" s="623"/>
      <c r="I494" s="623"/>
      <c r="J494" s="623"/>
      <c r="K494" s="623" t="s">
        <v>2478</v>
      </c>
      <c r="L494" s="623"/>
      <c r="M494" s="623"/>
      <c r="AE494" s="509"/>
      <c r="AF494" s="509"/>
    </row>
    <row r="495" spans="1:32" s="65" customFormat="1" ht="11.25">
      <c r="A495" s="623"/>
      <c r="B495" s="623"/>
      <c r="C495" s="623" t="s">
        <v>177</v>
      </c>
      <c r="D495" s="623"/>
      <c r="E495" s="623"/>
      <c r="F495" s="623"/>
      <c r="G495" s="623"/>
      <c r="H495" s="623"/>
      <c r="I495" s="623"/>
      <c r="J495" s="623"/>
      <c r="K495" s="623" t="s">
        <v>1539</v>
      </c>
      <c r="L495" s="623"/>
      <c r="M495" s="623"/>
      <c r="AE495" s="509"/>
      <c r="AF495" s="509"/>
    </row>
    <row r="496" spans="1:32" s="65" customFormat="1" ht="11.25">
      <c r="A496" s="623"/>
      <c r="B496" s="623"/>
      <c r="C496" s="623" t="s">
        <v>1632</v>
      </c>
      <c r="D496" s="623"/>
      <c r="E496" s="623"/>
      <c r="F496" s="623"/>
      <c r="G496" s="623"/>
      <c r="H496" s="623"/>
      <c r="I496" s="623"/>
      <c r="J496" s="623"/>
      <c r="K496" s="623" t="s">
        <v>1200</v>
      </c>
      <c r="L496" s="623"/>
      <c r="M496" s="623"/>
      <c r="AE496" s="509"/>
      <c r="AF496" s="509"/>
    </row>
    <row r="497" spans="1:32" s="65" customFormat="1" ht="11.25">
      <c r="A497" s="623"/>
      <c r="B497" s="623"/>
      <c r="C497" s="623" t="s">
        <v>2257</v>
      </c>
      <c r="D497" s="623"/>
      <c r="E497" s="623"/>
      <c r="F497" s="623"/>
      <c r="G497" s="623"/>
      <c r="H497" s="623"/>
      <c r="I497" s="623"/>
      <c r="J497" s="623"/>
      <c r="K497" s="623" t="s">
        <v>1199</v>
      </c>
      <c r="L497" s="623"/>
      <c r="M497" s="623"/>
      <c r="AE497" s="509"/>
      <c r="AF497" s="509"/>
    </row>
    <row r="498" spans="1:32" s="65" customFormat="1" ht="11.25">
      <c r="A498" s="623"/>
      <c r="B498" s="623"/>
      <c r="C498" s="623" t="s">
        <v>176</v>
      </c>
      <c r="D498" s="623"/>
      <c r="E498" s="623"/>
      <c r="F498" s="623"/>
      <c r="G498" s="623"/>
      <c r="H498" s="623"/>
      <c r="I498" s="623"/>
      <c r="J498" s="623"/>
      <c r="K498" s="623" t="s">
        <v>2987</v>
      </c>
      <c r="L498" s="623"/>
      <c r="M498" s="623"/>
      <c r="AE498" s="509"/>
      <c r="AF498" s="509"/>
    </row>
    <row r="499" spans="1:32" s="65" customFormat="1" ht="11.25">
      <c r="A499" s="623"/>
      <c r="B499" s="623"/>
      <c r="C499" s="623"/>
      <c r="D499" s="623"/>
      <c r="E499" s="623"/>
      <c r="F499" s="623"/>
      <c r="G499" s="623"/>
      <c r="H499" s="623"/>
      <c r="I499" s="623"/>
      <c r="J499" s="623"/>
      <c r="K499" s="630" t="s">
        <v>2083</v>
      </c>
      <c r="L499" s="623"/>
      <c r="M499" s="623"/>
      <c r="AE499" s="509"/>
      <c r="AF499" s="509"/>
    </row>
    <row r="500" spans="1:32" s="65" customFormat="1" ht="11.25">
      <c r="A500" s="623"/>
      <c r="B500" s="623"/>
      <c r="C500" s="623"/>
      <c r="D500" s="623"/>
      <c r="E500" s="623"/>
      <c r="F500" s="623"/>
      <c r="G500" s="623"/>
      <c r="H500" s="623"/>
      <c r="I500" s="623"/>
      <c r="J500" s="623"/>
      <c r="K500" s="623" t="s">
        <v>1147</v>
      </c>
      <c r="L500" s="623"/>
      <c r="M500" s="623"/>
      <c r="AE500" s="509"/>
      <c r="AF500" s="509"/>
    </row>
    <row r="501" spans="1:32" s="65" customFormat="1" ht="11.25">
      <c r="A501" s="623"/>
      <c r="B501" s="623"/>
      <c r="C501" s="623"/>
      <c r="D501" s="623"/>
      <c r="E501" s="623"/>
      <c r="F501" s="623"/>
      <c r="G501" s="623"/>
      <c r="H501" s="623"/>
      <c r="I501" s="623"/>
      <c r="J501" s="623"/>
      <c r="K501" s="623" t="s">
        <v>1874</v>
      </c>
      <c r="L501" s="623"/>
      <c r="M501" s="623"/>
      <c r="AE501" s="509"/>
      <c r="AF501" s="509"/>
    </row>
    <row r="502" spans="1:32" s="65" customFormat="1" ht="11.25">
      <c r="A502" s="623"/>
      <c r="B502" s="623"/>
      <c r="C502" s="623"/>
      <c r="D502" s="623"/>
      <c r="E502" s="623"/>
      <c r="F502" s="623"/>
      <c r="G502" s="623"/>
      <c r="H502" s="623"/>
      <c r="I502" s="623"/>
      <c r="J502" s="623"/>
      <c r="K502" s="623" t="s">
        <v>1201</v>
      </c>
      <c r="L502" s="623"/>
      <c r="M502" s="623"/>
      <c r="AE502" s="509"/>
      <c r="AF502" s="509"/>
    </row>
    <row r="503" spans="1:32" s="65" customFormat="1" ht="11.25">
      <c r="A503" s="623"/>
      <c r="B503" s="623"/>
      <c r="C503" s="623"/>
      <c r="D503" s="623"/>
      <c r="E503" s="623"/>
      <c r="F503" s="623"/>
      <c r="G503" s="623"/>
      <c r="H503" s="623"/>
      <c r="I503" s="623"/>
      <c r="J503" s="623"/>
      <c r="K503" s="623" t="s">
        <v>1875</v>
      </c>
      <c r="L503" s="623"/>
      <c r="M503" s="623"/>
      <c r="AE503" s="509"/>
      <c r="AF503" s="509"/>
    </row>
    <row r="504" spans="1:32" s="65" customFormat="1" ht="11.25">
      <c r="A504" s="623"/>
      <c r="B504" s="623"/>
      <c r="C504" s="623"/>
      <c r="D504" s="623"/>
      <c r="E504" s="623"/>
      <c r="F504" s="623"/>
      <c r="G504" s="623"/>
      <c r="H504" s="623"/>
      <c r="I504" s="623"/>
      <c r="J504" s="623"/>
      <c r="K504" s="623" t="s">
        <v>2524</v>
      </c>
      <c r="L504" s="623"/>
      <c r="M504" s="623"/>
      <c r="AE504" s="509"/>
      <c r="AF504" s="509"/>
    </row>
    <row r="505" spans="1:32" s="65" customFormat="1" ht="11.25">
      <c r="A505" s="623"/>
      <c r="B505" s="623"/>
      <c r="C505" s="623"/>
      <c r="D505" s="623"/>
      <c r="E505" s="623"/>
      <c r="F505" s="623"/>
      <c r="G505" s="623"/>
      <c r="H505" s="623"/>
      <c r="I505" s="623"/>
      <c r="J505" s="623"/>
      <c r="K505" s="623"/>
      <c r="L505" s="623"/>
      <c r="M505" s="623"/>
      <c r="AE505" s="509"/>
      <c r="AF505" s="509"/>
    </row>
    <row r="506" spans="1:32" s="65" customFormat="1" ht="11.25">
      <c r="A506" s="623"/>
      <c r="B506" s="623"/>
      <c r="C506" s="629" t="s">
        <v>1075</v>
      </c>
      <c r="D506" s="623"/>
      <c r="E506" s="623"/>
      <c r="F506" s="623"/>
      <c r="G506" s="623"/>
      <c r="H506" s="623"/>
      <c r="I506" s="623"/>
      <c r="J506" s="623"/>
      <c r="K506" s="629" t="s">
        <v>1076</v>
      </c>
      <c r="L506" s="623"/>
      <c r="M506" s="623"/>
      <c r="AE506" s="509"/>
      <c r="AF506" s="509"/>
    </row>
    <row r="507" spans="1:32" s="65" customFormat="1" ht="11.25">
      <c r="A507" s="623"/>
      <c r="B507" s="623"/>
      <c r="C507" s="623" t="s">
        <v>1074</v>
      </c>
      <c r="D507" s="623"/>
      <c r="E507" s="623"/>
      <c r="F507" s="623"/>
      <c r="G507" s="623"/>
      <c r="H507" s="623"/>
      <c r="I507" s="623"/>
      <c r="J507" s="623"/>
      <c r="K507" s="623" t="s">
        <v>1074</v>
      </c>
      <c r="L507" s="623"/>
      <c r="M507" s="623"/>
      <c r="AE507" s="509"/>
      <c r="AF507" s="509"/>
    </row>
    <row r="508" spans="1:32" s="65" customFormat="1" ht="11.25">
      <c r="A508" s="623"/>
      <c r="B508" s="623"/>
      <c r="C508" s="623" t="s">
        <v>2228</v>
      </c>
      <c r="D508" s="623"/>
      <c r="E508" s="623"/>
      <c r="F508" s="623"/>
      <c r="G508" s="623"/>
      <c r="H508" s="623"/>
      <c r="I508" s="623"/>
      <c r="J508" s="623"/>
      <c r="K508" s="623" t="s">
        <v>241</v>
      </c>
      <c r="L508" s="623"/>
      <c r="M508" s="623"/>
      <c r="AE508" s="509"/>
      <c r="AF508" s="509"/>
    </row>
    <row r="509" spans="1:32" s="65" customFormat="1" ht="11.25">
      <c r="A509" s="623"/>
      <c r="B509" s="623"/>
      <c r="C509" s="623" t="s">
        <v>2728</v>
      </c>
      <c r="D509" s="623"/>
      <c r="E509" s="623"/>
      <c r="F509" s="623"/>
      <c r="G509" s="623"/>
      <c r="H509" s="623"/>
      <c r="I509" s="623"/>
      <c r="J509" s="623"/>
      <c r="K509" s="623" t="s">
        <v>513</v>
      </c>
      <c r="L509" s="623"/>
      <c r="M509" s="623"/>
      <c r="AE509" s="509"/>
      <c r="AF509" s="509"/>
    </row>
    <row r="510" spans="1:32" s="65" customFormat="1" ht="11.25">
      <c r="A510" s="623"/>
      <c r="B510" s="623"/>
      <c r="C510" s="623" t="s">
        <v>2229</v>
      </c>
      <c r="D510" s="623"/>
      <c r="E510" s="623"/>
      <c r="F510" s="623"/>
      <c r="G510" s="623"/>
      <c r="H510" s="623"/>
      <c r="I510" s="623"/>
      <c r="J510" s="623"/>
      <c r="K510" s="623" t="s">
        <v>2675</v>
      </c>
      <c r="L510" s="623"/>
      <c r="M510" s="623"/>
      <c r="AE510" s="509"/>
      <c r="AF510" s="509"/>
    </row>
    <row r="511" spans="1:32" s="65" customFormat="1" ht="11.25">
      <c r="A511" s="623"/>
      <c r="B511" s="623"/>
      <c r="C511" s="623" t="s">
        <v>2084</v>
      </c>
      <c r="D511" s="623"/>
      <c r="E511" s="623"/>
      <c r="F511" s="623"/>
      <c r="G511" s="623"/>
      <c r="H511" s="623"/>
      <c r="I511" s="623"/>
      <c r="J511" s="623"/>
      <c r="K511" s="623" t="s">
        <v>2093</v>
      </c>
      <c r="L511" s="623"/>
      <c r="M511" s="623"/>
      <c r="AE511" s="509"/>
      <c r="AF511" s="509"/>
    </row>
    <row r="512" spans="1:32" s="65" customFormat="1" ht="11.25">
      <c r="A512" s="623"/>
      <c r="B512" s="623"/>
      <c r="C512" s="623" t="s">
        <v>628</v>
      </c>
      <c r="D512" s="623"/>
      <c r="E512" s="623"/>
      <c r="F512" s="623"/>
      <c r="G512" s="623"/>
      <c r="H512" s="623"/>
      <c r="I512" s="623"/>
      <c r="J512" s="623"/>
      <c r="K512" s="623" t="s">
        <v>2677</v>
      </c>
      <c r="L512" s="623"/>
      <c r="M512" s="623"/>
      <c r="AE512" s="509"/>
      <c r="AF512" s="509"/>
    </row>
    <row r="513" spans="1:32" s="65" customFormat="1" ht="11.25">
      <c r="A513" s="623"/>
      <c r="B513" s="623"/>
      <c r="C513" s="623" t="s">
        <v>2337</v>
      </c>
      <c r="D513" s="623"/>
      <c r="E513" s="623"/>
      <c r="F513" s="623"/>
      <c r="G513" s="623"/>
      <c r="H513" s="623"/>
      <c r="I513" s="623"/>
      <c r="J513" s="623"/>
      <c r="K513" s="623" t="s">
        <v>34</v>
      </c>
      <c r="L513" s="623"/>
      <c r="M513" s="623"/>
      <c r="AE513" s="509"/>
      <c r="AF513" s="509"/>
    </row>
    <row r="514" spans="1:32" s="65" customFormat="1" ht="11.25">
      <c r="A514" s="623"/>
      <c r="B514" s="623"/>
      <c r="C514" s="625" t="s">
        <v>35</v>
      </c>
      <c r="D514" s="623"/>
      <c r="E514" s="623"/>
      <c r="F514" s="623"/>
      <c r="G514" s="623"/>
      <c r="H514" s="623"/>
      <c r="I514" s="623"/>
      <c r="J514" s="623"/>
      <c r="K514" s="623" t="s">
        <v>1948</v>
      </c>
      <c r="L514" s="623"/>
      <c r="M514" s="623"/>
      <c r="AE514" s="509"/>
      <c r="AF514" s="509"/>
    </row>
    <row r="515" spans="1:32" s="65" customFormat="1" ht="11.25">
      <c r="A515" s="623"/>
      <c r="B515" s="623"/>
      <c r="C515" s="623"/>
      <c r="D515" s="623"/>
      <c r="E515" s="623"/>
      <c r="F515" s="623"/>
      <c r="G515" s="623"/>
      <c r="H515" s="623"/>
      <c r="I515" s="623"/>
      <c r="J515" s="623"/>
      <c r="K515" s="623" t="s">
        <v>2678</v>
      </c>
      <c r="L515" s="623"/>
      <c r="M515" s="623"/>
      <c r="AE515" s="509"/>
      <c r="AF515" s="509"/>
    </row>
    <row r="516" spans="1:32" s="65" customFormat="1" ht="11.25">
      <c r="A516" s="623"/>
      <c r="B516" s="623"/>
      <c r="C516" s="623"/>
      <c r="D516" s="623"/>
      <c r="E516" s="623"/>
      <c r="F516" s="623"/>
      <c r="G516" s="623"/>
      <c r="H516" s="623"/>
      <c r="I516" s="623"/>
      <c r="J516" s="623"/>
      <c r="K516" s="623" t="s">
        <v>1233</v>
      </c>
      <c r="L516" s="623"/>
      <c r="M516" s="623"/>
      <c r="AE516" s="509"/>
      <c r="AF516" s="509"/>
    </row>
    <row r="517" spans="1:32" s="65" customFormat="1" ht="11.25">
      <c r="A517" s="623"/>
      <c r="B517" s="623"/>
      <c r="C517" s="623"/>
      <c r="D517" s="623"/>
      <c r="E517" s="623"/>
      <c r="F517" s="623"/>
      <c r="G517" s="623"/>
      <c r="H517" s="623"/>
      <c r="I517" s="623"/>
      <c r="J517" s="623"/>
      <c r="K517" s="623" t="s">
        <v>2008</v>
      </c>
      <c r="L517" s="623"/>
      <c r="M517" s="623"/>
      <c r="AE517" s="509"/>
      <c r="AF517" s="509"/>
    </row>
    <row r="518" spans="1:32" s="65" customFormat="1" ht="11.25">
      <c r="A518" s="623"/>
      <c r="B518" s="623"/>
      <c r="C518" s="623"/>
      <c r="D518" s="623"/>
      <c r="E518" s="623"/>
      <c r="F518" s="623"/>
      <c r="G518" s="623"/>
      <c r="H518" s="623"/>
      <c r="I518" s="623"/>
      <c r="J518" s="623"/>
      <c r="K518" s="623" t="s">
        <v>627</v>
      </c>
      <c r="L518" s="623"/>
      <c r="M518" s="623"/>
      <c r="AE518" s="509"/>
      <c r="AF518" s="509"/>
    </row>
    <row r="519" spans="1:32" s="65" customFormat="1" ht="11.25">
      <c r="A519" s="623"/>
      <c r="B519" s="623"/>
      <c r="C519" s="623"/>
      <c r="D519" s="623"/>
      <c r="E519" s="623"/>
      <c r="F519" s="623"/>
      <c r="G519" s="623"/>
      <c r="H519" s="623"/>
      <c r="I519" s="623"/>
      <c r="J519" s="623"/>
      <c r="K519" s="623" t="s">
        <v>2009</v>
      </c>
      <c r="L519" s="623"/>
      <c r="M519" s="623"/>
      <c r="AE519" s="509"/>
      <c r="AF519" s="509"/>
    </row>
    <row r="520" spans="1:32" s="65" customFormat="1" ht="11.25">
      <c r="A520" s="623"/>
      <c r="B520" s="623"/>
      <c r="C520" s="623"/>
      <c r="D520" s="623"/>
      <c r="E520" s="623"/>
      <c r="F520" s="623"/>
      <c r="G520" s="623"/>
      <c r="H520" s="623"/>
      <c r="I520" s="623"/>
      <c r="J520" s="623"/>
      <c r="K520" s="623" t="s">
        <v>629</v>
      </c>
      <c r="L520" s="623"/>
      <c r="M520" s="623"/>
      <c r="AE520" s="509"/>
      <c r="AF520" s="509"/>
    </row>
    <row r="521" spans="1:32" s="65" customFormat="1" ht="11.25">
      <c r="A521" s="623"/>
      <c r="B521" s="623"/>
      <c r="C521" s="623"/>
      <c r="D521" s="623"/>
      <c r="E521" s="623"/>
      <c r="F521" s="623"/>
      <c r="G521" s="623"/>
      <c r="H521" s="623"/>
      <c r="I521" s="623"/>
      <c r="J521" s="623"/>
      <c r="K521" s="623" t="s">
        <v>240</v>
      </c>
      <c r="L521" s="623"/>
      <c r="M521" s="623"/>
      <c r="AE521" s="509"/>
      <c r="AF521" s="509"/>
    </row>
    <row r="522" spans="1:32" s="65" customFormat="1" ht="11.25">
      <c r="A522" s="623"/>
      <c r="B522" s="623"/>
      <c r="C522" s="623"/>
      <c r="D522" s="623"/>
      <c r="E522" s="623"/>
      <c r="F522" s="623"/>
      <c r="G522" s="623"/>
      <c r="H522" s="623"/>
      <c r="I522" s="623"/>
      <c r="J522" s="623"/>
      <c r="K522" s="623"/>
      <c r="L522" s="623"/>
      <c r="M522" s="623"/>
      <c r="AE522" s="509"/>
      <c r="AF522" s="509"/>
    </row>
    <row r="523" spans="1:32" s="65" customFormat="1" ht="11.25">
      <c r="A523" s="623"/>
      <c r="B523" s="623"/>
      <c r="C523" s="623"/>
      <c r="D523" s="631" t="s">
        <v>2175</v>
      </c>
      <c r="E523" s="623"/>
      <c r="F523" s="623"/>
      <c r="G523" s="623"/>
      <c r="H523" s="623"/>
      <c r="I523" s="623"/>
      <c r="J523" s="623"/>
      <c r="K523" s="623"/>
      <c r="L523" s="623"/>
      <c r="M523" s="623"/>
      <c r="AE523" s="509"/>
      <c r="AF523" s="509"/>
    </row>
    <row r="524" spans="1:32" s="65" customFormat="1" ht="11.25">
      <c r="A524" s="623"/>
      <c r="B524" s="623"/>
      <c r="C524" s="623"/>
      <c r="D524" s="623"/>
      <c r="E524" s="623"/>
      <c r="F524" s="623"/>
      <c r="G524" s="623"/>
      <c r="H524" s="623"/>
      <c r="I524" s="623"/>
      <c r="J524" s="623"/>
      <c r="K524" s="623"/>
      <c r="L524" s="623"/>
      <c r="M524" s="623"/>
      <c r="AE524" s="509"/>
      <c r="AF524" s="509"/>
    </row>
    <row r="525" spans="1:32" s="175"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B388"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211" zoomScaleNormal="100" workbookViewId="0">
      <selection activeCell="A211"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96" t="str">
        <f>CONCATENATE("PART NINE - SCORING CRITERIA","  -  ",'Part I-Project Information'!$O$4," ",'Part I-Project Information'!$F$23,", ",'Part I-Project Information'!F27,", ",'Part I-Project Information'!J28," County")</f>
        <v>PART NINE - SCORING CRITERIA  -  2014-055 Trinity Walk Phase I, Decatur, DeKalb County</v>
      </c>
      <c r="B1" s="1297"/>
      <c r="C1" s="1297"/>
      <c r="D1" s="1297"/>
      <c r="E1" s="1297"/>
      <c r="F1" s="1297"/>
      <c r="G1" s="1297"/>
      <c r="H1" s="1297"/>
      <c r="I1" s="1297"/>
      <c r="J1" s="1297"/>
      <c r="K1" s="1297"/>
      <c r="L1" s="1297"/>
      <c r="M1" s="1297"/>
      <c r="N1" s="1297"/>
      <c r="O1" s="1297"/>
      <c r="P1" s="1298"/>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4" t="s">
        <v>270</v>
      </c>
    </row>
    <row r="4" spans="1:19" s="52" customFormat="1" ht="12.6" customHeight="1">
      <c r="A4" s="50"/>
      <c r="B4" s="50"/>
      <c r="C4" s="50"/>
      <c r="D4" s="50"/>
      <c r="E4" s="50"/>
      <c r="F4" s="50"/>
      <c r="G4" s="50"/>
      <c r="H4" s="50"/>
      <c r="I4" s="50"/>
      <c r="J4" s="50"/>
      <c r="K4" s="50"/>
      <c r="M4" s="216" t="s">
        <v>96</v>
      </c>
      <c r="N4" s="99"/>
      <c r="O4" s="215" t="s">
        <v>2365</v>
      </c>
      <c r="P4" s="98" t="s">
        <v>2365</v>
      </c>
    </row>
    <row r="5" spans="1:19" s="52" customFormat="1" ht="3" customHeight="1">
      <c r="A5" s="50"/>
      <c r="B5" s="50"/>
      <c r="C5" s="50"/>
      <c r="D5" s="50"/>
      <c r="E5" s="50"/>
      <c r="F5" s="50"/>
      <c r="G5" s="50"/>
      <c r="H5" s="50"/>
      <c r="I5" s="50"/>
      <c r="J5" s="50"/>
      <c r="K5" s="50"/>
      <c r="M5" s="107"/>
      <c r="N5" s="11"/>
      <c r="O5" s="608"/>
      <c r="P5" s="34"/>
    </row>
    <row r="6" spans="1:19" s="52" customFormat="1" ht="12.75" customHeight="1">
      <c r="A6" s="50"/>
      <c r="B6" s="58"/>
      <c r="C6" s="50"/>
      <c r="D6" s="50"/>
      <c r="E6" s="50"/>
      <c r="F6" s="50"/>
      <c r="G6" s="50"/>
      <c r="I6" s="50"/>
      <c r="J6" s="50"/>
      <c r="L6" s="82" t="s">
        <v>1303</v>
      </c>
      <c r="M6" s="328">
        <f>M352</f>
        <v>87</v>
      </c>
      <c r="N6" s="10"/>
      <c r="O6" s="76">
        <f>O352</f>
        <v>49</v>
      </c>
      <c r="P6" s="76">
        <f>P352</f>
        <v>13</v>
      </c>
    </row>
    <row r="7" spans="1:19" s="52" customFormat="1" ht="3" customHeight="1">
      <c r="A7" s="50"/>
      <c r="B7" s="58"/>
      <c r="C7" s="50"/>
      <c r="D7" s="50"/>
      <c r="E7" s="50"/>
      <c r="F7" s="50"/>
      <c r="G7" s="50"/>
      <c r="H7" s="50"/>
      <c r="I7" s="50"/>
      <c r="J7" s="50"/>
      <c r="K7" s="50"/>
      <c r="M7" s="107"/>
      <c r="N7" s="11"/>
      <c r="O7" s="608"/>
      <c r="P7" s="34"/>
    </row>
    <row r="8" spans="1:19" s="50" customFormat="1" ht="12.6" customHeight="1">
      <c r="A8" s="182" t="s">
        <v>2123</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8"/>
      <c r="R9" s="50"/>
      <c r="S9" s="50"/>
    </row>
    <row r="10" spans="1:19" s="50" customFormat="1" ht="11.25" customHeight="1">
      <c r="A10" s="222" t="s">
        <v>2119</v>
      </c>
      <c r="B10" s="205" t="s">
        <v>1999</v>
      </c>
      <c r="D10" s="56"/>
      <c r="E10" s="56"/>
      <c r="F10" s="1167" t="s">
        <v>2767</v>
      </c>
      <c r="G10" s="38">
        <f>F16</f>
        <v>0</v>
      </c>
      <c r="H10" s="213" t="s">
        <v>3527</v>
      </c>
      <c r="M10" s="7"/>
      <c r="N10" s="77" t="s">
        <v>2119</v>
      </c>
      <c r="O10" s="2311"/>
      <c r="P10" s="778"/>
    </row>
    <row r="11" spans="1:19" s="51" customFormat="1" ht="11.25" customHeight="1">
      <c r="A11" s="222"/>
      <c r="B11" s="127" t="s">
        <v>2252</v>
      </c>
      <c r="D11" s="56"/>
      <c r="E11" s="56"/>
      <c r="F11" s="1167" t="s">
        <v>2767</v>
      </c>
      <c r="G11" s="38">
        <f>P16</f>
        <v>0</v>
      </c>
      <c r="H11" s="213" t="s">
        <v>3158</v>
      </c>
      <c r="J11" s="57"/>
      <c r="M11" s="7">
        <v>1</v>
      </c>
      <c r="N11" s="77"/>
      <c r="O11" s="2312"/>
      <c r="P11" s="779"/>
    </row>
    <row r="12" spans="1:19" s="50" customFormat="1" ht="11.25" customHeight="1">
      <c r="A12" s="222" t="s">
        <v>2122</v>
      </c>
      <c r="B12" s="205" t="s">
        <v>776</v>
      </c>
      <c r="D12" s="56"/>
      <c r="E12" s="56"/>
      <c r="F12" s="1167" t="s">
        <v>2767</v>
      </c>
      <c r="G12" s="38">
        <f>K16</f>
        <v>0</v>
      </c>
      <c r="H12" s="213" t="s">
        <v>2989</v>
      </c>
      <c r="J12" s="57"/>
      <c r="M12" s="7"/>
      <c r="N12" s="77" t="s">
        <v>2122</v>
      </c>
      <c r="O12" s="2313"/>
      <c r="P12" s="780"/>
      <c r="Q12" s="126"/>
    </row>
    <row r="13" spans="1:19" s="50" customFormat="1" ht="11.25" customHeight="1">
      <c r="A13" s="57" t="s">
        <v>269</v>
      </c>
      <c r="D13" s="56"/>
      <c r="E13" s="56"/>
      <c r="F13" s="56"/>
      <c r="G13" s="56"/>
      <c r="H13" s="44"/>
      <c r="I13" s="44"/>
      <c r="J13" s="44"/>
      <c r="K13" s="44"/>
      <c r="L13" s="51"/>
      <c r="M13" s="54"/>
      <c r="N13" s="73"/>
      <c r="O13" s="4"/>
      <c r="P13" s="1161"/>
    </row>
    <row r="14" spans="1:19" s="50" customFormat="1" ht="12.6" customHeight="1">
      <c r="A14" s="2209"/>
      <c r="B14" s="2210"/>
      <c r="C14" s="2210"/>
      <c r="D14" s="2210"/>
      <c r="E14" s="2210"/>
      <c r="F14" s="2210"/>
      <c r="G14" s="2210"/>
      <c r="H14" s="2210"/>
      <c r="I14" s="2210"/>
      <c r="J14" s="2210"/>
      <c r="K14" s="2210"/>
      <c r="L14" s="2210"/>
      <c r="M14" s="2210"/>
      <c r="N14" s="2210"/>
      <c r="O14" s="2210"/>
      <c r="P14" s="2211"/>
      <c r="Q14" s="561" t="s">
        <v>1332</v>
      </c>
      <c r="R14" s="562"/>
    </row>
    <row r="15" spans="1:19" s="50" customFormat="1" ht="10.9" customHeight="1">
      <c r="A15" s="79" t="s">
        <v>1997</v>
      </c>
      <c r="C15" s="111"/>
      <c r="D15" s="111"/>
      <c r="F15" s="1175" t="s">
        <v>1835</v>
      </c>
      <c r="K15" s="1175" t="s">
        <v>1835</v>
      </c>
      <c r="P15" s="592" t="s">
        <v>1835</v>
      </c>
      <c r="R15" s="563"/>
      <c r="S15" s="188"/>
    </row>
    <row r="16" spans="1:19" s="50" customFormat="1" ht="12" customHeight="1">
      <c r="A16" s="1529" t="s">
        <v>2565</v>
      </c>
      <c r="B16" s="1529"/>
      <c r="C16" s="1529"/>
      <c r="D16" s="1529"/>
      <c r="E16" s="78" t="s">
        <v>541</v>
      </c>
      <c r="F16" s="89">
        <f>SUM(F17:F28)</f>
        <v>0</v>
      </c>
      <c r="G16" s="1530" t="s">
        <v>2566</v>
      </c>
      <c r="H16" s="1529"/>
      <c r="I16" s="1529"/>
      <c r="J16" s="78" t="s">
        <v>541</v>
      </c>
      <c r="K16" s="89">
        <f>SUM(K17:K28)</f>
        <v>0</v>
      </c>
      <c r="L16" s="1173" t="s">
        <v>3157</v>
      </c>
      <c r="M16" s="111"/>
      <c r="N16" s="110"/>
      <c r="O16" s="78"/>
      <c r="P16" s="89">
        <f>SUM(P17:P28)</f>
        <v>0</v>
      </c>
      <c r="R16" s="563"/>
      <c r="S16" s="188"/>
    </row>
    <row r="17" spans="1:19" s="50" customFormat="1" ht="23.25" customHeight="1">
      <c r="A17" s="1526">
        <v>1</v>
      </c>
      <c r="B17" s="1527"/>
      <c r="C17" s="1527"/>
      <c r="D17" s="1527"/>
      <c r="E17" s="1528"/>
      <c r="F17" s="781"/>
      <c r="G17" s="1524">
        <v>1</v>
      </c>
      <c r="H17" s="1525"/>
      <c r="I17" s="1525"/>
      <c r="J17" s="1525"/>
      <c r="K17" s="2314" t="s">
        <v>1855</v>
      </c>
      <c r="L17" s="1524">
        <v>1</v>
      </c>
      <c r="M17" s="1525"/>
      <c r="N17" s="1525"/>
      <c r="O17" s="1525"/>
      <c r="P17" s="781"/>
      <c r="Q17" s="561" t="s">
        <v>1332</v>
      </c>
      <c r="R17" s="562"/>
      <c r="S17" s="188"/>
    </row>
    <row r="18" spans="1:19" s="50" customFormat="1" ht="23.25" customHeight="1">
      <c r="A18" s="1521">
        <v>2</v>
      </c>
      <c r="B18" s="1522"/>
      <c r="C18" s="1522"/>
      <c r="D18" s="1522"/>
      <c r="E18" s="1523"/>
      <c r="F18" s="782"/>
      <c r="G18" s="1519">
        <v>2</v>
      </c>
      <c r="H18" s="1520"/>
      <c r="I18" s="1520"/>
      <c r="J18" s="1520"/>
      <c r="K18" s="782"/>
      <c r="L18" s="1519">
        <v>2</v>
      </c>
      <c r="M18" s="1520"/>
      <c r="N18" s="1520"/>
      <c r="O18" s="1520"/>
      <c r="P18" s="782"/>
      <c r="Q18" s="561"/>
      <c r="R18" s="562"/>
      <c r="S18" s="188"/>
    </row>
    <row r="19" spans="1:19" s="50" customFormat="1" ht="23.25" customHeight="1">
      <c r="A19" s="1521">
        <v>3</v>
      </c>
      <c r="B19" s="1522"/>
      <c r="C19" s="1522"/>
      <c r="D19" s="1522"/>
      <c r="E19" s="1523"/>
      <c r="F19" s="782"/>
      <c r="G19" s="1519">
        <v>3</v>
      </c>
      <c r="H19" s="1520"/>
      <c r="I19" s="1520"/>
      <c r="J19" s="1520"/>
      <c r="K19" s="2315" t="s">
        <v>3598</v>
      </c>
      <c r="L19" s="1519">
        <v>3</v>
      </c>
      <c r="M19" s="1520"/>
      <c r="N19" s="1520"/>
      <c r="O19" s="1520"/>
      <c r="P19" s="782"/>
      <c r="Q19" s="561"/>
      <c r="R19" s="562"/>
      <c r="S19" s="188"/>
    </row>
    <row r="20" spans="1:19" s="50" customFormat="1" ht="23.25" customHeight="1">
      <c r="A20" s="1521">
        <v>4</v>
      </c>
      <c r="B20" s="1522"/>
      <c r="C20" s="1522"/>
      <c r="D20" s="1522"/>
      <c r="E20" s="1523"/>
      <c r="F20" s="782"/>
      <c r="G20" s="1519">
        <v>4</v>
      </c>
      <c r="H20" s="1520"/>
      <c r="I20" s="1520"/>
      <c r="J20" s="1520"/>
      <c r="K20" s="2315" t="s">
        <v>3598</v>
      </c>
      <c r="L20" s="1519">
        <v>4</v>
      </c>
      <c r="M20" s="1520"/>
      <c r="N20" s="1520"/>
      <c r="O20" s="1520"/>
      <c r="P20" s="782"/>
      <c r="Q20" s="561"/>
      <c r="R20" s="562"/>
      <c r="S20" s="188"/>
    </row>
    <row r="21" spans="1:19" s="50" customFormat="1" ht="23.25" customHeight="1">
      <c r="A21" s="1521">
        <v>5</v>
      </c>
      <c r="B21" s="1522"/>
      <c r="C21" s="1522"/>
      <c r="D21" s="1522"/>
      <c r="E21" s="1523"/>
      <c r="F21" s="782"/>
      <c r="G21" s="1519">
        <v>5</v>
      </c>
      <c r="H21" s="1520"/>
      <c r="I21" s="1520"/>
      <c r="J21" s="1520"/>
      <c r="K21" s="782"/>
      <c r="L21" s="1519">
        <v>5</v>
      </c>
      <c r="M21" s="1520"/>
      <c r="N21" s="1520"/>
      <c r="O21" s="1520"/>
      <c r="P21" s="782"/>
      <c r="R21" s="188"/>
      <c r="S21" s="188"/>
    </row>
    <row r="22" spans="1:19" s="50" customFormat="1" ht="23.25" customHeight="1">
      <c r="A22" s="1521">
        <v>6</v>
      </c>
      <c r="B22" s="1522"/>
      <c r="C22" s="1522"/>
      <c r="D22" s="1522"/>
      <c r="E22" s="1523"/>
      <c r="F22" s="782"/>
      <c r="G22" s="1519">
        <v>6</v>
      </c>
      <c r="H22" s="1520"/>
      <c r="I22" s="1520"/>
      <c r="J22" s="1520"/>
      <c r="K22" s="782"/>
      <c r="L22" s="1519">
        <v>6</v>
      </c>
      <c r="M22" s="1520"/>
      <c r="N22" s="1520"/>
      <c r="O22" s="1520"/>
      <c r="P22" s="782"/>
      <c r="R22" s="188"/>
      <c r="S22" s="188"/>
    </row>
    <row r="23" spans="1:19" s="50" customFormat="1" ht="23.25" customHeight="1">
      <c r="A23" s="1521">
        <v>7</v>
      </c>
      <c r="B23" s="1522"/>
      <c r="C23" s="1522"/>
      <c r="D23" s="1522"/>
      <c r="E23" s="1523"/>
      <c r="F23" s="782"/>
      <c r="G23" s="1519">
        <v>7</v>
      </c>
      <c r="H23" s="1520"/>
      <c r="I23" s="1520"/>
      <c r="J23" s="1520"/>
      <c r="K23" s="782"/>
      <c r="L23" s="1519">
        <v>7</v>
      </c>
      <c r="M23" s="1520"/>
      <c r="N23" s="1520"/>
      <c r="O23" s="1520"/>
      <c r="P23" s="782"/>
      <c r="R23" s="188"/>
      <c r="S23" s="188"/>
    </row>
    <row r="24" spans="1:19" s="50" customFormat="1" ht="23.25" customHeight="1">
      <c r="A24" s="1521">
        <v>8</v>
      </c>
      <c r="B24" s="1522"/>
      <c r="C24" s="1522"/>
      <c r="D24" s="1522"/>
      <c r="E24" s="1523"/>
      <c r="F24" s="782"/>
      <c r="G24" s="1519">
        <v>8</v>
      </c>
      <c r="H24" s="1520"/>
      <c r="I24" s="1520"/>
      <c r="J24" s="1520"/>
      <c r="K24" s="782"/>
      <c r="L24" s="1519">
        <v>8</v>
      </c>
      <c r="M24" s="1520"/>
      <c r="N24" s="1520"/>
      <c r="O24" s="1520"/>
      <c r="P24" s="782"/>
      <c r="R24" s="188"/>
      <c r="S24" s="188"/>
    </row>
    <row r="25" spans="1:19" s="50" customFormat="1" ht="23.25" customHeight="1">
      <c r="A25" s="1521">
        <v>9</v>
      </c>
      <c r="B25" s="1522"/>
      <c r="C25" s="1522"/>
      <c r="D25" s="1522"/>
      <c r="E25" s="1523"/>
      <c r="F25" s="782"/>
      <c r="G25" s="1519">
        <v>9</v>
      </c>
      <c r="H25" s="1520"/>
      <c r="I25" s="1520"/>
      <c r="J25" s="1520"/>
      <c r="K25" s="782"/>
      <c r="L25" s="1519">
        <v>9</v>
      </c>
      <c r="M25" s="1520"/>
      <c r="N25" s="1520"/>
      <c r="O25" s="1520"/>
      <c r="P25" s="782"/>
      <c r="R25" s="188"/>
      <c r="S25" s="188"/>
    </row>
    <row r="26" spans="1:19" s="50" customFormat="1" ht="23.25" customHeight="1">
      <c r="A26" s="1521">
        <v>10</v>
      </c>
      <c r="B26" s="1522"/>
      <c r="C26" s="1522"/>
      <c r="D26" s="1522"/>
      <c r="E26" s="1523"/>
      <c r="F26" s="782"/>
      <c r="G26" s="1519">
        <v>10</v>
      </c>
      <c r="H26" s="1520"/>
      <c r="I26" s="1520"/>
      <c r="J26" s="1520"/>
      <c r="K26" s="782"/>
      <c r="L26" s="1519">
        <v>10</v>
      </c>
      <c r="M26" s="1520"/>
      <c r="N26" s="1520"/>
      <c r="O26" s="1520"/>
      <c r="P26" s="782"/>
      <c r="R26" s="188"/>
      <c r="S26" s="188"/>
    </row>
    <row r="27" spans="1:19" s="50" customFormat="1" ht="23.25" customHeight="1">
      <c r="A27" s="1521">
        <v>11</v>
      </c>
      <c r="B27" s="1522"/>
      <c r="C27" s="1522"/>
      <c r="D27" s="1522"/>
      <c r="E27" s="1523"/>
      <c r="F27" s="782"/>
      <c r="G27" s="1519">
        <v>11</v>
      </c>
      <c r="H27" s="1520"/>
      <c r="I27" s="1520"/>
      <c r="J27" s="1520"/>
      <c r="K27" s="782"/>
      <c r="L27" s="1519">
        <v>11</v>
      </c>
      <c r="M27" s="1520"/>
      <c r="N27" s="1520"/>
      <c r="O27" s="1520"/>
      <c r="P27" s="782"/>
      <c r="R27" s="188"/>
      <c r="S27" s="188"/>
    </row>
    <row r="28" spans="1:19" s="50" customFormat="1" ht="23.25" customHeight="1">
      <c r="A28" s="1535">
        <v>12</v>
      </c>
      <c r="B28" s="1536"/>
      <c r="C28" s="1536"/>
      <c r="D28" s="1536"/>
      <c r="E28" s="1537"/>
      <c r="F28" s="783"/>
      <c r="G28" s="1531">
        <v>12</v>
      </c>
      <c r="H28" s="1532"/>
      <c r="I28" s="1532"/>
      <c r="J28" s="1532"/>
      <c r="K28" s="783"/>
      <c r="L28" s="1531">
        <v>12</v>
      </c>
      <c r="M28" s="1532"/>
      <c r="N28" s="1532"/>
      <c r="O28" s="1532"/>
      <c r="P28" s="783"/>
    </row>
    <row r="29" spans="1:19" s="51" customFormat="1" ht="4.9000000000000004" customHeight="1">
      <c r="D29" s="47"/>
      <c r="E29" s="44"/>
      <c r="F29" s="608"/>
      <c r="G29" s="608"/>
      <c r="H29" s="608"/>
      <c r="I29" s="608"/>
      <c r="J29" s="38"/>
      <c r="K29" s="38"/>
      <c r="L29" s="38"/>
      <c r="M29" s="71"/>
      <c r="N29" s="608"/>
      <c r="O29" s="1161"/>
      <c r="P29" s="4"/>
    </row>
    <row r="30" spans="1:19" s="51" customFormat="1" ht="12.6" customHeight="1">
      <c r="A30" s="553" t="s">
        <v>2125</v>
      </c>
      <c r="B30" s="130" t="s">
        <v>1077</v>
      </c>
      <c r="E30" s="68"/>
      <c r="G30" s="102"/>
      <c r="H30" s="62"/>
      <c r="J30" s="528"/>
      <c r="K30" s="1533" t="s">
        <v>2890</v>
      </c>
      <c r="L30" s="1533"/>
      <c r="M30" s="608">
        <v>3</v>
      </c>
      <c r="N30" s="8"/>
      <c r="O30" s="179">
        <f>IF($K32 &gt;= $P32,$M32,IF($K31&gt;=$P31,$M31,0))</f>
        <v>3</v>
      </c>
      <c r="P30" s="179">
        <f>IF($L32 &gt;= $P32,$M32,IF($L31&gt;=$P31,$M31,0))</f>
        <v>0</v>
      </c>
      <c r="Q30" s="126" t="s">
        <v>463</v>
      </c>
      <c r="R30" s="457" t="str">
        <f>IF(OR($O30=$M30,$O30=0,$O30=""),"","* * Check Score! * *")</f>
        <v/>
      </c>
    </row>
    <row r="31" spans="1:19" s="528" customFormat="1" ht="11.25" customHeight="1">
      <c r="A31" s="527" t="s">
        <v>2119</v>
      </c>
      <c r="B31" s="133" t="s">
        <v>2810</v>
      </c>
      <c r="E31" s="529"/>
      <c r="H31" s="507" t="s">
        <v>2888</v>
      </c>
      <c r="I31" s="2316">
        <v>15</v>
      </c>
      <c r="J31" s="784"/>
      <c r="K31" s="723">
        <f>IF(OR('Part VI-Revenues &amp; Expenses'!$M$60="", 'Part VI-Revenues &amp; Expenses'!$M$60=0),0,I31/'Part VI-Revenues &amp; Expenses'!$M$60)</f>
        <v>0.21739130434782608</v>
      </c>
      <c r="L31" s="723">
        <f>IF(OR('Part VI-Revenues &amp; Expenses'!$M$60="", 'Part VI-Revenues &amp; Expenses'!$M$60=0),0,J31/'Part VI-Revenues &amp; Expenses'!$M$60)</f>
        <v>0</v>
      </c>
      <c r="M31" s="534">
        <v>3</v>
      </c>
      <c r="N31" s="530"/>
      <c r="O31" s="1542" t="s">
        <v>2912</v>
      </c>
      <c r="P31" s="560">
        <v>0.15</v>
      </c>
    </row>
    <row r="32" spans="1:19" s="528" customFormat="1" ht="11.25" customHeight="1">
      <c r="A32" s="527" t="s">
        <v>2122</v>
      </c>
      <c r="B32" s="133" t="s">
        <v>2811</v>
      </c>
      <c r="E32" s="529"/>
      <c r="H32" s="507" t="s">
        <v>2812</v>
      </c>
      <c r="I32" s="2317">
        <v>15</v>
      </c>
      <c r="J32" s="785"/>
      <c r="K32" s="724">
        <f>IF(OR('Part VI-Revenues &amp; Expenses'!$M$60="", 'Part VI-Revenues &amp; Expenses'!$M$60=0),0,I32/'Part VI-Revenues &amp; Expenses'!$M$60)</f>
        <v>0.21739130434782608</v>
      </c>
      <c r="L32" s="724">
        <f>IF(OR('Part VI-Revenues &amp; Expenses'!$M$60="", 'Part VI-Revenues &amp; Expenses'!$M$60=0),0,J32/'Part VI-Revenues &amp; Expenses'!$M$60)</f>
        <v>0</v>
      </c>
      <c r="M32" s="534">
        <v>3</v>
      </c>
      <c r="N32" s="530"/>
      <c r="O32" s="1543"/>
      <c r="P32" s="560">
        <v>0.15</v>
      </c>
    </row>
    <row r="33" spans="1:18" s="51" customFormat="1" ht="11.25" customHeight="1">
      <c r="A33" s="50"/>
      <c r="B33" s="57" t="s">
        <v>269</v>
      </c>
      <c r="C33" s="50"/>
      <c r="D33" s="56"/>
      <c r="E33" s="56"/>
      <c r="F33" s="56"/>
      <c r="G33" s="56"/>
      <c r="H33" s="44"/>
      <c r="I33" s="44"/>
      <c r="J33" s="44"/>
      <c r="K33" s="44"/>
      <c r="M33" s="54"/>
      <c r="N33" s="73"/>
      <c r="O33" s="4"/>
      <c r="P33" s="1161"/>
    </row>
    <row r="34" spans="1:18" s="51" customFormat="1" ht="12.6" customHeight="1">
      <c r="A34" s="2209"/>
      <c r="B34" s="2210"/>
      <c r="C34" s="2210"/>
      <c r="D34" s="2210"/>
      <c r="E34" s="2210"/>
      <c r="F34" s="2210"/>
      <c r="G34" s="2210"/>
      <c r="H34" s="2210"/>
      <c r="I34" s="2210"/>
      <c r="J34" s="2210"/>
      <c r="K34" s="2210"/>
      <c r="L34" s="2210"/>
      <c r="M34" s="2210"/>
      <c r="N34" s="2210"/>
      <c r="O34" s="2210"/>
      <c r="P34" s="2211"/>
      <c r="Q34" s="561" t="s">
        <v>1332</v>
      </c>
    </row>
    <row r="35" spans="1:18" s="51" customFormat="1" ht="11.45" customHeight="1">
      <c r="A35" s="50"/>
      <c r="B35" s="114" t="s">
        <v>1997</v>
      </c>
      <c r="C35" s="50"/>
      <c r="D35" s="100"/>
      <c r="E35" s="1162"/>
      <c r="F35" s="1162"/>
      <c r="G35" s="1162"/>
      <c r="H35" s="1162"/>
      <c r="I35" s="1162"/>
      <c r="J35" s="1162"/>
      <c r="K35" s="1162"/>
      <c r="L35" s="1162"/>
      <c r="M35" s="1162"/>
      <c r="N35" s="87"/>
      <c r="O35" s="83"/>
      <c r="P35" s="2"/>
      <c r="Q35" s="528"/>
    </row>
    <row r="36" spans="1:18" s="51" customFormat="1" ht="12.6" customHeight="1">
      <c r="A36" s="1416"/>
      <c r="B36" s="1417"/>
      <c r="C36" s="1417"/>
      <c r="D36" s="1417"/>
      <c r="E36" s="1417"/>
      <c r="F36" s="1417"/>
      <c r="G36" s="1417"/>
      <c r="H36" s="1417"/>
      <c r="I36" s="1417"/>
      <c r="J36" s="1417"/>
      <c r="K36" s="1417"/>
      <c r="L36" s="1417"/>
      <c r="M36" s="1417"/>
      <c r="N36" s="1417"/>
      <c r="O36" s="1417"/>
      <c r="P36" s="1418"/>
      <c r="Q36" s="561" t="s">
        <v>1332</v>
      </c>
    </row>
    <row r="37" spans="1:18" ht="3" customHeight="1"/>
    <row r="38" spans="1:18" s="51" customFormat="1" ht="12.6" customHeight="1">
      <c r="A38" s="182" t="s">
        <v>2709</v>
      </c>
      <c r="B38" s="122" t="s">
        <v>2005</v>
      </c>
      <c r="D38" s="49"/>
      <c r="H38" s="1477" t="s">
        <v>636</v>
      </c>
      <c r="I38" s="1477"/>
      <c r="J38" s="1477"/>
      <c r="K38" s="1477"/>
      <c r="M38" s="2">
        <v>12</v>
      </c>
      <c r="N38" s="592"/>
      <c r="O38" s="179">
        <f>IF(OR($M40-$O41&lt;0,$O40-$O41&lt;0),0,IF($O40&lt;=$M40,$O40-$O41,IF($O40&gt;$M40,$M40-$O41,0)))</f>
        <v>12</v>
      </c>
      <c r="P38" s="179">
        <f>IF(OR($M40-$P41&lt;0,$P40-$P41&lt;0),0,IF($P40&lt;=$M40,$P40-$P41,IF($P40&gt;$M40,$M40-$P41,0)))</f>
        <v>0</v>
      </c>
      <c r="Q38" s="126" t="s">
        <v>463</v>
      </c>
    </row>
    <row r="39" spans="1:18" s="51" customFormat="1" ht="3" customHeight="1">
      <c r="A39" s="50"/>
      <c r="D39" s="47"/>
      <c r="E39" s="44"/>
      <c r="F39" s="608"/>
      <c r="G39" s="608"/>
      <c r="H39" s="1477"/>
      <c r="I39" s="1477"/>
      <c r="J39" s="1477"/>
      <c r="K39" s="1477"/>
      <c r="L39" s="38"/>
      <c r="M39" s="71"/>
      <c r="N39" s="608"/>
      <c r="O39" s="1161"/>
      <c r="P39" s="4"/>
    </row>
    <row r="40" spans="1:18" s="51" customFormat="1" ht="12" customHeight="1">
      <c r="A40" s="165" t="s">
        <v>2119</v>
      </c>
      <c r="B40" s="205" t="s">
        <v>2006</v>
      </c>
      <c r="C40" s="5"/>
      <c r="D40" s="5"/>
      <c r="E40" s="213" t="s">
        <v>2969</v>
      </c>
      <c r="F40" s="365"/>
      <c r="G40" s="365"/>
      <c r="H40" s="1477"/>
      <c r="I40" s="1477"/>
      <c r="J40" s="1477"/>
      <c r="K40" s="1477"/>
      <c r="M40" s="85">
        <v>12</v>
      </c>
      <c r="N40" s="217" t="s">
        <v>2119</v>
      </c>
      <c r="O40" s="2318">
        <v>12</v>
      </c>
      <c r="P40" s="786"/>
      <c r="Q40" s="473" t="s">
        <v>2948</v>
      </c>
      <c r="R40" s="457"/>
    </row>
    <row r="41" spans="1:18" s="51" customFormat="1" ht="12.6" customHeight="1">
      <c r="A41" s="165" t="s">
        <v>2122</v>
      </c>
      <c r="B41" s="205" t="s">
        <v>2007</v>
      </c>
      <c r="D41" s="49"/>
      <c r="E41" s="213" t="s">
        <v>447</v>
      </c>
      <c r="F41" s="477"/>
      <c r="G41" s="477"/>
      <c r="H41" s="477"/>
      <c r="M41" s="1175" t="s">
        <v>1316</v>
      </c>
      <c r="N41" s="592" t="s">
        <v>2122</v>
      </c>
      <c r="O41" s="2313"/>
      <c r="P41" s="787"/>
      <c r="Q41" s="473" t="s">
        <v>2948</v>
      </c>
      <c r="R41" s="457"/>
    </row>
    <row r="42" spans="1:18" s="51" customFormat="1" ht="11.25" customHeight="1">
      <c r="A42" s="50"/>
      <c r="B42" s="57" t="s">
        <v>269</v>
      </c>
      <c r="C42" s="50"/>
      <c r="D42" s="56"/>
      <c r="E42" s="56"/>
      <c r="F42" s="56"/>
      <c r="G42" s="56"/>
      <c r="H42" s="44"/>
      <c r="I42" s="44"/>
      <c r="J42" s="44"/>
      <c r="K42" s="44"/>
      <c r="M42" s="54"/>
      <c r="N42" s="73"/>
      <c r="O42" s="4"/>
      <c r="P42" s="1161"/>
    </row>
    <row r="43" spans="1:18" s="51" customFormat="1" ht="205.5" customHeight="1">
      <c r="A43" s="2209" t="s">
        <v>3829</v>
      </c>
      <c r="B43" s="2210"/>
      <c r="C43" s="2210"/>
      <c r="D43" s="2210"/>
      <c r="E43" s="2210"/>
      <c r="F43" s="2210"/>
      <c r="G43" s="2210"/>
      <c r="H43" s="2210"/>
      <c r="I43" s="2210"/>
      <c r="J43" s="2210"/>
      <c r="K43" s="2210"/>
      <c r="L43" s="2210"/>
      <c r="M43" s="2210"/>
      <c r="N43" s="2210"/>
      <c r="O43" s="2210"/>
      <c r="P43" s="2211"/>
      <c r="Q43" s="561" t="s">
        <v>1332</v>
      </c>
      <c r="R43" s="562"/>
    </row>
    <row r="44" spans="1:18" s="51" customFormat="1" ht="11.45" customHeight="1">
      <c r="A44" s="50"/>
      <c r="B44" s="79" t="s">
        <v>1997</v>
      </c>
      <c r="C44" s="50"/>
      <c r="D44" s="163"/>
      <c r="E44" s="1162"/>
      <c r="F44" s="1162"/>
      <c r="G44" s="1162"/>
      <c r="H44" s="1162"/>
      <c r="I44" s="1162"/>
      <c r="J44" s="1162"/>
      <c r="K44" s="1162"/>
      <c r="L44" s="1162"/>
      <c r="M44" s="1162"/>
      <c r="N44" s="87"/>
      <c r="O44" s="83"/>
      <c r="P44" s="2"/>
      <c r="Q44" s="528"/>
      <c r="R44" s="528"/>
    </row>
    <row r="45" spans="1:18" s="51" customFormat="1" ht="23.45" customHeight="1">
      <c r="A45" s="1416"/>
      <c r="B45" s="1417"/>
      <c r="C45" s="1417"/>
      <c r="D45" s="1417"/>
      <c r="E45" s="1417"/>
      <c r="F45" s="1417"/>
      <c r="G45" s="1417"/>
      <c r="H45" s="1417"/>
      <c r="I45" s="1417"/>
      <c r="J45" s="1417"/>
      <c r="K45" s="1417"/>
      <c r="L45" s="1417"/>
      <c r="M45" s="1417"/>
      <c r="N45" s="1417"/>
      <c r="O45" s="1417"/>
      <c r="P45" s="1418"/>
      <c r="Q45" s="561" t="s">
        <v>1332</v>
      </c>
      <c r="R45" s="562"/>
    </row>
    <row r="46" spans="1:18" ht="3.6" customHeight="1">
      <c r="M46" s="40"/>
      <c r="N46" s="134"/>
      <c r="O46" s="180"/>
      <c r="P46" s="180"/>
    </row>
    <row r="47" spans="1:18" s="51" customFormat="1" ht="12.6" customHeight="1">
      <c r="A47" s="182" t="s">
        <v>1301</v>
      </c>
      <c r="B47" s="122" t="s">
        <v>2827</v>
      </c>
      <c r="D47" s="49"/>
      <c r="H47" s="53" t="s">
        <v>2891</v>
      </c>
      <c r="I47" s="57" t="s">
        <v>2013</v>
      </c>
      <c r="J47" s="56"/>
      <c r="K47" s="56"/>
      <c r="M47" s="2">
        <v>4</v>
      </c>
      <c r="N47" s="592"/>
      <c r="O47" s="179">
        <f>IF(J48="Flexible",MIN($M47,(O49+O50+O51+O52)),IF(AND(J48="Rural",O55&gt;0),MIN($M55,O55),0))</f>
        <v>2</v>
      </c>
      <c r="P47" s="179">
        <f>IF(K48="Flexible",MIN($M47,(P49+P50+P51+P52)),IF(AND(K48="Rural",P55&gt;0),MIN($M55,P55),0))</f>
        <v>0</v>
      </c>
      <c r="Q47" s="126" t="s">
        <v>463</v>
      </c>
    </row>
    <row r="48" spans="1:18" s="51" customFormat="1" ht="12.6" customHeight="1">
      <c r="A48" s="670" t="s">
        <v>3239</v>
      </c>
      <c r="B48" s="122"/>
      <c r="D48" s="49"/>
      <c r="H48" s="205" t="s">
        <v>3249</v>
      </c>
      <c r="I48" s="671"/>
      <c r="J48" s="669" t="str">
        <f>'Part I-Project Information'!$H$85</f>
        <v>Flexible</v>
      </c>
      <c r="L48" s="31"/>
      <c r="M48" s="2"/>
      <c r="N48" s="2"/>
      <c r="O48" s="2"/>
      <c r="P48" s="2"/>
      <c r="Q48" s="126"/>
    </row>
    <row r="49" spans="1:19" s="504" customFormat="1" ht="23.25" customHeight="1">
      <c r="A49" s="170" t="s">
        <v>2119</v>
      </c>
      <c r="B49" s="1534" t="s">
        <v>3528</v>
      </c>
      <c r="C49" s="1534"/>
      <c r="D49" s="1534"/>
      <c r="E49" s="1534"/>
      <c r="F49" s="1534"/>
      <c r="G49" s="1534"/>
      <c r="H49" s="1534"/>
      <c r="I49" s="1534"/>
      <c r="J49" s="1534"/>
      <c r="K49" s="1534"/>
      <c r="L49" s="1534"/>
      <c r="M49" s="666">
        <v>4</v>
      </c>
      <c r="N49" s="474" t="s">
        <v>2119</v>
      </c>
      <c r="O49" s="2319"/>
      <c r="P49" s="1171"/>
      <c r="Q49" s="667" t="str">
        <f>IF(OR($O49=$M49,$O49=0,$O49=""),"","* * Check Score! * *")</f>
        <v/>
      </c>
      <c r="S49" s="473" t="s">
        <v>2948</v>
      </c>
    </row>
    <row r="50" spans="1:19" s="504" customFormat="1" ht="12" customHeight="1">
      <c r="A50" s="170" t="s">
        <v>2122</v>
      </c>
      <c r="B50" s="1534" t="s">
        <v>3543</v>
      </c>
      <c r="C50" s="1534"/>
      <c r="D50" s="1534"/>
      <c r="E50" s="1534"/>
      <c r="F50" s="1534"/>
      <c r="G50" s="1534"/>
      <c r="H50" s="1534"/>
      <c r="I50" s="1534"/>
      <c r="J50" s="1534"/>
      <c r="K50" s="1534"/>
      <c r="L50" s="1534"/>
      <c r="M50" s="666">
        <v>3</v>
      </c>
      <c r="N50" s="192" t="s">
        <v>2122</v>
      </c>
      <c r="O50" s="2320"/>
      <c r="P50" s="788"/>
      <c r="Q50" s="667" t="str">
        <f>IF(OR($O50=$M50,$O50=0,$O50=""),"","* * Check Score! * *")</f>
        <v/>
      </c>
      <c r="S50" s="473" t="s">
        <v>2948</v>
      </c>
    </row>
    <row r="51" spans="1:19" s="51" customFormat="1" ht="12.6" customHeight="1">
      <c r="A51" s="165" t="s">
        <v>799</v>
      </c>
      <c r="B51" s="205" t="s">
        <v>3397</v>
      </c>
      <c r="E51" s="49"/>
      <c r="K51" s="56"/>
      <c r="M51" s="85">
        <v>2</v>
      </c>
      <c r="N51" s="217" t="s">
        <v>799</v>
      </c>
      <c r="O51" s="2321">
        <v>2</v>
      </c>
      <c r="P51" s="789"/>
      <c r="Q51" s="457" t="str">
        <f>IF(OR($O51=$M51,$O51=0,$O51=""),"","* * Check Score! * *")</f>
        <v/>
      </c>
      <c r="S51" s="473" t="s">
        <v>2948</v>
      </c>
    </row>
    <row r="52" spans="1:19" s="51" customFormat="1" ht="12.6" customHeight="1">
      <c r="A52" s="165" t="s">
        <v>2254</v>
      </c>
      <c r="B52" s="205" t="s">
        <v>3398</v>
      </c>
      <c r="E52" s="49"/>
      <c r="K52" s="56"/>
      <c r="M52" s="85">
        <v>1</v>
      </c>
      <c r="N52" s="217" t="s">
        <v>2254</v>
      </c>
      <c r="O52" s="2322"/>
      <c r="P52" s="787"/>
      <c r="Q52" s="457" t="str">
        <f>IF(OR($O52=$M52,$O52=0,$O52=""),"","* * Check Score! * *")</f>
        <v/>
      </c>
      <c r="S52" s="473" t="s">
        <v>2948</v>
      </c>
    </row>
    <row r="53" spans="1:19" s="51" customFormat="1" ht="12.6" customHeight="1">
      <c r="A53" s="44" t="s">
        <v>3542</v>
      </c>
      <c r="B53" s="205"/>
      <c r="E53" s="49"/>
      <c r="K53" s="56"/>
      <c r="M53" s="85"/>
      <c r="N53" s="85"/>
      <c r="O53" s="85"/>
      <c r="P53" s="85"/>
      <c r="Q53" s="457"/>
      <c r="R53" s="457"/>
    </row>
    <row r="54" spans="1:19" s="51" customFormat="1" ht="12.6" customHeight="1">
      <c r="A54" s="670" t="s">
        <v>3242</v>
      </c>
      <c r="B54" s="205"/>
      <c r="E54" s="49"/>
      <c r="K54" s="56"/>
      <c r="M54" s="85"/>
      <c r="N54" s="85"/>
      <c r="O54" s="85"/>
      <c r="P54" s="85"/>
      <c r="Q54" s="457"/>
      <c r="R54" s="457"/>
    </row>
    <row r="55" spans="1:19" s="119" customFormat="1" ht="12" customHeight="1">
      <c r="A55" s="165" t="s">
        <v>1857</v>
      </c>
      <c r="B55" s="205" t="s">
        <v>3300</v>
      </c>
      <c r="C55" s="205"/>
      <c r="D55" s="205"/>
      <c r="E55" s="205"/>
      <c r="F55" s="205"/>
      <c r="G55" s="205"/>
      <c r="H55" s="205"/>
      <c r="I55" s="205"/>
      <c r="J55" s="205"/>
      <c r="K55" s="205"/>
      <c r="L55" s="205"/>
      <c r="M55" s="85">
        <v>2</v>
      </c>
      <c r="N55" s="217" t="s">
        <v>1857</v>
      </c>
      <c r="O55" s="2323"/>
      <c r="P55" s="790"/>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42.75" customHeight="1">
      <c r="A57" s="2209" t="s">
        <v>3775</v>
      </c>
      <c r="B57" s="2210"/>
      <c r="C57" s="2210"/>
      <c r="D57" s="2210"/>
      <c r="E57" s="2210"/>
      <c r="F57" s="2210"/>
      <c r="G57" s="2210"/>
      <c r="H57" s="2210"/>
      <c r="I57" s="2210"/>
      <c r="J57" s="2210"/>
      <c r="K57" s="2210"/>
      <c r="L57" s="2210"/>
      <c r="M57" s="2210"/>
      <c r="N57" s="2210"/>
      <c r="O57" s="2210"/>
      <c r="P57" s="2211"/>
      <c r="Q57" s="561" t="s">
        <v>1332</v>
      </c>
    </row>
    <row r="58" spans="1:19" s="119" customFormat="1" ht="11.45" customHeight="1">
      <c r="A58" s="50"/>
      <c r="B58" s="114" t="s">
        <v>1997</v>
      </c>
      <c r="C58" s="50"/>
      <c r="D58" s="114"/>
      <c r="E58" s="1156"/>
      <c r="F58" s="1156"/>
      <c r="G58" s="1156"/>
      <c r="H58" s="1156"/>
      <c r="I58" s="1156"/>
      <c r="J58" s="1156"/>
      <c r="K58" s="1156"/>
      <c r="L58" s="1156"/>
      <c r="M58" s="1156"/>
      <c r="N58" s="110"/>
      <c r="O58" s="224"/>
      <c r="P58" s="2"/>
      <c r="Q58" s="528"/>
    </row>
    <row r="59" spans="1:19" s="51" customFormat="1" ht="12.75" customHeight="1">
      <c r="A59" s="1416"/>
      <c r="B59" s="1417"/>
      <c r="C59" s="1417"/>
      <c r="D59" s="1417"/>
      <c r="E59" s="1417"/>
      <c r="F59" s="1417"/>
      <c r="G59" s="1417"/>
      <c r="H59" s="1417"/>
      <c r="I59" s="1417"/>
      <c r="J59" s="1417"/>
      <c r="K59" s="1417"/>
      <c r="L59" s="1417"/>
      <c r="M59" s="1417"/>
      <c r="N59" s="1417"/>
      <c r="O59" s="1417"/>
      <c r="P59" s="1418"/>
      <c r="Q59" s="561" t="s">
        <v>1332</v>
      </c>
    </row>
    <row r="60" spans="1:19" s="51" customFormat="1" ht="3" customHeight="1">
      <c r="A60" s="218"/>
      <c r="B60" s="59"/>
      <c r="G60" s="49"/>
      <c r="J60" s="56"/>
      <c r="K60" s="56"/>
      <c r="M60" s="119"/>
      <c r="N60" s="59"/>
      <c r="O60" s="119"/>
      <c r="P60" s="119"/>
    </row>
    <row r="61" spans="1:19" s="51" customFormat="1" ht="12.6" customHeight="1">
      <c r="A61" s="182" t="s">
        <v>1302</v>
      </c>
      <c r="B61" s="122" t="s">
        <v>2828</v>
      </c>
      <c r="D61" s="49"/>
      <c r="E61" s="44" t="s">
        <v>1472</v>
      </c>
      <c r="I61" s="57" t="s">
        <v>2013</v>
      </c>
      <c r="M61" s="2">
        <v>2</v>
      </c>
      <c r="N61" s="481" t="str">
        <f>IF(OR($O61=$M61,$O61=0,$O61=""),"","***")</f>
        <v/>
      </c>
      <c r="O61" s="2324">
        <v>0</v>
      </c>
      <c r="P61" s="790"/>
      <c r="Q61" s="126" t="s">
        <v>463</v>
      </c>
    </row>
    <row r="62" spans="1:19" s="51" customFormat="1" ht="12.6" customHeight="1">
      <c r="A62" s="182"/>
      <c r="B62" s="478" t="s">
        <v>2813</v>
      </c>
      <c r="D62" s="49"/>
      <c r="E62" s="44"/>
      <c r="L62" s="2325"/>
      <c r="M62" s="2326"/>
      <c r="N62" s="2326"/>
      <c r="O62" s="2327"/>
      <c r="P62" s="592"/>
      <c r="Q62" s="126"/>
    </row>
    <row r="63" spans="1:19" s="51" customFormat="1" ht="12.6" customHeight="1">
      <c r="A63" s="182"/>
      <c r="B63" s="478" t="s">
        <v>3240</v>
      </c>
      <c r="D63" s="49"/>
      <c r="E63" s="44"/>
      <c r="L63" s="2325"/>
      <c r="M63" s="2326"/>
      <c r="N63" s="2326"/>
      <c r="O63" s="2327"/>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09"/>
      <c r="B65" s="2210"/>
      <c r="C65" s="2210"/>
      <c r="D65" s="2210"/>
      <c r="E65" s="2210"/>
      <c r="F65" s="2210"/>
      <c r="G65" s="2210"/>
      <c r="H65" s="2210"/>
      <c r="I65" s="2210"/>
      <c r="J65" s="2210"/>
      <c r="K65" s="2210"/>
      <c r="L65" s="2210"/>
      <c r="M65" s="2210"/>
      <c r="N65" s="2210"/>
      <c r="O65" s="2210"/>
      <c r="P65" s="2211"/>
      <c r="Q65" s="561" t="s">
        <v>1332</v>
      </c>
    </row>
    <row r="66" spans="1:18" s="119" customFormat="1" ht="11.45" customHeight="1">
      <c r="A66" s="50"/>
      <c r="B66" s="114" t="s">
        <v>1997</v>
      </c>
      <c r="C66" s="50"/>
      <c r="D66" s="114"/>
      <c r="E66" s="1156"/>
      <c r="F66" s="1156"/>
      <c r="G66" s="1156"/>
      <c r="H66" s="1156"/>
      <c r="I66" s="1156"/>
      <c r="J66" s="1156"/>
      <c r="K66" s="1156"/>
      <c r="L66" s="1156"/>
      <c r="M66" s="1156"/>
      <c r="N66" s="110"/>
      <c r="O66" s="224"/>
      <c r="P66" s="2"/>
      <c r="Q66" s="528"/>
    </row>
    <row r="67" spans="1:18" s="51" customFormat="1" ht="12.75" customHeight="1">
      <c r="A67" s="1416"/>
      <c r="B67" s="1417"/>
      <c r="C67" s="1417"/>
      <c r="D67" s="1417"/>
      <c r="E67" s="1417"/>
      <c r="F67" s="1417"/>
      <c r="G67" s="1417"/>
      <c r="H67" s="1417"/>
      <c r="I67" s="1417"/>
      <c r="J67" s="1417"/>
      <c r="K67" s="1417"/>
      <c r="L67" s="1417"/>
      <c r="M67" s="1417"/>
      <c r="N67" s="1417"/>
      <c r="O67" s="1417"/>
      <c r="P67" s="1418"/>
      <c r="Q67" s="561" t="s">
        <v>1332</v>
      </c>
    </row>
    <row r="68" spans="1:18" ht="3" customHeight="1">
      <c r="B68" s="137"/>
      <c r="C68" s="137"/>
      <c r="D68" s="137"/>
      <c r="E68" s="137"/>
      <c r="R68" s="51"/>
    </row>
    <row r="69" spans="1:18" s="51" customFormat="1" ht="12.6" customHeight="1">
      <c r="A69" s="182" t="s">
        <v>2015</v>
      </c>
      <c r="B69" s="123" t="s">
        <v>225</v>
      </c>
      <c r="D69" s="47"/>
      <c r="E69" s="44"/>
      <c r="I69" s="558" t="s">
        <v>2881</v>
      </c>
      <c r="J69" s="1945" t="s">
        <v>3776</v>
      </c>
      <c r="K69" s="2328"/>
      <c r="L69" s="1946"/>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3</v>
      </c>
      <c r="P69" s="791">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2119</v>
      </c>
      <c r="B70" s="221" t="s">
        <v>2479</v>
      </c>
      <c r="D70" s="40"/>
      <c r="H70" s="205" t="s">
        <v>3249</v>
      </c>
      <c r="I70" s="671"/>
      <c r="J70" s="669" t="str">
        <f>'Part I-Project Information'!$H$85</f>
        <v>Flexible</v>
      </c>
      <c r="K70" s="51"/>
      <c r="M70" s="134">
        <v>3</v>
      </c>
      <c r="N70" s="31"/>
      <c r="O70" s="139" t="s">
        <v>2683</v>
      </c>
      <c r="P70" s="139" t="s">
        <v>2683</v>
      </c>
    </row>
    <row r="71" spans="1:18" s="51" customFormat="1" ht="12.6" customHeight="1">
      <c r="B71" s="532" t="s">
        <v>2919</v>
      </c>
      <c r="D71" s="49"/>
      <c r="M71" s="2"/>
      <c r="N71" s="217" t="s">
        <v>2119</v>
      </c>
      <c r="O71" s="2205" t="s">
        <v>3702</v>
      </c>
      <c r="P71" s="792"/>
      <c r="Q71" s="126"/>
    </row>
    <row r="72" spans="1:18" ht="11.45" customHeight="1">
      <c r="B72" s="451" t="s">
        <v>2123</v>
      </c>
      <c r="C72" s="466" t="s">
        <v>2814</v>
      </c>
      <c r="E72" s="137"/>
      <c r="N72" s="31"/>
      <c r="O72" s="31"/>
      <c r="P72" s="31"/>
    </row>
    <row r="73" spans="1:18" ht="23.25" customHeight="1">
      <c r="A73" s="503" t="str">
        <f>IF(AND(O73="",$J$69="Earth Craft Communities"), "X","")</f>
        <v/>
      </c>
      <c r="B73" s="472"/>
      <c r="C73" s="1538" t="s">
        <v>2816</v>
      </c>
      <c r="D73" s="1538"/>
      <c r="E73" s="1538"/>
      <c r="F73" s="1538"/>
      <c r="G73" s="1538"/>
      <c r="H73" s="1538"/>
      <c r="I73" s="1538"/>
      <c r="J73" s="1538"/>
      <c r="K73" s="1538"/>
      <c r="L73" s="1538"/>
      <c r="M73" s="469" t="str">
        <f>IF(AND($I$87="Stable Communities &lt; 10%",O73=""), "X","")</f>
        <v/>
      </c>
      <c r="N73" s="613">
        <v>1</v>
      </c>
      <c r="O73" s="2259" t="s">
        <v>3702</v>
      </c>
      <c r="P73" s="793"/>
    </row>
    <row r="74" spans="1:18" ht="11.45" customHeight="1">
      <c r="B74" s="451" t="s">
        <v>2125</v>
      </c>
      <c r="C74" s="466" t="s">
        <v>2815</v>
      </c>
      <c r="E74" s="137"/>
      <c r="M74" s="470"/>
      <c r="N74" s="31"/>
      <c r="O74" s="139" t="s">
        <v>2683</v>
      </c>
      <c r="P74" s="139" t="s">
        <v>2683</v>
      </c>
    </row>
    <row r="75" spans="1:18" ht="23.25" customHeight="1">
      <c r="A75" s="503" t="str">
        <f>IF(AND(O75="",$J$69="LEED-ND"), "X","")</f>
        <v/>
      </c>
      <c r="B75" s="472"/>
      <c r="C75" s="1538" t="s">
        <v>2990</v>
      </c>
      <c r="D75" s="1538"/>
      <c r="E75" s="1538"/>
      <c r="F75" s="1538"/>
      <c r="G75" s="1538"/>
      <c r="H75" s="1538"/>
      <c r="I75" s="1538"/>
      <c r="J75" s="1538"/>
      <c r="K75" s="1538"/>
      <c r="L75" s="1538"/>
      <c r="M75" s="469" t="str">
        <f>IF(AND($I$87="Stable Communities &lt; 10%",O75=""), "X","")</f>
        <v/>
      </c>
      <c r="N75" s="613" t="s">
        <v>2818</v>
      </c>
      <c r="O75" s="2329" t="s">
        <v>3703</v>
      </c>
      <c r="P75" s="794"/>
    </row>
    <row r="76" spans="1:18" ht="6" customHeight="1">
      <c r="B76" s="472"/>
      <c r="E76" s="166"/>
      <c r="F76" s="166"/>
      <c r="I76" s="166"/>
      <c r="J76" s="166"/>
      <c r="K76" s="166"/>
      <c r="M76" s="469"/>
      <c r="N76" s="469"/>
      <c r="O76" s="469"/>
      <c r="P76" s="469"/>
    </row>
    <row r="77" spans="1:18" ht="11.45" customHeight="1">
      <c r="A77" s="165" t="s">
        <v>2122</v>
      </c>
      <c r="B77" s="221" t="s">
        <v>328</v>
      </c>
      <c r="D77" s="40"/>
      <c r="E77" s="40"/>
      <c r="F77" s="40"/>
      <c r="M77" s="66">
        <v>2</v>
      </c>
      <c r="N77" s="31"/>
      <c r="O77" s="139" t="s">
        <v>2683</v>
      </c>
      <c r="P77" s="139" t="s">
        <v>2683</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4" t="s">
        <v>2123</v>
      </c>
      <c r="C78" s="610" t="s">
        <v>2994</v>
      </c>
      <c r="D78" s="49"/>
      <c r="M78" s="2"/>
      <c r="N78" s="614" t="s">
        <v>2123</v>
      </c>
      <c r="O78" s="2268" t="s">
        <v>3702</v>
      </c>
      <c r="P78" s="795"/>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4" t="s">
        <v>2125</v>
      </c>
      <c r="C79" s="610" t="s">
        <v>2991</v>
      </c>
      <c r="D79" s="49"/>
      <c r="M79" s="2"/>
      <c r="N79" s="614" t="s">
        <v>2125</v>
      </c>
      <c r="O79" s="2269" t="s">
        <v>3702</v>
      </c>
      <c r="P79" s="796"/>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4" t="s">
        <v>2709</v>
      </c>
      <c r="C80" s="610" t="s">
        <v>2992</v>
      </c>
      <c r="D80" s="49"/>
      <c r="M80" s="2"/>
      <c r="N80" s="614" t="s">
        <v>2709</v>
      </c>
      <c r="O80" s="2269" t="s">
        <v>3702</v>
      </c>
      <c r="P80" s="796"/>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4" t="s">
        <v>1301</v>
      </c>
      <c r="C81" s="610" t="s">
        <v>2993</v>
      </c>
      <c r="D81" s="49"/>
      <c r="M81" s="2"/>
      <c r="N81" s="614" t="s">
        <v>1301</v>
      </c>
      <c r="O81" s="2270" t="s">
        <v>3702</v>
      </c>
      <c r="P81" s="797"/>
      <c r="Q81" s="126"/>
    </row>
    <row r="82" spans="1:18" s="119" customFormat="1" ht="11.45" customHeight="1">
      <c r="A82" s="50"/>
      <c r="B82" s="57" t="s">
        <v>269</v>
      </c>
      <c r="C82" s="50"/>
      <c r="D82" s="56"/>
      <c r="E82" s="56"/>
      <c r="F82" s="56"/>
      <c r="G82" s="56"/>
      <c r="K82" s="44"/>
      <c r="M82" s="54"/>
      <c r="N82" s="7"/>
      <c r="O82" s="4"/>
      <c r="P82" s="2"/>
    </row>
    <row r="83" spans="1:18" s="51" customFormat="1" ht="32.25" customHeight="1">
      <c r="A83" s="2330" t="s">
        <v>3777</v>
      </c>
      <c r="B83" s="2331"/>
      <c r="C83" s="2331"/>
      <c r="D83" s="2331"/>
      <c r="E83" s="2331"/>
      <c r="F83" s="2331"/>
      <c r="G83" s="2331"/>
      <c r="H83" s="2331"/>
      <c r="I83" s="2331"/>
      <c r="J83" s="2331"/>
      <c r="K83" s="2331"/>
      <c r="L83" s="2331"/>
      <c r="M83" s="2331"/>
      <c r="N83" s="2331"/>
      <c r="O83" s="2331"/>
      <c r="P83" s="2332"/>
      <c r="Q83" s="561" t="s">
        <v>1332</v>
      </c>
    </row>
    <row r="84" spans="1:18" s="51" customFormat="1" ht="11.25" customHeight="1">
      <c r="B84" s="114" t="s">
        <v>1997</v>
      </c>
      <c r="C84" s="50"/>
      <c r="D84" s="100"/>
      <c r="E84" s="1162"/>
      <c r="F84" s="1162"/>
      <c r="G84" s="1162"/>
      <c r="H84" s="1162"/>
      <c r="I84" s="1162"/>
      <c r="J84" s="1162"/>
      <c r="K84" s="1162"/>
      <c r="L84" s="1162"/>
      <c r="M84" s="1162"/>
      <c r="N84" s="87"/>
      <c r="O84" s="83"/>
      <c r="P84" s="2"/>
      <c r="Q84" s="528"/>
    </row>
    <row r="85" spans="1:18" s="51" customFormat="1" ht="12.75" customHeight="1">
      <c r="A85" s="1539"/>
      <c r="B85" s="1540"/>
      <c r="C85" s="1540"/>
      <c r="D85" s="1540"/>
      <c r="E85" s="1540"/>
      <c r="F85" s="1540"/>
      <c r="G85" s="1540"/>
      <c r="H85" s="1540"/>
      <c r="I85" s="1540"/>
      <c r="J85" s="1540"/>
      <c r="K85" s="1540"/>
      <c r="L85" s="1540"/>
      <c r="M85" s="1540"/>
      <c r="N85" s="1540"/>
      <c r="O85" s="1540"/>
      <c r="P85" s="1541"/>
      <c r="Q85" s="561" t="s">
        <v>1332</v>
      </c>
    </row>
    <row r="86" spans="1:18" s="51" customFormat="1" ht="3" customHeight="1">
      <c r="A86" s="50"/>
      <c r="D86" s="47"/>
      <c r="E86" s="44"/>
      <c r="F86" s="608"/>
      <c r="G86" s="608"/>
      <c r="H86" s="608"/>
      <c r="I86" s="608"/>
      <c r="J86" s="38"/>
      <c r="K86" s="38"/>
      <c r="L86" s="38"/>
      <c r="M86" s="71"/>
      <c r="N86" s="608"/>
      <c r="O86" s="1161"/>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0"/>
      <c r="Q87" s="126" t="s">
        <v>463</v>
      </c>
      <c r="R87" s="51"/>
    </row>
    <row r="88" spans="1:18" ht="11.45" customHeight="1">
      <c r="A88" s="165"/>
      <c r="B88" s="205" t="s">
        <v>3249</v>
      </c>
      <c r="C88" s="668"/>
      <c r="D88" s="668"/>
      <c r="E88" s="669" t="str">
        <f>'Part I-Project Information'!$H$85</f>
        <v>Flexible</v>
      </c>
      <c r="M88" s="134"/>
      <c r="N88" s="31"/>
      <c r="O88" s="139" t="s">
        <v>2683</v>
      </c>
      <c r="P88" s="139" t="s">
        <v>2683</v>
      </c>
    </row>
    <row r="89" spans="1:18" ht="11.45" customHeight="1">
      <c r="A89" s="450" t="str">
        <f>IF($I$87="Stable Communities &lt; 5%", "*","")</f>
        <v/>
      </c>
      <c r="B89" s="451" t="s">
        <v>2123</v>
      </c>
      <c r="C89" s="550" t="s">
        <v>2909</v>
      </c>
      <c r="E89" s="137"/>
      <c r="M89" s="94"/>
      <c r="N89" s="31"/>
      <c r="O89" s="2259" t="s">
        <v>3703</v>
      </c>
      <c r="P89" s="793"/>
    </row>
    <row r="90" spans="1:18" ht="11.45" customHeight="1">
      <c r="B90" s="451" t="s">
        <v>2125</v>
      </c>
      <c r="C90" s="550" t="s">
        <v>3011</v>
      </c>
      <c r="D90" s="2333">
        <v>0.2</v>
      </c>
      <c r="E90" s="550" t="s">
        <v>3012</v>
      </c>
      <c r="H90" s="117" t="s">
        <v>2550</v>
      </c>
      <c r="K90" s="160" t="s">
        <v>3010</v>
      </c>
      <c r="L90" s="2334">
        <v>0.19700000000000001</v>
      </c>
      <c r="M90" s="533"/>
      <c r="N90" s="531"/>
    </row>
    <row r="91" spans="1:18" ht="11.45" customHeight="1">
      <c r="B91" s="451" t="s">
        <v>2709</v>
      </c>
      <c r="C91" s="509" t="s">
        <v>2551</v>
      </c>
      <c r="E91" s="137"/>
      <c r="H91" s="117" t="s">
        <v>2552</v>
      </c>
      <c r="K91" s="605" t="s">
        <v>2999</v>
      </c>
      <c r="L91" s="2335" t="s">
        <v>3778</v>
      </c>
      <c r="M91" s="533"/>
    </row>
    <row r="92" spans="1:18" ht="11.45" customHeight="1">
      <c r="B92" s="451" t="s">
        <v>1301</v>
      </c>
      <c r="C92" s="509" t="s">
        <v>3399</v>
      </c>
      <c r="E92" s="137"/>
      <c r="H92" s="117"/>
      <c r="K92" s="160" t="s">
        <v>3010</v>
      </c>
      <c r="L92" s="2336"/>
      <c r="M92" s="533"/>
    </row>
    <row r="93" spans="1:18" s="51" customFormat="1" ht="13.9" customHeight="1">
      <c r="A93" s="50"/>
      <c r="B93" s="57" t="s">
        <v>269</v>
      </c>
      <c r="C93" s="50"/>
      <c r="D93" s="56"/>
      <c r="E93" s="56"/>
      <c r="F93" s="56"/>
      <c r="G93" s="56"/>
      <c r="H93" s="44"/>
      <c r="I93" s="44"/>
      <c r="J93" s="44"/>
      <c r="K93" s="44"/>
      <c r="M93" s="54"/>
      <c r="N93" s="73"/>
      <c r="O93" s="4"/>
      <c r="P93" s="1161"/>
    </row>
    <row r="94" spans="1:18" s="51" customFormat="1" ht="12.75" customHeight="1">
      <c r="A94" s="2330"/>
      <c r="B94" s="2331"/>
      <c r="C94" s="2331"/>
      <c r="D94" s="2331"/>
      <c r="E94" s="2331"/>
      <c r="F94" s="2331"/>
      <c r="G94" s="2331"/>
      <c r="H94" s="2331"/>
      <c r="I94" s="2331"/>
      <c r="J94" s="2331"/>
      <c r="K94" s="2331"/>
      <c r="L94" s="2331"/>
      <c r="M94" s="2331"/>
      <c r="N94" s="2331"/>
      <c r="O94" s="2331"/>
      <c r="P94" s="2332"/>
      <c r="Q94" s="561" t="s">
        <v>1332</v>
      </c>
    </row>
    <row r="95" spans="1:18" s="51" customFormat="1" ht="11.25" customHeight="1">
      <c r="A95" s="50"/>
      <c r="B95" s="100" t="s">
        <v>1997</v>
      </c>
      <c r="C95" s="50"/>
      <c r="D95" s="100"/>
      <c r="E95" s="1162"/>
      <c r="F95" s="1162"/>
      <c r="G95" s="1162"/>
      <c r="H95" s="1162"/>
      <c r="I95" s="1162"/>
      <c r="J95" s="1162"/>
      <c r="K95" s="1162"/>
      <c r="L95" s="1162"/>
      <c r="M95" s="1162"/>
      <c r="N95" s="87"/>
      <c r="O95" s="83"/>
      <c r="P95" s="2"/>
      <c r="Q95" s="528"/>
    </row>
    <row r="96" spans="1:18" s="51" customFormat="1" ht="12.75" customHeight="1">
      <c r="A96" s="1539"/>
      <c r="B96" s="1540"/>
      <c r="C96" s="1540"/>
      <c r="D96" s="1540"/>
      <c r="E96" s="1540"/>
      <c r="F96" s="1540"/>
      <c r="G96" s="1540"/>
      <c r="H96" s="1540"/>
      <c r="I96" s="1540"/>
      <c r="J96" s="1540"/>
      <c r="K96" s="1540"/>
      <c r="L96" s="1540"/>
      <c r="M96" s="1540"/>
      <c r="N96" s="1540"/>
      <c r="O96" s="1540"/>
      <c r="P96" s="1541"/>
      <c r="Q96" s="561" t="s">
        <v>1332</v>
      </c>
    </row>
    <row r="97" spans="1:18" s="51" customFormat="1" ht="3" customHeight="1">
      <c r="A97" s="50"/>
      <c r="D97" s="47"/>
      <c r="E97" s="44"/>
      <c r="F97" s="608"/>
      <c r="G97" s="608"/>
      <c r="H97" s="608"/>
      <c r="I97" s="608"/>
      <c r="J97" s="38"/>
      <c r="K97" s="38"/>
      <c r="L97" s="38"/>
      <c r="M97" s="71"/>
      <c r="N97" s="608"/>
      <c r="O97" s="1161"/>
      <c r="P97" s="4"/>
    </row>
    <row r="98" spans="1:18" s="119" customFormat="1" ht="12.6" customHeight="1">
      <c r="A98" s="182" t="s">
        <v>536</v>
      </c>
      <c r="B98" s="123" t="s">
        <v>3250</v>
      </c>
      <c r="C98" s="109"/>
      <c r="D98" s="70"/>
      <c r="E98" s="70"/>
      <c r="H98" s="673"/>
      <c r="J98" s="2337" t="s">
        <v>3301</v>
      </c>
      <c r="K98" s="2338"/>
      <c r="L98" s="2339"/>
      <c r="M98" s="2">
        <v>3</v>
      </c>
      <c r="N98" s="8"/>
      <c r="O98" s="89">
        <f>IF(J98="Adopted Revitalization Plan",2,IF(J98="Designated Military Zone",1,IF(J98="Adptd Revital Plan &amp; Desig MZ",3,IF(J98="HUD Choice Neighborhood",2,0))))</f>
        <v>0</v>
      </c>
      <c r="P98" s="790"/>
      <c r="Q98" s="126" t="s">
        <v>463</v>
      </c>
      <c r="R98" s="51"/>
    </row>
    <row r="99" spans="1:18" ht="11.45" customHeight="1">
      <c r="A99" s="165" t="s">
        <v>2119</v>
      </c>
      <c r="B99" s="221" t="s">
        <v>3255</v>
      </c>
      <c r="E99" s="40"/>
      <c r="F99" s="689" t="s">
        <v>3256</v>
      </c>
      <c r="I99" s="2340"/>
      <c r="J99" s="2341"/>
      <c r="K99" s="2341"/>
      <c r="L99" s="2341"/>
      <c r="M99" s="2341"/>
      <c r="N99" s="2341"/>
      <c r="O99" s="2341"/>
      <c r="P99" s="2342"/>
    </row>
    <row r="100" spans="1:18" s="51" customFormat="1" ht="12" customHeight="1">
      <c r="A100" s="165"/>
      <c r="B100" s="65" t="s">
        <v>3594</v>
      </c>
      <c r="D100" s="40"/>
      <c r="N100" s="592"/>
      <c r="O100" s="2270" t="s">
        <v>1610</v>
      </c>
      <c r="P100" s="797"/>
      <c r="R100" s="457"/>
    </row>
    <row r="101" spans="1:18" s="51" customFormat="1" ht="11.45" customHeight="1">
      <c r="A101" s="533"/>
      <c r="B101" s="132" t="s">
        <v>3381</v>
      </c>
      <c r="E101" s="48"/>
      <c r="G101" s="605" t="s">
        <v>3321</v>
      </c>
      <c r="H101" s="1545" t="str">
        <f>'Part I-Project Information'!O27</f>
        <v>0225.00</v>
      </c>
      <c r="I101" s="1546"/>
      <c r="M101" s="534">
        <v>2</v>
      </c>
      <c r="O101" s="139" t="s">
        <v>2683</v>
      </c>
      <c r="P101" s="139" t="s">
        <v>2683</v>
      </c>
    </row>
    <row r="102" spans="1:18" s="51" customFormat="1" ht="11.45" customHeight="1">
      <c r="A102" s="450"/>
      <c r="B102" s="471" t="s">
        <v>2601</v>
      </c>
      <c r="C102" s="65" t="s">
        <v>3311</v>
      </c>
      <c r="D102" s="119"/>
      <c r="E102" s="48"/>
      <c r="G102" s="473" t="s">
        <v>3597</v>
      </c>
      <c r="I102" s="2343"/>
      <c r="M102" s="450"/>
      <c r="N102" s="471" t="s">
        <v>2601</v>
      </c>
      <c r="O102" s="2268"/>
      <c r="P102" s="795"/>
    </row>
    <row r="103" spans="1:18" s="51" customFormat="1" ht="11.45" customHeight="1">
      <c r="A103" s="450"/>
      <c r="B103" s="452" t="s">
        <v>2602</v>
      </c>
      <c r="C103" s="605" t="s">
        <v>3312</v>
      </c>
      <c r="D103" s="119"/>
      <c r="E103" s="48"/>
      <c r="G103" s="473" t="s">
        <v>3583</v>
      </c>
      <c r="H103" s="2344"/>
      <c r="I103" s="2345"/>
      <c r="K103" s="473" t="s">
        <v>3592</v>
      </c>
      <c r="L103" s="2346"/>
      <c r="M103" s="2347"/>
      <c r="N103" s="452" t="s">
        <v>2602</v>
      </c>
      <c r="O103" s="2270"/>
      <c r="P103" s="797"/>
    </row>
    <row r="104" spans="1:18" s="51" customFormat="1" ht="11.45" customHeight="1">
      <c r="A104" s="450"/>
      <c r="B104" s="452"/>
      <c r="C104" s="605"/>
      <c r="D104" s="119"/>
      <c r="E104" s="48"/>
      <c r="G104" s="473" t="s">
        <v>3308</v>
      </c>
      <c r="H104" s="2344"/>
      <c r="I104" s="2345"/>
      <c r="K104" s="473" t="s">
        <v>3307</v>
      </c>
      <c r="L104" s="2346" t="s">
        <v>3309</v>
      </c>
      <c r="M104" s="2347"/>
    </row>
    <row r="105" spans="1:18" ht="11.25" customHeight="1">
      <c r="B105" s="452" t="s">
        <v>2603</v>
      </c>
      <c r="C105" s="605" t="s">
        <v>3313</v>
      </c>
      <c r="D105" s="117"/>
      <c r="G105" s="348" t="s">
        <v>3593</v>
      </c>
      <c r="L105" s="2343"/>
      <c r="M105" s="450"/>
      <c r="N105" s="452" t="s">
        <v>2603</v>
      </c>
      <c r="O105" s="2259"/>
      <c r="P105" s="793"/>
    </row>
    <row r="106" spans="1:18" ht="10.9" customHeight="1">
      <c r="B106" s="452"/>
      <c r="C106" s="605"/>
      <c r="D106" s="117"/>
      <c r="G106" s="473" t="s">
        <v>3595</v>
      </c>
      <c r="L106" s="2344"/>
      <c r="M106" s="2345"/>
      <c r="N106" s="31"/>
      <c r="O106" s="31"/>
      <c r="P106" s="31"/>
    </row>
    <row r="107" spans="1:18" ht="10.9" customHeight="1">
      <c r="B107" s="452"/>
      <c r="C107" s="605" t="s">
        <v>3310</v>
      </c>
      <c r="D107" s="117"/>
      <c r="G107" s="348"/>
      <c r="K107" s="677" t="s">
        <v>2947</v>
      </c>
      <c r="L107" s="2348"/>
      <c r="M107" s="450"/>
      <c r="N107" s="452"/>
      <c r="O107" s="2268"/>
      <c r="P107" s="795"/>
    </row>
    <row r="108" spans="1:18" ht="10.9" customHeight="1">
      <c r="B108" s="452" t="s">
        <v>2604</v>
      </c>
      <c r="C108" s="645" t="s">
        <v>3314</v>
      </c>
      <c r="K108" s="677" t="s">
        <v>2947</v>
      </c>
      <c r="L108" s="2349"/>
      <c r="M108" s="450"/>
      <c r="N108" s="452" t="s">
        <v>2604</v>
      </c>
      <c r="O108" s="2269"/>
      <c r="P108" s="796"/>
    </row>
    <row r="109" spans="1:18" ht="10.9" customHeight="1">
      <c r="B109" s="452" t="s">
        <v>2605</v>
      </c>
      <c r="C109" s="645" t="s">
        <v>3315</v>
      </c>
      <c r="K109" s="677" t="s">
        <v>2947</v>
      </c>
      <c r="L109" s="2349"/>
      <c r="M109" s="450"/>
      <c r="N109" s="452" t="s">
        <v>2605</v>
      </c>
      <c r="O109" s="2269"/>
      <c r="P109" s="796"/>
    </row>
    <row r="110" spans="1:18" ht="10.9" customHeight="1">
      <c r="B110" s="452" t="s">
        <v>2621</v>
      </c>
      <c r="C110" s="62" t="s">
        <v>3318</v>
      </c>
      <c r="K110" s="677" t="s">
        <v>2947</v>
      </c>
      <c r="L110" s="2350"/>
      <c r="M110" s="450"/>
      <c r="N110" s="452" t="s">
        <v>2621</v>
      </c>
      <c r="O110" s="2269"/>
      <c r="P110" s="796"/>
    </row>
    <row r="111" spans="1:18" ht="10.9" customHeight="1">
      <c r="B111" s="452"/>
      <c r="C111" s="62" t="s">
        <v>3316</v>
      </c>
      <c r="K111" s="761"/>
      <c r="M111" s="450"/>
      <c r="N111" s="452"/>
      <c r="O111" s="2269"/>
      <c r="P111" s="796"/>
    </row>
    <row r="112" spans="1:18" ht="10.9" customHeight="1">
      <c r="B112" s="452" t="s">
        <v>2622</v>
      </c>
      <c r="C112" s="645" t="s">
        <v>3317</v>
      </c>
      <c r="D112" s="117"/>
      <c r="K112" s="677" t="s">
        <v>2947</v>
      </c>
      <c r="L112" s="2351"/>
      <c r="M112" s="450"/>
      <c r="N112" s="452" t="s">
        <v>2622</v>
      </c>
      <c r="O112" s="2269"/>
      <c r="P112" s="796"/>
    </row>
    <row r="113" spans="1:17" ht="10.9" customHeight="1">
      <c r="B113" s="471" t="s">
        <v>2623</v>
      </c>
      <c r="C113" s="645" t="s">
        <v>3319</v>
      </c>
      <c r="K113" s="677" t="s">
        <v>2947</v>
      </c>
      <c r="L113" s="2349"/>
      <c r="M113" s="450"/>
      <c r="N113" s="471" t="s">
        <v>2623</v>
      </c>
      <c r="O113" s="2269"/>
      <c r="P113" s="796"/>
    </row>
    <row r="114" spans="1:17" ht="10.9" customHeight="1">
      <c r="B114" s="471" t="s">
        <v>2624</v>
      </c>
      <c r="C114" s="645" t="s">
        <v>3320</v>
      </c>
      <c r="K114" s="677" t="s">
        <v>2947</v>
      </c>
      <c r="L114" s="2349"/>
      <c r="M114" s="450"/>
      <c r="N114" s="471" t="s">
        <v>2624</v>
      </c>
      <c r="O114" s="2269"/>
      <c r="P114" s="796"/>
    </row>
    <row r="115" spans="1:17" ht="10.9" customHeight="1">
      <c r="B115" s="471" t="s">
        <v>2625</v>
      </c>
      <c r="C115" s="645" t="s">
        <v>3322</v>
      </c>
      <c r="K115" s="677" t="s">
        <v>2947</v>
      </c>
      <c r="L115" s="2350"/>
      <c r="M115" s="450"/>
      <c r="N115" s="471" t="s">
        <v>2625</v>
      </c>
      <c r="O115" s="2270"/>
      <c r="P115" s="797"/>
    </row>
    <row r="116" spans="1:17" ht="11.45" customHeight="1">
      <c r="A116" s="165" t="s">
        <v>2122</v>
      </c>
      <c r="B116" s="221" t="s">
        <v>3252</v>
      </c>
      <c r="D116" s="40"/>
      <c r="M116" s="94">
        <v>1</v>
      </c>
      <c r="N116" s="31"/>
      <c r="O116" s="139" t="s">
        <v>2683</v>
      </c>
      <c r="P116" s="139" t="s">
        <v>2683</v>
      </c>
    </row>
    <row r="117" spans="1:17" ht="11.45" customHeight="1">
      <c r="A117" s="664" t="s">
        <v>1440</v>
      </c>
      <c r="B117" s="550" t="s">
        <v>3254</v>
      </c>
      <c r="E117" s="137"/>
      <c r="N117" s="31"/>
      <c r="O117" s="2259"/>
      <c r="P117" s="793"/>
      <c r="Q117" s="473"/>
    </row>
    <row r="118" spans="1:17" ht="11.45" customHeight="1">
      <c r="A118" s="165" t="s">
        <v>799</v>
      </c>
      <c r="B118" s="221" t="s">
        <v>3253</v>
      </c>
      <c r="C118" s="221"/>
      <c r="D118" s="40"/>
      <c r="M118" s="134">
        <v>2</v>
      </c>
      <c r="N118" s="31"/>
      <c r="O118" s="672" t="s">
        <v>2683</v>
      </c>
      <c r="P118" s="672" t="s">
        <v>2683</v>
      </c>
    </row>
    <row r="119" spans="1:17" ht="22.5" customHeight="1">
      <c r="B119" s="1547" t="s">
        <v>3529</v>
      </c>
      <c r="C119" s="1547"/>
      <c r="D119" s="1547"/>
      <c r="E119" s="1547"/>
      <c r="F119" s="1547"/>
      <c r="G119" s="1547"/>
      <c r="H119" s="1547"/>
      <c r="I119" s="1547"/>
      <c r="J119" s="1547"/>
      <c r="K119" s="1547"/>
      <c r="L119" s="1547"/>
      <c r="N119" s="31"/>
      <c r="O119" s="2259"/>
      <c r="P119" s="793"/>
    </row>
    <row r="120" spans="1:17" s="51" customFormat="1" ht="13.9" customHeight="1">
      <c r="A120" s="50"/>
      <c r="B120" s="57" t="s">
        <v>269</v>
      </c>
      <c r="C120" s="50"/>
      <c r="D120" s="56"/>
      <c r="E120" s="56"/>
      <c r="F120" s="56"/>
      <c r="G120" s="56"/>
      <c r="H120" s="44"/>
      <c r="I120" s="44"/>
      <c r="J120" s="44"/>
      <c r="K120" s="44"/>
      <c r="M120" s="54"/>
      <c r="N120" s="73"/>
      <c r="O120" s="4"/>
      <c r="P120" s="1161"/>
    </row>
    <row r="121" spans="1:17" s="51" customFormat="1" ht="12.75" customHeight="1">
      <c r="A121" s="2330" t="s">
        <v>3779</v>
      </c>
      <c r="B121" s="2331"/>
      <c r="C121" s="2331"/>
      <c r="D121" s="2331"/>
      <c r="E121" s="2331"/>
      <c r="F121" s="2331"/>
      <c r="G121" s="2331"/>
      <c r="H121" s="2331"/>
      <c r="I121" s="2331"/>
      <c r="J121" s="2331"/>
      <c r="K121" s="2331"/>
      <c r="L121" s="2331"/>
      <c r="M121" s="2331"/>
      <c r="N121" s="2331"/>
      <c r="O121" s="2331"/>
      <c r="P121" s="2332"/>
      <c r="Q121" s="561" t="s">
        <v>1332</v>
      </c>
    </row>
    <row r="122" spans="1:17" s="51" customFormat="1" ht="11.25" customHeight="1">
      <c r="A122" s="50"/>
      <c r="B122" s="100" t="s">
        <v>1997</v>
      </c>
      <c r="C122" s="50"/>
      <c r="D122" s="100"/>
      <c r="E122" s="1162"/>
      <c r="F122" s="1162"/>
      <c r="G122" s="1162"/>
      <c r="H122" s="1162"/>
      <c r="I122" s="1162"/>
      <c r="J122" s="1162"/>
      <c r="K122" s="1162"/>
      <c r="L122" s="1162"/>
      <c r="M122" s="1162"/>
      <c r="N122" s="87"/>
      <c r="O122" s="83"/>
      <c r="P122" s="2"/>
      <c r="Q122" s="528"/>
    </row>
    <row r="123" spans="1:17" s="51" customFormat="1" ht="12.75" customHeight="1">
      <c r="A123" s="1539"/>
      <c r="B123" s="1540"/>
      <c r="C123" s="1540"/>
      <c r="D123" s="1540"/>
      <c r="E123" s="1540"/>
      <c r="F123" s="1540"/>
      <c r="G123" s="1540"/>
      <c r="H123" s="1540"/>
      <c r="I123" s="1540"/>
      <c r="J123" s="1540"/>
      <c r="K123" s="1540"/>
      <c r="L123" s="1540"/>
      <c r="M123" s="1540"/>
      <c r="N123" s="1540"/>
      <c r="O123" s="1540"/>
      <c r="P123" s="1541"/>
      <c r="Q123" s="561" t="s">
        <v>1332</v>
      </c>
    </row>
    <row r="124" spans="1:17" ht="3.6" customHeight="1">
      <c r="B124" s="137"/>
      <c r="C124" s="137"/>
      <c r="D124" s="137"/>
      <c r="E124" s="137"/>
    </row>
    <row r="125" spans="1:17" s="51" customFormat="1" ht="12" customHeight="1">
      <c r="A125" s="182" t="s">
        <v>227</v>
      </c>
      <c r="B125" s="122" t="s">
        <v>2626</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57" t="s">
        <v>2119</v>
      </c>
      <c r="B126" s="221" t="s">
        <v>2381</v>
      </c>
      <c r="D126" s="40"/>
      <c r="E126" s="40"/>
      <c r="F126" s="40"/>
      <c r="G126" s="31" t="str">
        <f>IF(AND(O126&lt;0,L133&lt;0),"Select either A or B but not both!&gt;","")</f>
        <v/>
      </c>
      <c r="H126" s="205" t="s">
        <v>3249</v>
      </c>
      <c r="I126" s="668"/>
      <c r="J126" s="669" t="str">
        <f>'Part I-Project Information'!$H$85</f>
        <v>Flexible</v>
      </c>
      <c r="M126" s="85">
        <v>3</v>
      </c>
      <c r="N126" s="592" t="s">
        <v>2119</v>
      </c>
      <c r="O126" s="2318">
        <v>0</v>
      </c>
      <c r="P126" s="786"/>
      <c r="Q126" s="473" t="s">
        <v>2948</v>
      </c>
    </row>
    <row r="127" spans="1:17" s="117" customFormat="1" ht="22.9" customHeight="1">
      <c r="B127" s="474" t="s">
        <v>2123</v>
      </c>
      <c r="C127" s="1547" t="s">
        <v>3530</v>
      </c>
      <c r="D127" s="1482"/>
      <c r="E127" s="1482"/>
      <c r="F127" s="1482"/>
      <c r="G127" s="1482"/>
      <c r="H127" s="1482"/>
      <c r="I127" s="1482"/>
      <c r="J127" s="1482"/>
      <c r="K127" s="1482"/>
      <c r="L127" s="1482"/>
      <c r="M127" s="506"/>
      <c r="N127" s="474" t="s">
        <v>2123</v>
      </c>
      <c r="O127" s="2270" t="s">
        <v>3703</v>
      </c>
      <c r="P127" s="797"/>
    </row>
    <row r="128" spans="1:17" s="117" customFormat="1" ht="10.5" customHeight="1">
      <c r="B128" s="217"/>
      <c r="C128" s="138" t="s">
        <v>1020</v>
      </c>
      <c r="H128" s="541" t="s">
        <v>2767</v>
      </c>
      <c r="I128" s="2352"/>
      <c r="J128" s="541" t="s">
        <v>2452</v>
      </c>
      <c r="K128" s="2353"/>
      <c r="L128" s="2354"/>
      <c r="M128" s="2355"/>
    </row>
    <row r="129" spans="1:17" s="117" customFormat="1" ht="10.5" customHeight="1">
      <c r="B129" s="217" t="s">
        <v>2125</v>
      </c>
      <c r="C129" s="138" t="s">
        <v>1021</v>
      </c>
      <c r="M129" s="8"/>
      <c r="N129" s="217" t="s">
        <v>2125</v>
      </c>
      <c r="O129" s="2268" t="s">
        <v>1610</v>
      </c>
      <c r="P129" s="795"/>
    </row>
    <row r="130" spans="1:17" s="117" customFormat="1" ht="10.5" customHeight="1">
      <c r="B130" s="217" t="s">
        <v>2709</v>
      </c>
      <c r="C130" s="138" t="s">
        <v>1022</v>
      </c>
      <c r="M130" s="8"/>
      <c r="N130" s="217" t="s">
        <v>2709</v>
      </c>
      <c r="O130" s="2269" t="s">
        <v>1610</v>
      </c>
      <c r="P130" s="796"/>
    </row>
    <row r="131" spans="1:17" s="117" customFormat="1" ht="10.5" customHeight="1">
      <c r="A131" s="664" t="s">
        <v>1440</v>
      </c>
      <c r="B131" s="217" t="s">
        <v>1301</v>
      </c>
      <c r="C131" s="138" t="s">
        <v>1023</v>
      </c>
      <c r="M131" s="8"/>
      <c r="N131" s="217" t="s">
        <v>1301</v>
      </c>
      <c r="O131" s="2270" t="s">
        <v>1610</v>
      </c>
      <c r="P131" s="797"/>
    </row>
    <row r="132" spans="1:17" ht="12" customHeight="1">
      <c r="A132" s="1157" t="s">
        <v>2122</v>
      </c>
      <c r="B132" s="221" t="s">
        <v>2382</v>
      </c>
      <c r="D132" s="137"/>
      <c r="E132" s="510" t="s">
        <v>3156</v>
      </c>
      <c r="M132" s="85">
        <v>3</v>
      </c>
      <c r="N132" s="592" t="s">
        <v>2122</v>
      </c>
      <c r="O132" s="722">
        <f>IF($L133=5,3,IF($L133=4,2,0))</f>
        <v>0</v>
      </c>
      <c r="P132" s="790"/>
    </row>
    <row r="133" spans="1:17" ht="10.5" customHeight="1">
      <c r="B133" s="537" t="s">
        <v>3323</v>
      </c>
      <c r="D133" s="40"/>
      <c r="E133" s="40"/>
      <c r="F133" s="40"/>
      <c r="G133" s="48"/>
      <c r="H133" s="48"/>
      <c r="I133" s="48"/>
      <c r="J133" s="48"/>
      <c r="L133" s="2356" t="s">
        <v>209</v>
      </c>
      <c r="M133" s="160" t="s">
        <v>3324</v>
      </c>
      <c r="O133" s="119"/>
      <c r="P133" s="119"/>
    </row>
    <row r="134" spans="1:17" ht="10.5" customHeight="1">
      <c r="B134" s="537"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1"/>
    </row>
    <row r="136" spans="1:17" s="51" customFormat="1" ht="52.5" customHeight="1">
      <c r="A136" s="2209"/>
      <c r="B136" s="2210"/>
      <c r="C136" s="2210"/>
      <c r="D136" s="2210"/>
      <c r="E136" s="2210"/>
      <c r="F136" s="2210"/>
      <c r="G136" s="2210"/>
      <c r="H136" s="2210"/>
      <c r="I136" s="2210"/>
      <c r="J136" s="2210"/>
      <c r="K136" s="2210"/>
      <c r="L136" s="2210"/>
      <c r="M136" s="2210"/>
      <c r="N136" s="2210"/>
      <c r="O136" s="2210"/>
      <c r="P136" s="2211"/>
      <c r="Q136" s="561" t="s">
        <v>1332</v>
      </c>
    </row>
    <row r="137" spans="1:17" s="51" customFormat="1" ht="11.45" customHeight="1">
      <c r="B137" s="100" t="s">
        <v>1997</v>
      </c>
      <c r="C137" s="115"/>
      <c r="D137" s="100"/>
      <c r="E137" s="116"/>
      <c r="F137" s="1162"/>
      <c r="G137" s="1162"/>
      <c r="H137" s="1162"/>
      <c r="I137" s="1162"/>
      <c r="J137" s="1162"/>
      <c r="K137" s="1162"/>
      <c r="L137" s="1162"/>
      <c r="M137" s="1162"/>
      <c r="N137" s="87"/>
      <c r="O137" s="83"/>
      <c r="P137" s="2"/>
      <c r="Q137" s="528"/>
    </row>
    <row r="138" spans="1:17" s="51" customFormat="1" ht="11.45" customHeight="1">
      <c r="A138" s="1416"/>
      <c r="B138" s="1417"/>
      <c r="C138" s="1417"/>
      <c r="D138" s="1417"/>
      <c r="E138" s="1417"/>
      <c r="F138" s="1417"/>
      <c r="G138" s="1417"/>
      <c r="H138" s="1417"/>
      <c r="I138" s="1417"/>
      <c r="J138" s="1417"/>
      <c r="K138" s="1417"/>
      <c r="L138" s="1417"/>
      <c r="M138" s="1417"/>
      <c r="N138" s="1417"/>
      <c r="O138" s="1417"/>
      <c r="P138" s="1418"/>
      <c r="Q138" s="561" t="s">
        <v>1332</v>
      </c>
    </row>
    <row r="139" spans="1:17" ht="3" customHeight="1">
      <c r="B139" s="137"/>
      <c r="C139" s="137"/>
      <c r="D139" s="137"/>
      <c r="E139" s="137"/>
    </row>
    <row r="140" spans="1:17" s="51" customFormat="1" ht="12" customHeight="1">
      <c r="A140" s="182" t="s">
        <v>228</v>
      </c>
      <c r="B140" s="122" t="s">
        <v>2627</v>
      </c>
      <c r="E140" s="49"/>
      <c r="F140" s="49"/>
      <c r="H140" s="72"/>
      <c r="K140" s="56"/>
      <c r="L140" s="457" t="str">
        <f>IF(OR($O140=$M140,$O140=0,$O140=""),"","* * Check Score! * *")</f>
        <v/>
      </c>
      <c r="M140" s="2">
        <v>2</v>
      </c>
      <c r="N140" s="481" t="str">
        <f>IF(OR($O140=$M140,$O140=0,$O140=""),"","***")</f>
        <v/>
      </c>
      <c r="O140" s="2324">
        <v>2</v>
      </c>
      <c r="P140" s="790"/>
      <c r="Q140" s="126" t="s">
        <v>463</v>
      </c>
    </row>
    <row r="141" spans="1:17" ht="11.45" customHeight="1">
      <c r="B141" s="203" t="s">
        <v>1783</v>
      </c>
      <c r="E141" s="137"/>
      <c r="M141" s="470"/>
      <c r="N141" s="31"/>
      <c r="O141" s="31"/>
      <c r="P141" s="139" t="s">
        <v>2683</v>
      </c>
    </row>
    <row r="142" spans="1:17" s="476" customFormat="1">
      <c r="A142" s="170" t="s">
        <v>2119</v>
      </c>
      <c r="B142" s="1544" t="s">
        <v>2826</v>
      </c>
      <c r="C142" s="1301"/>
      <c r="D142" s="1301"/>
      <c r="E142" s="1301"/>
      <c r="F142" s="1301"/>
      <c r="G142" s="1301"/>
      <c r="H142" s="1301"/>
      <c r="I142" s="1301"/>
      <c r="J142" s="1301"/>
      <c r="K142" s="1301"/>
      <c r="L142" s="1301"/>
      <c r="M142" s="1301"/>
      <c r="N142" s="1301"/>
      <c r="O142" s="472" t="s">
        <v>2601</v>
      </c>
      <c r="P142" s="798"/>
    </row>
    <row r="143" spans="1:17" s="476" customFormat="1" ht="24" customHeight="1">
      <c r="A143" s="170" t="s">
        <v>2122</v>
      </c>
      <c r="B143" s="1544" t="s">
        <v>2995</v>
      </c>
      <c r="C143" s="1301"/>
      <c r="D143" s="1301"/>
      <c r="E143" s="1301"/>
      <c r="F143" s="1301"/>
      <c r="G143" s="1301"/>
      <c r="H143" s="1301"/>
      <c r="I143" s="1301"/>
      <c r="J143" s="1301"/>
      <c r="K143" s="1301"/>
      <c r="L143" s="1301"/>
      <c r="M143" s="1301"/>
      <c r="N143" s="1301"/>
      <c r="O143" s="472" t="s">
        <v>2602</v>
      </c>
      <c r="P143" s="799"/>
    </row>
    <row r="144" spans="1:17" s="476" customFormat="1" ht="12.75" customHeight="1">
      <c r="A144" s="170" t="s">
        <v>799</v>
      </c>
      <c r="B144" s="260" t="s">
        <v>1784</v>
      </c>
      <c r="M144" s="548"/>
      <c r="N144" s="472"/>
      <c r="O144" s="472" t="s">
        <v>2603</v>
      </c>
      <c r="P144" s="800"/>
    </row>
    <row r="145" spans="1:18" s="51" customFormat="1" ht="12.75" customHeight="1">
      <c r="A145" s="472"/>
      <c r="B145" s="57" t="s">
        <v>269</v>
      </c>
      <c r="C145" s="50"/>
      <c r="D145" s="56"/>
      <c r="E145" s="56"/>
      <c r="F145" s="56"/>
      <c r="G145" s="56"/>
      <c r="H145" s="44"/>
      <c r="I145" s="44"/>
      <c r="J145" s="44"/>
      <c r="K145" s="44"/>
      <c r="M145" s="54"/>
      <c r="N145" s="73"/>
      <c r="O145" s="4"/>
      <c r="P145" s="1161"/>
    </row>
    <row r="146" spans="1:18" s="51" customFormat="1" ht="60" customHeight="1">
      <c r="A146" s="2209" t="s">
        <v>3780</v>
      </c>
      <c r="B146" s="2210"/>
      <c r="C146" s="2210"/>
      <c r="D146" s="2210"/>
      <c r="E146" s="2210"/>
      <c r="F146" s="2210"/>
      <c r="G146" s="2210"/>
      <c r="H146" s="2210"/>
      <c r="I146" s="2210"/>
      <c r="J146" s="2210"/>
      <c r="K146" s="2210"/>
      <c r="L146" s="2210"/>
      <c r="M146" s="2210"/>
      <c r="N146" s="2210"/>
      <c r="O146" s="2210"/>
      <c r="P146" s="2211"/>
      <c r="Q146" s="561" t="s">
        <v>1332</v>
      </c>
    </row>
    <row r="147" spans="1:18" s="51" customFormat="1" ht="11.25" customHeight="1">
      <c r="A147" s="50"/>
      <c r="B147" s="100" t="s">
        <v>1997</v>
      </c>
      <c r="C147" s="50"/>
      <c r="D147" s="100"/>
      <c r="E147" s="1162"/>
      <c r="F147" s="1162"/>
      <c r="G147" s="1162"/>
      <c r="H147" s="1162"/>
      <c r="I147" s="1162"/>
      <c r="J147" s="1162"/>
      <c r="K147" s="1162"/>
      <c r="L147" s="1162"/>
      <c r="M147" s="1162"/>
      <c r="N147" s="87"/>
      <c r="O147" s="83"/>
      <c r="P147" s="2"/>
      <c r="Q147" s="528"/>
    </row>
    <row r="148" spans="1:18" s="51" customFormat="1" ht="40.5" customHeight="1">
      <c r="A148" s="1416"/>
      <c r="B148" s="1417"/>
      <c r="C148" s="1417"/>
      <c r="D148" s="1417"/>
      <c r="E148" s="1417"/>
      <c r="F148" s="1417"/>
      <c r="G148" s="1417"/>
      <c r="H148" s="1417"/>
      <c r="I148" s="1417"/>
      <c r="J148" s="1417"/>
      <c r="K148" s="1417"/>
      <c r="L148" s="1417"/>
      <c r="M148" s="1417"/>
      <c r="N148" s="1417"/>
      <c r="O148" s="1417"/>
      <c r="P148" s="1418"/>
      <c r="Q148" s="561" t="s">
        <v>1332</v>
      </c>
    </row>
    <row r="149" spans="1:18" ht="3" customHeight="1">
      <c r="B149" s="137"/>
      <c r="C149" s="137"/>
      <c r="D149" s="137"/>
      <c r="E149" s="137"/>
    </row>
    <row r="150" spans="1:18" s="51" customFormat="1" ht="12" customHeight="1">
      <c r="A150" s="183"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2119</v>
      </c>
      <c r="B151" s="205" t="s">
        <v>2383</v>
      </c>
      <c r="D151" s="72"/>
      <c r="E151" s="72"/>
      <c r="F151" s="52"/>
      <c r="G151" s="31"/>
      <c r="K151" s="592" t="s">
        <v>2923</v>
      </c>
      <c r="L151" s="2268" t="s">
        <v>3702</v>
      </c>
      <c r="M151" s="8">
        <v>1</v>
      </c>
      <c r="N151" s="592" t="s">
        <v>2119</v>
      </c>
      <c r="O151" s="2318">
        <v>1</v>
      </c>
      <c r="P151" s="786"/>
      <c r="Q151" s="473"/>
      <c r="R151" s="457" t="str">
        <f>IF(OR($O151=$M151,$O151=0,$O151=""),"","* * Check Score! * *")</f>
        <v/>
      </c>
    </row>
    <row r="152" spans="1:18" s="51" customFormat="1" ht="12" customHeight="1">
      <c r="A152" s="165" t="s">
        <v>2122</v>
      </c>
      <c r="B152" s="205" t="s">
        <v>2384</v>
      </c>
      <c r="D152" s="68"/>
      <c r="H152" s="1167" t="s">
        <v>2910</v>
      </c>
      <c r="K152" s="62"/>
      <c r="L152" s="2270" t="s">
        <v>3703</v>
      </c>
      <c r="M152" s="8">
        <v>1</v>
      </c>
      <c r="N152" s="592" t="s">
        <v>2122</v>
      </c>
      <c r="O152" s="2322">
        <v>0</v>
      </c>
      <c r="P152" s="787"/>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1"/>
    </row>
    <row r="154" spans="1:18" s="51" customFormat="1" ht="12.6" customHeight="1">
      <c r="A154" s="2209"/>
      <c r="B154" s="2210"/>
      <c r="C154" s="2210"/>
      <c r="D154" s="2210"/>
      <c r="E154" s="2210"/>
      <c r="F154" s="2210"/>
      <c r="G154" s="2210"/>
      <c r="H154" s="2210"/>
      <c r="I154" s="2210"/>
      <c r="J154" s="2210"/>
      <c r="K154" s="2210"/>
      <c r="L154" s="2210"/>
      <c r="M154" s="2210"/>
      <c r="N154" s="2210"/>
      <c r="O154" s="2210"/>
      <c r="P154" s="2211"/>
      <c r="Q154" s="561" t="s">
        <v>1332</v>
      </c>
    </row>
    <row r="155" spans="1:18" s="51" customFormat="1" ht="11.25" customHeight="1">
      <c r="A155" s="50"/>
      <c r="B155" s="100" t="s">
        <v>1997</v>
      </c>
      <c r="C155" s="115"/>
      <c r="D155" s="100"/>
      <c r="E155" s="116"/>
      <c r="F155" s="1162"/>
      <c r="G155" s="1162"/>
      <c r="H155" s="1162"/>
      <c r="I155" s="1162"/>
      <c r="J155" s="1162"/>
      <c r="K155" s="1162"/>
      <c r="L155" s="1162"/>
      <c r="M155" s="1162"/>
      <c r="N155" s="87"/>
      <c r="O155" s="83"/>
      <c r="P155" s="2"/>
      <c r="Q155" s="528"/>
    </row>
    <row r="156" spans="1:18" s="51" customFormat="1" ht="12.6" customHeight="1">
      <c r="A156" s="1416"/>
      <c r="B156" s="1417"/>
      <c r="C156" s="1417"/>
      <c r="D156" s="1417"/>
      <c r="E156" s="1417"/>
      <c r="F156" s="1417"/>
      <c r="G156" s="1417"/>
      <c r="H156" s="1417"/>
      <c r="I156" s="1417"/>
      <c r="J156" s="1417"/>
      <c r="K156" s="1417"/>
      <c r="L156" s="1417"/>
      <c r="M156" s="1417"/>
      <c r="N156" s="1417"/>
      <c r="O156" s="1417"/>
      <c r="P156" s="1418"/>
      <c r="Q156" s="561" t="s">
        <v>1332</v>
      </c>
    </row>
    <row r="157" spans="1:18" s="51" customFormat="1" ht="3" customHeight="1">
      <c r="A157" s="50"/>
      <c r="B157" s="50"/>
      <c r="C157" s="1162"/>
      <c r="D157" s="1162"/>
      <c r="E157" s="1162"/>
      <c r="F157" s="1162"/>
      <c r="G157" s="1162"/>
      <c r="H157" s="1162"/>
      <c r="I157" s="1162"/>
      <c r="J157" s="1162"/>
      <c r="K157" s="1162"/>
      <c r="L157" s="1162"/>
      <c r="M157" s="1162"/>
      <c r="N157" s="87"/>
      <c r="O157" s="83"/>
      <c r="P157" s="608"/>
    </row>
    <row r="158" spans="1:18" s="51" customFormat="1" ht="15">
      <c r="A158" s="183" t="s">
        <v>247</v>
      </c>
      <c r="B158" s="130" t="s">
        <v>2902</v>
      </c>
      <c r="C158" s="102"/>
      <c r="D158" s="69"/>
      <c r="E158" s="62"/>
      <c r="M158" s="2">
        <v>3</v>
      </c>
      <c r="N158" s="7"/>
      <c r="O158" s="7"/>
      <c r="P158" s="790"/>
      <c r="Q158" s="126" t="s">
        <v>463</v>
      </c>
    </row>
    <row r="159" spans="1:18" s="51" customFormat="1" ht="12" customHeight="1">
      <c r="A159" s="183"/>
      <c r="B159" s="677" t="s">
        <v>2914</v>
      </c>
      <c r="C159" s="102"/>
      <c r="D159" s="69"/>
      <c r="E159" s="62"/>
      <c r="G159" s="591" t="str">
        <f>'Part I-Project Information'!$H$81</f>
        <v>Yes</v>
      </c>
      <c r="J159" s="72"/>
      <c r="M159" s="2"/>
      <c r="N159" s="2"/>
      <c r="O159" s="139" t="s">
        <v>2683</v>
      </c>
      <c r="P159" s="139" t="s">
        <v>2683</v>
      </c>
      <c r="Q159" s="126"/>
    </row>
    <row r="160" spans="1:18" s="51" customFormat="1" ht="12" customHeight="1">
      <c r="A160" s="165"/>
      <c r="B160" s="65" t="s">
        <v>2505</v>
      </c>
      <c r="D160" s="40"/>
      <c r="N160" s="592"/>
      <c r="O160" s="2268" t="s">
        <v>3702</v>
      </c>
      <c r="P160" s="795"/>
      <c r="R160" s="457"/>
    </row>
    <row r="161" spans="1:18" s="51" customFormat="1" ht="12" customHeight="1">
      <c r="A161" s="165"/>
      <c r="B161" s="65" t="s">
        <v>3544</v>
      </c>
      <c r="D161" s="40"/>
      <c r="N161" s="592"/>
      <c r="O161" s="2270" t="s">
        <v>3702</v>
      </c>
      <c r="P161" s="797"/>
      <c r="R161" s="457"/>
    </row>
    <row r="162" spans="1:18" s="51" customFormat="1" ht="12" customHeight="1">
      <c r="A162" s="50"/>
      <c r="B162" s="57" t="s">
        <v>269</v>
      </c>
      <c r="C162" s="50"/>
      <c r="D162" s="56"/>
      <c r="E162" s="56"/>
      <c r="F162" s="56"/>
      <c r="G162" s="56"/>
      <c r="H162" s="44"/>
      <c r="I162" s="44"/>
      <c r="J162" s="44"/>
      <c r="K162" s="44"/>
      <c r="M162" s="54"/>
      <c r="N162" s="73"/>
      <c r="O162" s="4"/>
      <c r="P162" s="1161"/>
    </row>
    <row r="163" spans="1:18" s="51" customFormat="1" ht="53.25" customHeight="1">
      <c r="A163" s="2209" t="s">
        <v>3817</v>
      </c>
      <c r="B163" s="2210"/>
      <c r="C163" s="2210"/>
      <c r="D163" s="2210"/>
      <c r="E163" s="2210"/>
      <c r="F163" s="2210"/>
      <c r="G163" s="2210"/>
      <c r="H163" s="2210"/>
      <c r="I163" s="2210"/>
      <c r="J163" s="2210"/>
      <c r="K163" s="2210"/>
      <c r="L163" s="2210"/>
      <c r="M163" s="2210"/>
      <c r="N163" s="2210"/>
      <c r="O163" s="2210"/>
      <c r="P163" s="2211"/>
      <c r="Q163" s="561" t="s">
        <v>1332</v>
      </c>
    </row>
    <row r="164" spans="1:18" s="51" customFormat="1" ht="12" customHeight="1">
      <c r="B164" s="100" t="s">
        <v>1997</v>
      </c>
      <c r="C164" s="115"/>
      <c r="D164" s="100"/>
      <c r="E164" s="116"/>
      <c r="F164" s="1162"/>
      <c r="G164" s="1162"/>
      <c r="H164" s="1162"/>
      <c r="I164" s="1162"/>
      <c r="J164" s="1162"/>
      <c r="K164" s="1162"/>
      <c r="L164" s="1162"/>
      <c r="M164" s="1162"/>
      <c r="N164" s="87"/>
      <c r="O164" s="83"/>
      <c r="P164" s="2"/>
      <c r="Q164" s="528"/>
    </row>
    <row r="165" spans="1:18" s="51" customFormat="1" ht="12.75" customHeight="1">
      <c r="A165" s="1416"/>
      <c r="B165" s="1417"/>
      <c r="C165" s="1417"/>
      <c r="D165" s="1417"/>
      <c r="E165" s="1417"/>
      <c r="F165" s="1417"/>
      <c r="G165" s="1417"/>
      <c r="H165" s="1417"/>
      <c r="I165" s="1417"/>
      <c r="J165" s="1417"/>
      <c r="K165" s="1417"/>
      <c r="L165" s="1417"/>
      <c r="M165" s="1417"/>
      <c r="N165" s="1417"/>
      <c r="O165" s="1417"/>
      <c r="P165" s="1418"/>
      <c r="Q165" s="561" t="s">
        <v>1332</v>
      </c>
    </row>
    <row r="166" spans="1:18" ht="4.5" customHeight="1"/>
    <row r="167" spans="1:18" s="74" customFormat="1" ht="12.6" customHeight="1">
      <c r="A167" s="182" t="s">
        <v>248</v>
      </c>
      <c r="B167" s="122" t="s">
        <v>3327</v>
      </c>
      <c r="E167" s="675" t="s">
        <v>3216</v>
      </c>
      <c r="G167" s="136"/>
      <c r="H167" s="509"/>
      <c r="K167" s="89">
        <f>'Part VI-Revenues &amp; Expenses'!$M$62</f>
        <v>69</v>
      </c>
      <c r="L167" s="656" t="s">
        <v>1917</v>
      </c>
      <c r="M167" s="2">
        <v>3</v>
      </c>
      <c r="N167" s="481" t="str">
        <f>IF(OR($O167=$M167,$O167=0,$O167=""),"","***")</f>
        <v/>
      </c>
      <c r="O167" s="2324"/>
      <c r="P167" s="790"/>
      <c r="Q167" s="126" t="s">
        <v>463</v>
      </c>
      <c r="R167" s="31"/>
    </row>
    <row r="168" spans="1:18" s="74" customFormat="1" ht="12.6" customHeight="1">
      <c r="A168" s="182"/>
      <c r="B168" s="205" t="s">
        <v>3249</v>
      </c>
      <c r="C168" s="668"/>
      <c r="E168" s="711" t="str">
        <f>'Part I-Project Information'!$H$85</f>
        <v>Flexible</v>
      </c>
      <c r="G168" s="675" t="str">
        <f>IF(E168="Flexible","(NOTE: Only Rural pool applicants are eligible for this section.)","")</f>
        <v>(NOTE: Only Rural pool applicants are eligible for this section.)</v>
      </c>
      <c r="H168" s="509"/>
      <c r="I168" s="674"/>
      <c r="J168" s="656"/>
      <c r="K168" s="676">
        <f>'Part VI-Revenues &amp; Expenses'!$M$74/'Part VI-Revenues &amp; Expenses'!$M$62</f>
        <v>1</v>
      </c>
      <c r="L168" s="656" t="s">
        <v>3206</v>
      </c>
      <c r="M168" s="2"/>
      <c r="N168" s="481"/>
      <c r="O168" s="481"/>
      <c r="P168" s="481"/>
      <c r="Q168" s="126"/>
      <c r="R168" s="31"/>
    </row>
    <row r="169" spans="1:18" s="74" customFormat="1" ht="25.15" customHeight="1">
      <c r="A169" s="182"/>
      <c r="B169" s="1400" t="s">
        <v>2970</v>
      </c>
      <c r="C169" s="1548"/>
      <c r="D169" s="1548"/>
      <c r="E169" s="1548"/>
      <c r="F169" s="1548"/>
      <c r="G169" s="1548"/>
      <c r="H169" s="1548"/>
      <c r="I169" s="1548"/>
      <c r="J169" s="1548"/>
      <c r="K169" s="1548"/>
      <c r="L169" s="1548"/>
      <c r="M169" s="1548"/>
      <c r="N169" s="2"/>
      <c r="R169" s="457"/>
    </row>
    <row r="170" spans="1:18" s="51" customFormat="1" ht="13.9" customHeight="1">
      <c r="A170" s="50"/>
      <c r="B170" s="57" t="s">
        <v>269</v>
      </c>
      <c r="C170" s="50"/>
      <c r="D170" s="56"/>
      <c r="E170" s="56"/>
      <c r="F170" s="56"/>
      <c r="G170" s="56"/>
      <c r="H170" s="44"/>
      <c r="I170" s="44"/>
      <c r="J170" s="100" t="s">
        <v>1997</v>
      </c>
      <c r="M170" s="54"/>
      <c r="N170" s="73"/>
      <c r="O170" s="4"/>
      <c r="P170" s="1161"/>
    </row>
    <row r="171" spans="1:18" s="51" customFormat="1" ht="12" customHeight="1">
      <c r="A171" s="2209"/>
      <c r="B171" s="2210"/>
      <c r="C171" s="2210"/>
      <c r="D171" s="2210"/>
      <c r="E171" s="2210"/>
      <c r="F171" s="2210"/>
      <c r="G171" s="2210"/>
      <c r="H171" s="2210"/>
      <c r="I171" s="2211"/>
      <c r="J171" s="1416"/>
      <c r="K171" s="1417"/>
      <c r="L171" s="1417"/>
      <c r="M171" s="1417"/>
      <c r="N171" s="1417"/>
      <c r="O171" s="1417"/>
      <c r="P171" s="1418"/>
      <c r="Q171" s="561" t="s">
        <v>1332</v>
      </c>
    </row>
    <row r="172" spans="1:18" s="51" customFormat="1" ht="6" customHeight="1">
      <c r="A172" s="50"/>
      <c r="C172" s="1162"/>
      <c r="D172" s="1162"/>
      <c r="E172" s="1162"/>
      <c r="F172" s="1162"/>
      <c r="G172" s="1162"/>
      <c r="H172" s="1162"/>
      <c r="I172" s="1162"/>
      <c r="J172" s="1162"/>
      <c r="K172" s="1162"/>
      <c r="L172" s="1162"/>
      <c r="M172" s="1162"/>
      <c r="N172" s="87"/>
      <c r="O172" s="83"/>
      <c r="P172" s="608"/>
    </row>
    <row r="173" spans="1:18" s="51" customFormat="1" ht="13.5" customHeight="1">
      <c r="A173" s="182" t="s">
        <v>1494</v>
      </c>
      <c r="B173" s="131" t="s">
        <v>1786</v>
      </c>
      <c r="D173" s="103"/>
      <c r="E173" s="103"/>
      <c r="G173" s="62"/>
      <c r="H173" s="62"/>
      <c r="I173" s="62"/>
      <c r="J173" s="64"/>
      <c r="K173" s="71"/>
      <c r="L173" s="457" t="str">
        <f>IF(OR($O173=$M173,$O173=0,$O173=""),"","* * Check Score! * *")</f>
        <v/>
      </c>
      <c r="M173" s="608">
        <v>1</v>
      </c>
      <c r="N173" s="481" t="str">
        <f>IF(OR($O173=$M173,$O173=0,$O173=""),"","***")</f>
        <v/>
      </c>
      <c r="O173" s="2324"/>
      <c r="P173" s="790"/>
      <c r="Q173" s="126" t="s">
        <v>463</v>
      </c>
    </row>
    <row r="174" spans="1:18" s="51" customFormat="1" ht="10.5" customHeight="1">
      <c r="B174" s="132" t="s">
        <v>3328</v>
      </c>
      <c r="D174" s="119"/>
      <c r="E174" s="103"/>
      <c r="F174" s="62"/>
      <c r="G174" s="62"/>
      <c r="H174" s="62"/>
      <c r="I174" s="61"/>
      <c r="O174" s="139" t="s">
        <v>2683</v>
      </c>
      <c r="P174" s="139" t="s">
        <v>2683</v>
      </c>
    </row>
    <row r="175" spans="1:18" s="117" customFormat="1" ht="10.5" customHeight="1">
      <c r="A175" s="165" t="s">
        <v>2119</v>
      </c>
      <c r="B175" s="160" t="s">
        <v>3531</v>
      </c>
      <c r="D175" s="138"/>
      <c r="E175" s="138"/>
      <c r="F175" s="138"/>
      <c r="J175" s="2357" t="s">
        <v>2695</v>
      </c>
      <c r="K175" s="2358"/>
      <c r="L175" s="2359"/>
      <c r="N175" s="592" t="s">
        <v>2119</v>
      </c>
      <c r="O175" s="2268"/>
      <c r="P175" s="795"/>
    </row>
    <row r="176" spans="1:18" s="117" customFormat="1" ht="10.5" customHeight="1">
      <c r="A176" s="165" t="s">
        <v>2122</v>
      </c>
      <c r="B176" s="160" t="s">
        <v>3532</v>
      </c>
      <c r="D176" s="138"/>
      <c r="E176" s="138"/>
      <c r="F176" s="138"/>
      <c r="G176" s="138"/>
      <c r="L176" s="138"/>
      <c r="M176" s="138"/>
      <c r="N176" s="592" t="s">
        <v>2122</v>
      </c>
      <c r="O176" s="2269"/>
      <c r="P176" s="796"/>
    </row>
    <row r="177" spans="1:18" s="117" customFormat="1" ht="10.5" customHeight="1">
      <c r="A177" s="165" t="s">
        <v>799</v>
      </c>
      <c r="B177" s="160" t="s">
        <v>3533</v>
      </c>
      <c r="D177" s="138"/>
      <c r="E177" s="138"/>
      <c r="F177" s="138"/>
      <c r="G177" s="138"/>
      <c r="H177" s="138"/>
      <c r="L177" s="138"/>
      <c r="M177" s="138"/>
      <c r="N177" s="592" t="s">
        <v>799</v>
      </c>
      <c r="O177" s="2269"/>
      <c r="P177" s="796"/>
    </row>
    <row r="178" spans="1:18" s="117" customFormat="1" ht="10.5" customHeight="1">
      <c r="A178" s="165" t="s">
        <v>2254</v>
      </c>
      <c r="B178" s="160" t="s">
        <v>3534</v>
      </c>
      <c r="D178" s="138"/>
      <c r="E178" s="138"/>
      <c r="F178" s="138"/>
      <c r="G178" s="138"/>
      <c r="H178" s="138"/>
      <c r="I178" s="138"/>
      <c r="J178" s="138"/>
      <c r="K178" s="138"/>
      <c r="L178" s="138"/>
      <c r="M178" s="138"/>
      <c r="N178" s="592" t="s">
        <v>2254</v>
      </c>
      <c r="O178" s="2270"/>
      <c r="P178" s="797"/>
    </row>
    <row r="179" spans="1:18" s="117" customFormat="1" ht="11.45" customHeight="1">
      <c r="A179" s="223" t="s">
        <v>3535</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1997</v>
      </c>
      <c r="M180" s="54"/>
      <c r="N180" s="73"/>
      <c r="O180" s="4"/>
      <c r="P180" s="1161"/>
    </row>
    <row r="181" spans="1:18" s="51" customFormat="1" ht="15.75">
      <c r="A181" s="2209"/>
      <c r="B181" s="2210"/>
      <c r="C181" s="2210"/>
      <c r="D181" s="2210"/>
      <c r="E181" s="2210"/>
      <c r="F181" s="2210"/>
      <c r="G181" s="2210"/>
      <c r="H181" s="2210"/>
      <c r="I181" s="2211"/>
      <c r="J181" s="1416"/>
      <c r="K181" s="1417"/>
      <c r="L181" s="1417"/>
      <c r="M181" s="1417"/>
      <c r="N181" s="1417"/>
      <c r="O181" s="1417"/>
      <c r="P181" s="1418"/>
      <c r="Q181" s="561" t="s">
        <v>1332</v>
      </c>
    </row>
    <row r="182" spans="1:18" ht="4.5" customHeight="1"/>
    <row r="183" spans="1:18" s="51" customFormat="1" ht="15">
      <c r="A183" s="182" t="s">
        <v>1785</v>
      </c>
      <c r="B183" s="131" t="s">
        <v>3331</v>
      </c>
      <c r="D183" s="103"/>
      <c r="E183" s="103"/>
      <c r="F183" s="62"/>
      <c r="G183" s="62"/>
      <c r="H183" s="62"/>
      <c r="I183" s="205" t="s">
        <v>3249</v>
      </c>
      <c r="J183" s="668"/>
      <c r="K183" s="74"/>
      <c r="L183" s="669" t="str">
        <f>'Part I-Project Information'!$H$85</f>
        <v>Flexible</v>
      </c>
      <c r="M183" s="4">
        <v>7</v>
      </c>
      <c r="N183" s="7"/>
      <c r="O183" s="76">
        <f>O190+O207+O209</f>
        <v>4</v>
      </c>
      <c r="P183" s="76">
        <f>P190+P207+P209</f>
        <v>0</v>
      </c>
      <c r="Q183" s="126" t="s">
        <v>463</v>
      </c>
    </row>
    <row r="184" spans="1:18" s="51" customFormat="1" ht="10.5" customHeight="1">
      <c r="A184" s="50"/>
      <c r="B184" s="132" t="s">
        <v>3545</v>
      </c>
      <c r="E184" s="103"/>
      <c r="F184" s="62"/>
      <c r="G184" s="62"/>
      <c r="H184" s="62"/>
      <c r="I184" s="62"/>
      <c r="J184" s="64"/>
      <c r="K184" s="71"/>
      <c r="L184" s="67"/>
      <c r="O184" s="139" t="s">
        <v>2683</v>
      </c>
      <c r="P184" s="139" t="s">
        <v>2683</v>
      </c>
    </row>
    <row r="185" spans="1:18" s="117" customFormat="1" ht="10.5" customHeight="1">
      <c r="B185" s="546" t="s">
        <v>2123</v>
      </c>
      <c r="C185" s="535" t="s">
        <v>3329</v>
      </c>
      <c r="E185" s="103"/>
      <c r="F185" s="62"/>
      <c r="G185" s="62"/>
      <c r="H185" s="62"/>
      <c r="I185" s="62"/>
      <c r="J185" s="64"/>
      <c r="K185" s="71"/>
      <c r="L185" s="67" t="str">
        <f>IF(M185&gt;14,"Over limit!","")</f>
        <v/>
      </c>
      <c r="N185" s="217" t="s">
        <v>2123</v>
      </c>
      <c r="O185" s="2268" t="s">
        <v>3702</v>
      </c>
      <c r="P185" s="795"/>
    </row>
    <row r="186" spans="1:18" s="117" customFormat="1" ht="10.5" customHeight="1">
      <c r="B186" s="546" t="s">
        <v>2125</v>
      </c>
      <c r="C186" s="117" t="s">
        <v>602</v>
      </c>
      <c r="N186" s="217" t="s">
        <v>2125</v>
      </c>
      <c r="O186" s="2269" t="s">
        <v>3702</v>
      </c>
      <c r="P186" s="796"/>
    </row>
    <row r="187" spans="1:18" s="117" customFormat="1" ht="10.5" customHeight="1">
      <c r="B187" s="546" t="s">
        <v>2709</v>
      </c>
      <c r="C187" s="117" t="s">
        <v>603</v>
      </c>
      <c r="N187" s="217" t="s">
        <v>2709</v>
      </c>
      <c r="O187" s="2269" t="s">
        <v>3702</v>
      </c>
      <c r="P187" s="796"/>
    </row>
    <row r="188" spans="1:18" s="117" customFormat="1" ht="10.5" customHeight="1">
      <c r="B188" s="546" t="s">
        <v>1301</v>
      </c>
      <c r="C188" s="117" t="s">
        <v>604</v>
      </c>
      <c r="N188" s="217" t="s">
        <v>1301</v>
      </c>
      <c r="O188" s="2269" t="s">
        <v>3702</v>
      </c>
      <c r="P188" s="796"/>
    </row>
    <row r="189" spans="1:18" s="117" customFormat="1" ht="10.5" customHeight="1">
      <c r="B189" s="546" t="s">
        <v>1302</v>
      </c>
      <c r="C189" s="117" t="s">
        <v>612</v>
      </c>
      <c r="N189" s="217" t="s">
        <v>1302</v>
      </c>
      <c r="O189" s="2270" t="s">
        <v>3702</v>
      </c>
      <c r="P189" s="797"/>
    </row>
    <row r="190" spans="1:18" s="51" customFormat="1" ht="11.25" customHeight="1">
      <c r="A190" s="165" t="s">
        <v>2119</v>
      </c>
      <c r="B190" s="223" t="s">
        <v>1974</v>
      </c>
      <c r="D190" s="48"/>
      <c r="E190" s="48"/>
      <c r="F190" s="40"/>
      <c r="G190" s="119"/>
      <c r="H190" s="119"/>
      <c r="I190" s="119"/>
      <c r="J190" s="48"/>
      <c r="K190" s="119"/>
      <c r="L190" s="40"/>
      <c r="M190" s="534">
        <v>4</v>
      </c>
      <c r="N190" s="592" t="s">
        <v>2119</v>
      </c>
      <c r="O190" s="179">
        <f>IF(AND($L183="Flexible",$I206&gt;=0.15), 4,IF(AND($L183="Flexible",$I206&gt;=0.1), 3,IF(AND($L183="Flexible",$I206&gt;=0.05), 2,IF(AND($L183="Flexible",$I206&gt;=0.02), 1,IF(AND($L183="Rural",$I206&gt;=0.1), 4,IF(AND($L183="Rural",$I206&gt;=0.05), 2,IF(AND($L183="Rural",$I206&gt;=0.02), 1,0)))))))</f>
        <v>3</v>
      </c>
      <c r="P190" s="179">
        <f>IF(AND($L183="Flexible",$L206&gt;=0.15), 4,IF(AND($L183="Flexible",$L206&gt;=0.1), 3,IF(AND($L183="Flexible",$L206&gt;=0.05), 2,IF(AND($L183="Flexible",$L206&gt;=0.02), 1,IF(AND($L183="Rural",$L206&gt;=0.1), 4,IF(AND($L183="Rural",$L206&gt;=0.05), 2,IF(AND($L183="Rural",$L206&gt;=0.02), 1,0)))))))</f>
        <v>0</v>
      </c>
    </row>
    <row r="191" spans="1:18" ht="10.5" customHeight="1">
      <c r="B191" s="451" t="s">
        <v>2123</v>
      </c>
      <c r="C191" s="551" t="s">
        <v>2820</v>
      </c>
      <c r="I191" s="1552" t="s">
        <v>2127</v>
      </c>
      <c r="J191" s="1552"/>
      <c r="L191" s="1170" t="s">
        <v>2127</v>
      </c>
      <c r="M191" s="189"/>
      <c r="N191" s="217" t="s">
        <v>2123</v>
      </c>
    </row>
    <row r="192" spans="1:18" s="51" customFormat="1" ht="10.5" customHeight="1">
      <c r="A192" s="218"/>
      <c r="B192" s="128"/>
      <c r="C192" s="452" t="s">
        <v>2601</v>
      </c>
      <c r="D192" s="44" t="s">
        <v>1580</v>
      </c>
      <c r="H192" s="65"/>
      <c r="I192" s="2360"/>
      <c r="J192" s="2361"/>
      <c r="K192" s="220"/>
      <c r="L192" s="801"/>
      <c r="M192" s="85"/>
      <c r="N192" s="452" t="s">
        <v>2601</v>
      </c>
      <c r="O192" s="2268" t="s">
        <v>3703</v>
      </c>
      <c r="P192" s="795"/>
      <c r="R192" s="457"/>
    </row>
    <row r="193" spans="1:18" ht="10.5" customHeight="1">
      <c r="A193" s="219"/>
      <c r="B193" s="94"/>
      <c r="C193" s="472" t="s">
        <v>2602</v>
      </c>
      <c r="D193" s="44" t="s">
        <v>1581</v>
      </c>
      <c r="H193" s="65"/>
      <c r="I193" s="2362"/>
      <c r="J193" s="2363"/>
      <c r="L193" s="802"/>
      <c r="M193" s="85"/>
      <c r="N193" s="472" t="s">
        <v>2602</v>
      </c>
      <c r="O193" s="2269" t="s">
        <v>3703</v>
      </c>
      <c r="P193" s="796"/>
      <c r="R193" s="457"/>
    </row>
    <row r="194" spans="1:18" ht="10.5" customHeight="1">
      <c r="B194" s="546"/>
      <c r="C194" s="452" t="s">
        <v>2603</v>
      </c>
      <c r="D194" s="44" t="s">
        <v>2819</v>
      </c>
      <c r="H194" s="65"/>
      <c r="I194" s="2362"/>
      <c r="J194" s="2363"/>
      <c r="L194" s="802"/>
      <c r="M194" s="85"/>
      <c r="N194" s="452" t="s">
        <v>2603</v>
      </c>
      <c r="O194" s="2269" t="s">
        <v>3703</v>
      </c>
      <c r="P194" s="796"/>
      <c r="R194" s="457"/>
    </row>
    <row r="195" spans="1:18" ht="10.5" customHeight="1">
      <c r="A195" s="219"/>
      <c r="B195" s="546"/>
      <c r="C195" s="452" t="s">
        <v>2604</v>
      </c>
      <c r="D195" s="44" t="s">
        <v>3330</v>
      </c>
      <c r="I195" s="2362"/>
      <c r="J195" s="2363"/>
      <c r="L195" s="802"/>
      <c r="M195" s="85"/>
      <c r="N195" s="452" t="s">
        <v>2604</v>
      </c>
      <c r="O195" s="2269" t="s">
        <v>3703</v>
      </c>
      <c r="P195" s="796"/>
      <c r="R195" s="457"/>
    </row>
    <row r="196" spans="1:18" s="51" customFormat="1" ht="10.5" customHeight="1">
      <c r="A196" s="218"/>
      <c r="B196" s="546"/>
      <c r="C196" s="472" t="s">
        <v>2605</v>
      </c>
      <c r="D196" s="44" t="s">
        <v>1582</v>
      </c>
      <c r="H196" s="65"/>
      <c r="I196" s="2362"/>
      <c r="J196" s="2363"/>
      <c r="K196" s="220"/>
      <c r="L196" s="802"/>
      <c r="M196" s="85"/>
      <c r="N196" s="472" t="s">
        <v>2605</v>
      </c>
      <c r="O196" s="2269" t="s">
        <v>3703</v>
      </c>
      <c r="P196" s="796"/>
      <c r="R196" s="457"/>
    </row>
    <row r="197" spans="1:18" ht="10.5" customHeight="1">
      <c r="B197" s="546"/>
      <c r="C197" s="452" t="s">
        <v>2621</v>
      </c>
      <c r="D197" s="44" t="s">
        <v>1583</v>
      </c>
      <c r="H197" s="65"/>
      <c r="I197" s="2362"/>
      <c r="J197" s="2363"/>
      <c r="L197" s="802"/>
      <c r="M197" s="85"/>
      <c r="N197" s="452" t="s">
        <v>2621</v>
      </c>
      <c r="O197" s="2269" t="s">
        <v>3703</v>
      </c>
      <c r="P197" s="796"/>
      <c r="R197" s="457"/>
    </row>
    <row r="198" spans="1:18" ht="10.5" customHeight="1">
      <c r="A198" s="219"/>
      <c r="B198" s="546"/>
      <c r="C198" s="452" t="s">
        <v>2622</v>
      </c>
      <c r="D198" s="44" t="s">
        <v>1584</v>
      </c>
      <c r="H198" s="65"/>
      <c r="I198" s="2362"/>
      <c r="J198" s="2363"/>
      <c r="L198" s="802"/>
      <c r="M198" s="85"/>
      <c r="N198" s="452" t="s">
        <v>2622</v>
      </c>
      <c r="O198" s="2269" t="s">
        <v>3703</v>
      </c>
      <c r="P198" s="796"/>
      <c r="R198" s="457"/>
    </row>
    <row r="199" spans="1:18" ht="10.5" customHeight="1">
      <c r="B199" s="546"/>
      <c r="C199" s="471" t="s">
        <v>2623</v>
      </c>
      <c r="D199" s="44" t="s">
        <v>2996</v>
      </c>
      <c r="H199" s="65"/>
      <c r="I199" s="2362"/>
      <c r="J199" s="2363"/>
      <c r="L199" s="802"/>
      <c r="M199" s="85"/>
      <c r="N199" s="471" t="s">
        <v>2623</v>
      </c>
      <c r="O199" s="2269" t="s">
        <v>3703</v>
      </c>
      <c r="P199" s="796"/>
      <c r="R199" s="457"/>
    </row>
    <row r="200" spans="1:18" ht="10.5" customHeight="1">
      <c r="A200" s="219"/>
      <c r="B200" s="546"/>
      <c r="C200" s="471" t="s">
        <v>2624</v>
      </c>
      <c r="D200" s="44" t="s">
        <v>3536</v>
      </c>
      <c r="H200" s="65"/>
      <c r="I200" s="2362"/>
      <c r="J200" s="2363"/>
      <c r="L200" s="802"/>
      <c r="M200" s="85"/>
      <c r="N200" s="471" t="s">
        <v>2624</v>
      </c>
      <c r="O200" s="2269" t="s">
        <v>3703</v>
      </c>
      <c r="P200" s="796"/>
      <c r="R200" s="457"/>
    </row>
    <row r="201" spans="1:18" ht="10.5" customHeight="1">
      <c r="A201" s="219"/>
      <c r="B201" s="546"/>
      <c r="C201" s="471" t="s">
        <v>2625</v>
      </c>
      <c r="D201" s="44" t="s">
        <v>3537</v>
      </c>
      <c r="H201" s="65"/>
      <c r="I201" s="2362"/>
      <c r="J201" s="2363"/>
      <c r="L201" s="802"/>
      <c r="M201" s="85"/>
      <c r="N201" s="471" t="s">
        <v>2625</v>
      </c>
      <c r="O201" s="2269" t="s">
        <v>3703</v>
      </c>
      <c r="P201" s="796"/>
      <c r="R201" s="457"/>
    </row>
    <row r="202" spans="1:18" ht="10.5" customHeight="1" thickBot="1">
      <c r="A202" s="219"/>
      <c r="B202" s="546"/>
      <c r="C202" s="714" t="s">
        <v>634</v>
      </c>
      <c r="D202" s="539" t="s">
        <v>3538</v>
      </c>
      <c r="E202" s="540"/>
      <c r="F202" s="540"/>
      <c r="G202" s="540"/>
      <c r="H202" s="713"/>
      <c r="I202" s="2364">
        <v>1150000</v>
      </c>
      <c r="J202" s="2365"/>
      <c r="K202" s="540"/>
      <c r="L202" s="803"/>
      <c r="M202" s="85"/>
      <c r="N202" s="471" t="s">
        <v>634</v>
      </c>
      <c r="O202" s="2270" t="s">
        <v>3702</v>
      </c>
      <c r="P202" s="797"/>
      <c r="R202" s="457"/>
    </row>
    <row r="203" spans="1:18" ht="10.5" customHeight="1" thickBot="1">
      <c r="A203" s="219"/>
      <c r="B203" s="546"/>
      <c r="D203" s="537" t="s">
        <v>2822</v>
      </c>
      <c r="H203" s="65"/>
      <c r="I203" s="2366">
        <f>SUM(I192:J202)</f>
        <v>1150000</v>
      </c>
      <c r="J203" s="2367"/>
      <c r="L203" s="804">
        <f>SUM($L192:$L202)</f>
        <v>0</v>
      </c>
      <c r="M203" s="542"/>
      <c r="N203" s="457"/>
      <c r="O203" s="457"/>
      <c r="P203" s="457"/>
      <c r="R203" s="457"/>
    </row>
    <row r="204" spans="1:18" s="51" customFormat="1" ht="3" customHeight="1">
      <c r="A204" s="50"/>
      <c r="B204" s="128"/>
      <c r="D204" s="47"/>
      <c r="E204" s="44"/>
      <c r="F204" s="608"/>
      <c r="G204" s="608"/>
      <c r="H204" s="608"/>
      <c r="I204" s="608"/>
      <c r="J204" s="38"/>
      <c r="K204" s="38"/>
      <c r="L204" s="38"/>
      <c r="M204" s="1167"/>
      <c r="N204" s="608"/>
      <c r="O204" s="1161"/>
      <c r="P204" s="4"/>
    </row>
    <row r="205" spans="1:18" ht="10.5" customHeight="1">
      <c r="B205" s="451" t="s">
        <v>2125</v>
      </c>
      <c r="C205" s="551" t="s">
        <v>2821</v>
      </c>
      <c r="D205" s="537" t="s">
        <v>2823</v>
      </c>
      <c r="I205" s="1556">
        <f>'Part IV-Uses of Funds'!$G$130</f>
        <v>10647197</v>
      </c>
      <c r="J205" s="1557"/>
      <c r="M205" s="189"/>
      <c r="N205" s="31"/>
      <c r="O205" s="31"/>
      <c r="P205" s="31"/>
    </row>
    <row r="206" spans="1:18" ht="10.5" customHeight="1">
      <c r="B206" s="217"/>
      <c r="C206" s="536"/>
      <c r="D206" s="549" t="s">
        <v>2824</v>
      </c>
      <c r="G206" s="543"/>
      <c r="H206" s="543"/>
      <c r="I206" s="1553">
        <f>IF($I205=0,0,$I203/$I205)</f>
        <v>0.10800964798528664</v>
      </c>
      <c r="J206" s="1554"/>
      <c r="L206" s="538">
        <f>IF($I205=0,0,$L203/$I205)</f>
        <v>0</v>
      </c>
      <c r="M206" s="189"/>
      <c r="N206" s="31"/>
      <c r="O206" s="31"/>
      <c r="P206" s="31"/>
    </row>
    <row r="207" spans="1:18" s="51" customFormat="1" ht="12.75" customHeight="1">
      <c r="A207" s="165" t="s">
        <v>2122</v>
      </c>
      <c r="B207" s="223" t="s">
        <v>2911</v>
      </c>
      <c r="D207" s="47"/>
      <c r="E207" s="44"/>
      <c r="F207" s="608"/>
      <c r="H207" s="44"/>
      <c r="I207" s="608"/>
      <c r="J207" s="38"/>
      <c r="K207" s="38"/>
      <c r="L207" s="38"/>
      <c r="M207" s="85">
        <v>1</v>
      </c>
      <c r="N207" s="592" t="s">
        <v>2122</v>
      </c>
      <c r="O207" s="2268">
        <v>1</v>
      </c>
      <c r="P207" s="786"/>
      <c r="Q207" s="473" t="s">
        <v>2948</v>
      </c>
    </row>
    <row r="208" spans="1:18" s="51" customFormat="1" ht="11.25" customHeight="1">
      <c r="A208" s="165"/>
      <c r="B208" s="62" t="s">
        <v>3332</v>
      </c>
      <c r="C208" s="62"/>
      <c r="D208" s="62"/>
      <c r="E208" s="62"/>
      <c r="F208" s="62"/>
      <c r="G208" s="62"/>
      <c r="H208" s="62"/>
      <c r="I208" s="62"/>
      <c r="J208" s="62"/>
      <c r="K208" s="62"/>
      <c r="L208" s="62"/>
      <c r="M208" s="62"/>
      <c r="N208" s="62"/>
      <c r="O208" s="2270" t="s">
        <v>3702</v>
      </c>
      <c r="P208" s="797"/>
    </row>
    <row r="209" spans="1:18" s="51" customFormat="1" ht="12.75" customHeight="1">
      <c r="A209" s="165" t="s">
        <v>799</v>
      </c>
      <c r="B209" s="223" t="s">
        <v>686</v>
      </c>
      <c r="D209" s="47"/>
      <c r="E209" s="44"/>
      <c r="F209" s="608"/>
      <c r="G209" s="608"/>
      <c r="H209" s="608"/>
      <c r="I209" s="608"/>
      <c r="J209" s="38"/>
      <c r="K209" s="38"/>
      <c r="L209" s="38"/>
      <c r="M209" s="534">
        <v>2</v>
      </c>
      <c r="N209" s="592" t="s">
        <v>799</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2892</v>
      </c>
      <c r="E210" s="541"/>
      <c r="I210" s="2368"/>
      <c r="J210" s="2369"/>
      <c r="K210" s="538">
        <f>IF($I210=0,0,$I210/$I205)</f>
        <v>0</v>
      </c>
      <c r="L210" s="805"/>
      <c r="M210" s="1549">
        <f>IF($L210=0,0,$L210/$I205)</f>
        <v>0</v>
      </c>
      <c r="N210" s="1550"/>
      <c r="O210" s="108"/>
      <c r="P210" s="108"/>
    </row>
    <row r="211" spans="1:18" s="51" customFormat="1" ht="10.5" customHeight="1">
      <c r="A211" s="218"/>
      <c r="B211" s="44" t="s">
        <v>3382</v>
      </c>
      <c r="E211" s="2264"/>
      <c r="F211" s="2265"/>
      <c r="G211" s="2265"/>
      <c r="H211" s="2265"/>
      <c r="I211" s="2265"/>
      <c r="J211" s="2266"/>
      <c r="K211" s="541" t="s">
        <v>1382</v>
      </c>
      <c r="L211" s="2370" t="s">
        <v>3333</v>
      </c>
      <c r="M211" s="2371"/>
      <c r="N211" s="2372"/>
    </row>
    <row r="212" spans="1:18" ht="11.25" customHeight="1">
      <c r="A212" s="219"/>
      <c r="B212" s="475" t="s">
        <v>2511</v>
      </c>
      <c r="D212" s="476"/>
      <c r="E212" s="2373"/>
      <c r="F212" s="2374"/>
      <c r="G212" s="2374"/>
      <c r="H212" s="2374"/>
      <c r="I212" s="2374"/>
      <c r="J212" s="2374"/>
      <c r="K212" s="2374"/>
      <c r="L212" s="2374"/>
      <c r="M212" s="2374"/>
      <c r="N212" s="2374"/>
      <c r="O212" s="2374"/>
      <c r="P212" s="2375"/>
    </row>
    <row r="213" spans="1:18" s="51" customFormat="1" ht="10.5" customHeight="1">
      <c r="A213" s="50"/>
      <c r="B213" s="57" t="s">
        <v>269</v>
      </c>
      <c r="C213" s="50"/>
      <c r="D213" s="56"/>
      <c r="E213" s="56"/>
      <c r="F213" s="56"/>
      <c r="G213" s="56"/>
      <c r="H213" s="44"/>
      <c r="I213" s="44"/>
      <c r="J213" s="44"/>
      <c r="K213" s="44"/>
      <c r="M213" s="54"/>
      <c r="N213" s="73"/>
      <c r="O213" s="4"/>
      <c r="P213" s="1161"/>
    </row>
    <row r="214" spans="1:18" s="51" customFormat="1" ht="183.75" customHeight="1">
      <c r="A214" s="2209" t="s">
        <v>3821</v>
      </c>
      <c r="B214" s="2210"/>
      <c r="C214" s="2210"/>
      <c r="D214" s="2210"/>
      <c r="E214" s="2210"/>
      <c r="F214" s="2210"/>
      <c r="G214" s="2210"/>
      <c r="H214" s="2210"/>
      <c r="I214" s="2210"/>
      <c r="J214" s="2210"/>
      <c r="K214" s="2210"/>
      <c r="L214" s="2210"/>
      <c r="M214" s="2210"/>
      <c r="N214" s="2210"/>
      <c r="O214" s="2210"/>
      <c r="P214" s="2211"/>
      <c r="Q214" s="561" t="s">
        <v>1332</v>
      </c>
    </row>
    <row r="215" spans="1:18" s="119" customFormat="1" ht="10.5" customHeight="1">
      <c r="A215" s="50"/>
      <c r="B215" s="114" t="s">
        <v>1997</v>
      </c>
      <c r="C215" s="115"/>
      <c r="D215" s="114"/>
      <c r="E215" s="225"/>
      <c r="F215" s="1156"/>
      <c r="G215" s="1156"/>
      <c r="H215" s="1156"/>
      <c r="I215" s="1156"/>
      <c r="J215" s="1156"/>
      <c r="K215" s="1156"/>
      <c r="L215" s="1156"/>
      <c r="M215" s="1156"/>
      <c r="N215" s="110"/>
      <c r="O215" s="224"/>
      <c r="P215" s="2"/>
      <c r="Q215" s="528"/>
    </row>
    <row r="216" spans="1:18" s="51" customFormat="1" ht="10.5" customHeight="1">
      <c r="A216" s="1416"/>
      <c r="B216" s="1417"/>
      <c r="C216" s="1417"/>
      <c r="D216" s="1417"/>
      <c r="E216" s="1417"/>
      <c r="F216" s="1417"/>
      <c r="G216" s="1417"/>
      <c r="H216" s="1417"/>
      <c r="I216" s="1417"/>
      <c r="J216" s="1417"/>
      <c r="K216" s="1417"/>
      <c r="L216" s="1417"/>
      <c r="M216" s="1417"/>
      <c r="N216" s="1417"/>
      <c r="O216" s="1417"/>
      <c r="P216" s="1418"/>
      <c r="Q216" s="561" t="s">
        <v>1332</v>
      </c>
    </row>
    <row r="217" spans="1:18" ht="3" customHeight="1"/>
    <row r="218" spans="1:18" s="51" customFormat="1" ht="15">
      <c r="A218" s="182" t="s">
        <v>1787</v>
      </c>
      <c r="B218" s="122" t="s">
        <v>1790</v>
      </c>
      <c r="C218" s="78"/>
      <c r="E218" s="49"/>
      <c r="G218" s="44"/>
      <c r="H218" s="44"/>
      <c r="I218" s="47"/>
      <c r="J218" s="56"/>
      <c r="K218" s="56"/>
      <c r="L218" s="457" t="str">
        <f>IF(OR($O218=$M218,$O218=0,$O218=""),"","* * Check Score! * *")</f>
        <v/>
      </c>
      <c r="M218" s="2">
        <v>3</v>
      </c>
      <c r="N218" s="119"/>
      <c r="O218" s="54"/>
      <c r="P218" s="790"/>
      <c r="Q218" s="126" t="s">
        <v>463</v>
      </c>
      <c r="R218" s="457"/>
    </row>
    <row r="219" spans="1:18" s="51" customFormat="1" ht="12" customHeight="1">
      <c r="A219" s="165" t="s">
        <v>2119</v>
      </c>
      <c r="B219" s="205" t="s">
        <v>2998</v>
      </c>
      <c r="D219" s="40"/>
      <c r="G219" s="65" t="s">
        <v>2505</v>
      </c>
      <c r="M219" s="85">
        <v>3</v>
      </c>
      <c r="N219" s="592" t="s">
        <v>2119</v>
      </c>
      <c r="O219" s="2268" t="s">
        <v>3703</v>
      </c>
      <c r="P219" s="795"/>
      <c r="R219" s="457"/>
    </row>
    <row r="220" spans="1:18" s="51" customFormat="1" ht="23.25" customHeight="1">
      <c r="A220" s="759" t="s">
        <v>1440</v>
      </c>
      <c r="B220" s="1504" t="s">
        <v>3601</v>
      </c>
      <c r="C220" s="1505"/>
      <c r="D220" s="1505"/>
      <c r="E220" s="1505"/>
      <c r="F220" s="1505"/>
      <c r="G220" s="1505"/>
      <c r="H220" s="1505"/>
      <c r="I220" s="1505"/>
      <c r="J220" s="1505"/>
      <c r="K220" s="1505"/>
      <c r="L220" s="1505"/>
      <c r="M220" s="54"/>
      <c r="N220" s="73"/>
      <c r="O220" s="2270" t="s">
        <v>1610</v>
      </c>
      <c r="P220" s="797"/>
    </row>
    <row r="221" spans="1:18" s="547" customFormat="1" ht="3" customHeight="1">
      <c r="B221" s="614"/>
      <c r="C221" s="1163"/>
      <c r="D221" s="1163"/>
      <c r="E221" s="1163"/>
      <c r="F221" s="1163"/>
      <c r="G221" s="1163"/>
      <c r="H221" s="1163"/>
      <c r="I221" s="1163"/>
      <c r="J221" s="1163"/>
      <c r="K221" s="1163"/>
      <c r="L221" s="1163"/>
      <c r="M221" s="1163"/>
      <c r="N221" s="1163"/>
      <c r="O221" s="1163"/>
      <c r="P221" s="1163"/>
    </row>
    <row r="222" spans="1:18" s="51" customFormat="1" ht="12" customHeight="1">
      <c r="A222" s="165" t="s">
        <v>2122</v>
      </c>
      <c r="B222" s="205" t="s">
        <v>2997</v>
      </c>
      <c r="D222" s="40"/>
      <c r="E222" s="40"/>
      <c r="F222" s="40"/>
      <c r="G222" s="205" t="s">
        <v>3249</v>
      </c>
      <c r="I222" s="823" t="str">
        <f>'Part I-Project Information'!$H$85</f>
        <v>Flexible</v>
      </c>
      <c r="R222" s="457"/>
    </row>
    <row r="223" spans="1:18" s="51" customFormat="1" ht="12" customHeight="1">
      <c r="A223" s="165"/>
      <c r="B223" s="65" t="s">
        <v>2505</v>
      </c>
      <c r="D223" s="40"/>
      <c r="M223" s="128">
        <v>3</v>
      </c>
      <c r="N223" s="592" t="s">
        <v>2122</v>
      </c>
      <c r="O223" s="2268" t="s">
        <v>3702</v>
      </c>
      <c r="P223" s="795"/>
      <c r="R223" s="457"/>
    </row>
    <row r="224" spans="1:18" s="51" customFormat="1" ht="23.25" customHeight="1">
      <c r="A224" s="759"/>
      <c r="B224" s="1504" t="s">
        <v>3601</v>
      </c>
      <c r="C224" s="1505"/>
      <c r="D224" s="1505"/>
      <c r="E224" s="1505"/>
      <c r="F224" s="1505"/>
      <c r="G224" s="1505"/>
      <c r="H224" s="1505"/>
      <c r="I224" s="1505"/>
      <c r="J224" s="1505"/>
      <c r="K224" s="1505"/>
      <c r="L224" s="1505"/>
      <c r="M224" s="54"/>
      <c r="N224" s="73"/>
      <c r="O224" s="2270" t="s">
        <v>3702</v>
      </c>
      <c r="P224" s="797"/>
    </row>
    <row r="225" spans="1:18" s="51" customFormat="1" ht="10.5" customHeight="1">
      <c r="A225" s="50"/>
      <c r="B225" s="57" t="s">
        <v>269</v>
      </c>
      <c r="C225" s="50"/>
      <c r="D225" s="56"/>
      <c r="E225" s="56"/>
      <c r="F225" s="56"/>
      <c r="G225" s="56"/>
      <c r="H225" s="44"/>
      <c r="I225" s="44"/>
      <c r="J225" s="44"/>
      <c r="K225" s="44"/>
      <c r="M225" s="54"/>
      <c r="N225" s="73"/>
      <c r="O225" s="4"/>
      <c r="P225" s="1161"/>
    </row>
    <row r="226" spans="1:18" s="51" customFormat="1" ht="163.5" customHeight="1">
      <c r="A226" s="2209" t="s">
        <v>3849</v>
      </c>
      <c r="B226" s="2210"/>
      <c r="C226" s="2210"/>
      <c r="D226" s="2210"/>
      <c r="E226" s="2210"/>
      <c r="F226" s="2210"/>
      <c r="G226" s="2210"/>
      <c r="H226" s="2210"/>
      <c r="I226" s="2210"/>
      <c r="J226" s="2210"/>
      <c r="K226" s="2210"/>
      <c r="L226" s="2210"/>
      <c r="M226" s="2210"/>
      <c r="N226" s="2210"/>
      <c r="O226" s="2210"/>
      <c r="P226" s="2211"/>
      <c r="Q226" s="561" t="s">
        <v>1332</v>
      </c>
    </row>
    <row r="227" spans="1:18" s="119" customFormat="1" ht="10.5" customHeight="1">
      <c r="A227" s="50"/>
      <c r="B227" s="114" t="s">
        <v>1997</v>
      </c>
      <c r="C227" s="115"/>
      <c r="D227" s="114"/>
      <c r="E227" s="225"/>
      <c r="F227" s="1156"/>
      <c r="G227" s="1156"/>
      <c r="H227" s="1156"/>
      <c r="I227" s="1156"/>
      <c r="J227" s="1156"/>
      <c r="K227" s="1156"/>
      <c r="L227" s="1156"/>
      <c r="M227" s="1156"/>
      <c r="N227" s="110"/>
      <c r="O227" s="224"/>
      <c r="P227" s="2"/>
      <c r="Q227" s="528"/>
    </row>
    <row r="228" spans="1:18" s="51" customFormat="1" ht="12" customHeight="1">
      <c r="A228" s="1416"/>
      <c r="B228" s="1417"/>
      <c r="C228" s="1417"/>
      <c r="D228" s="1417"/>
      <c r="E228" s="1417"/>
      <c r="F228" s="1417"/>
      <c r="G228" s="1417"/>
      <c r="H228" s="1417"/>
      <c r="I228" s="1417"/>
      <c r="J228" s="1417"/>
      <c r="K228" s="1417"/>
      <c r="L228" s="1417"/>
      <c r="M228" s="1417"/>
      <c r="N228" s="1417"/>
      <c r="O228" s="1417"/>
      <c r="P228" s="1418"/>
      <c r="Q228" s="561" t="s">
        <v>1332</v>
      </c>
    </row>
    <row r="229" spans="1:18" s="51" customFormat="1" ht="9" customHeight="1">
      <c r="A229" s="50"/>
      <c r="B229" s="50"/>
      <c r="C229" s="1162"/>
      <c r="D229" s="1162"/>
      <c r="E229" s="1162"/>
      <c r="F229" s="1162"/>
      <c r="G229" s="1162"/>
      <c r="H229" s="1162"/>
      <c r="I229" s="1162"/>
      <c r="J229" s="1162"/>
      <c r="K229" s="1162"/>
      <c r="L229" s="1162"/>
      <c r="M229" s="1162"/>
      <c r="N229" s="87"/>
      <c r="O229" s="83"/>
      <c r="P229" s="608"/>
    </row>
    <row r="230" spans="1:18" s="51" customFormat="1" ht="15">
      <c r="A230" s="183" t="s">
        <v>1788</v>
      </c>
      <c r="B230" s="130" t="s">
        <v>2971</v>
      </c>
      <c r="C230" s="102"/>
      <c r="D230" s="69"/>
      <c r="E230" s="62"/>
      <c r="J230" s="72"/>
      <c r="M230" s="2">
        <v>3</v>
      </c>
      <c r="N230" s="7"/>
      <c r="O230" s="89">
        <f>MIN($M230,O231+O235)</f>
        <v>0</v>
      </c>
      <c r="P230" s="89">
        <f>MIN($M230,P231+P235)</f>
        <v>0</v>
      </c>
      <c r="Q230" s="126" t="s">
        <v>463</v>
      </c>
    </row>
    <row r="231" spans="1:18" s="51" customFormat="1" ht="12" customHeight="1">
      <c r="A231" s="165" t="s">
        <v>2119</v>
      </c>
      <c r="B231" s="205" t="s">
        <v>3334</v>
      </c>
      <c r="D231" s="40"/>
      <c r="E231" s="40"/>
      <c r="F231" s="40"/>
      <c r="J231" s="556" t="s">
        <v>3546</v>
      </c>
      <c r="K231" s="720">
        <f>'Part VI-Revenues &amp; Expenses'!$I$57/'Part VI-Revenues &amp; Expenses'!$M$58</f>
        <v>7.2463768115942032E-2</v>
      </c>
      <c r="L231" s="616" t="str">
        <f>IF(OR($O231=$M231,$O231=0,$O231=""),"","* * Check Score! * *")</f>
        <v/>
      </c>
      <c r="M231" s="7">
        <v>3</v>
      </c>
      <c r="N231" s="592" t="s">
        <v>2119</v>
      </c>
      <c r="O231" s="2376">
        <v>0</v>
      </c>
      <c r="P231" s="806"/>
      <c r="Q231" s="473" t="s">
        <v>2948</v>
      </c>
      <c r="R231" s="126"/>
    </row>
    <row r="232" spans="1:18" s="504" customFormat="1" ht="33" customHeight="1">
      <c r="A232" s="170"/>
      <c r="B232" s="614" t="s">
        <v>2123</v>
      </c>
      <c r="C232" s="1462" t="s">
        <v>3335</v>
      </c>
      <c r="D232" s="1462"/>
      <c r="E232" s="1462"/>
      <c r="F232" s="1462"/>
      <c r="G232" s="1462"/>
      <c r="H232" s="1462"/>
      <c r="I232" s="1462"/>
      <c r="J232" s="1462"/>
      <c r="K232" s="1462"/>
      <c r="L232" s="1462"/>
      <c r="M232" s="1462"/>
      <c r="N232" s="474" t="s">
        <v>2123</v>
      </c>
      <c r="O232" s="2319"/>
      <c r="P232" s="1171"/>
      <c r="Q232" s="678"/>
      <c r="R232" s="667"/>
    </row>
    <row r="233" spans="1:18" s="547" customFormat="1" ht="34.5" customHeight="1">
      <c r="A233" s="759" t="s">
        <v>1440</v>
      </c>
      <c r="B233" s="614" t="s">
        <v>2125</v>
      </c>
      <c r="C233" s="1462" t="s">
        <v>3336</v>
      </c>
      <c r="D233" s="1462"/>
      <c r="E233" s="1462"/>
      <c r="F233" s="1462"/>
      <c r="G233" s="1462"/>
      <c r="H233" s="1462"/>
      <c r="I233" s="1462"/>
      <c r="J233" s="1462"/>
      <c r="K233" s="1462"/>
      <c r="L233" s="1462"/>
      <c r="M233" s="1462"/>
      <c r="N233" s="474" t="s">
        <v>2125</v>
      </c>
      <c r="O233" s="2270"/>
      <c r="P233" s="797"/>
    </row>
    <row r="234" spans="1:18" s="547" customFormat="1" ht="3" customHeight="1">
      <c r="B234" s="614"/>
      <c r="C234" s="1163"/>
      <c r="D234" s="1163"/>
      <c r="E234" s="1163"/>
      <c r="F234" s="1163"/>
      <c r="G234" s="1163"/>
      <c r="H234" s="1163"/>
      <c r="I234" s="1163"/>
      <c r="J234" s="1163"/>
      <c r="K234" s="1163"/>
      <c r="L234" s="1163"/>
      <c r="M234" s="1163"/>
      <c r="N234" s="1163"/>
      <c r="O234" s="1163"/>
      <c r="P234" s="1163"/>
    </row>
    <row r="235" spans="1:18" s="51" customFormat="1" ht="12" customHeight="1">
      <c r="A235" s="165" t="s">
        <v>2122</v>
      </c>
      <c r="B235" s="205" t="s">
        <v>2972</v>
      </c>
      <c r="D235" s="48"/>
      <c r="F235" s="44" t="s">
        <v>3337</v>
      </c>
      <c r="H235" s="2377" t="s">
        <v>3338</v>
      </c>
      <c r="I235" s="2378"/>
      <c r="J235" s="2378"/>
      <c r="K235" s="2379"/>
      <c r="L235" s="616" t="str">
        <f>IF(OR($O235=$M235,$O235=0,$O235=""),"","* * Check Score! * *")</f>
        <v/>
      </c>
      <c r="M235" s="7">
        <v>3</v>
      </c>
      <c r="N235" s="592" t="s">
        <v>2122</v>
      </c>
      <c r="O235" s="2323"/>
      <c r="P235" s="807"/>
      <c r="Q235" s="473" t="s">
        <v>2948</v>
      </c>
      <c r="R235" s="457"/>
    </row>
    <row r="236" spans="1:18" s="51" customFormat="1" ht="12" customHeight="1">
      <c r="A236" s="50"/>
      <c r="B236" s="57" t="s">
        <v>269</v>
      </c>
      <c r="C236" s="50"/>
      <c r="D236" s="56"/>
      <c r="E236" s="56"/>
      <c r="F236" s="56"/>
      <c r="G236" s="56"/>
      <c r="H236" s="44"/>
      <c r="I236" s="44"/>
      <c r="J236" s="44"/>
      <c r="K236" s="44"/>
      <c r="M236" s="54"/>
      <c r="N236" s="73"/>
      <c r="O236" s="4"/>
      <c r="P236" s="1161"/>
    </row>
    <row r="237" spans="1:18" s="51" customFormat="1" ht="12" customHeight="1">
      <c r="A237" s="2209"/>
      <c r="B237" s="2210"/>
      <c r="C237" s="2210"/>
      <c r="D237" s="2210"/>
      <c r="E237" s="2210"/>
      <c r="F237" s="2210"/>
      <c r="G237" s="2210"/>
      <c r="H237" s="2210"/>
      <c r="I237" s="2210"/>
      <c r="J237" s="2210"/>
      <c r="K237" s="2210"/>
      <c r="L237" s="2210"/>
      <c r="M237" s="2210"/>
      <c r="N237" s="2210"/>
      <c r="O237" s="2210"/>
      <c r="P237" s="2211"/>
      <c r="Q237" s="561" t="s">
        <v>1332</v>
      </c>
    </row>
    <row r="238" spans="1:18" s="51" customFormat="1" ht="12" customHeight="1">
      <c r="B238" s="100" t="s">
        <v>1997</v>
      </c>
      <c r="C238" s="115"/>
      <c r="D238" s="100"/>
      <c r="E238" s="116"/>
      <c r="F238" s="1162"/>
      <c r="G238" s="1162"/>
      <c r="H238" s="1162"/>
      <c r="I238" s="1162"/>
      <c r="J238" s="1162"/>
      <c r="K238" s="1162"/>
      <c r="L238" s="1162"/>
      <c r="M238" s="1162"/>
      <c r="N238" s="87"/>
      <c r="O238" s="83"/>
      <c r="P238" s="2"/>
      <c r="Q238" s="528"/>
    </row>
    <row r="239" spans="1:18" s="51" customFormat="1" ht="12" customHeight="1">
      <c r="A239" s="1416"/>
      <c r="B239" s="1417"/>
      <c r="C239" s="1417"/>
      <c r="D239" s="1417"/>
      <c r="E239" s="1417"/>
      <c r="F239" s="1417"/>
      <c r="G239" s="1417"/>
      <c r="H239" s="1417"/>
      <c r="I239" s="1417"/>
      <c r="J239" s="1417"/>
      <c r="K239" s="1417"/>
      <c r="L239" s="1417"/>
      <c r="M239" s="1417"/>
      <c r="N239" s="1417"/>
      <c r="O239" s="1417"/>
      <c r="P239" s="1418"/>
      <c r="Q239" s="561" t="s">
        <v>1332</v>
      </c>
    </row>
    <row r="240" spans="1:18" s="51" customFormat="1" ht="9" customHeight="1">
      <c r="A240" s="50"/>
      <c r="B240" s="50"/>
      <c r="C240" s="1162"/>
      <c r="D240" s="1162"/>
      <c r="E240" s="1162"/>
      <c r="F240" s="1162"/>
      <c r="G240" s="1162"/>
      <c r="H240" s="1162"/>
      <c r="I240" s="1162"/>
      <c r="J240" s="1162"/>
      <c r="K240" s="1162"/>
      <c r="L240" s="1162"/>
      <c r="M240" s="1162"/>
      <c r="N240" s="87"/>
      <c r="O240" s="83"/>
      <c r="P240" s="608"/>
    </row>
    <row r="241" spans="1:18" s="51" customFormat="1" ht="12" customHeight="1">
      <c r="A241" s="182" t="s">
        <v>1789</v>
      </c>
      <c r="B241" s="122" t="s">
        <v>2973</v>
      </c>
      <c r="D241" s="48"/>
      <c r="F241" s="38"/>
      <c r="G241" s="119"/>
      <c r="H241" s="72" t="s">
        <v>419</v>
      </c>
      <c r="K241" s="119"/>
      <c r="L241" s="44"/>
      <c r="M241" s="2">
        <v>2</v>
      </c>
      <c r="N241" s="592"/>
      <c r="O241" s="544">
        <f>MIN($M241,O242+O246)</f>
        <v>0</v>
      </c>
      <c r="P241" s="544">
        <f>MIN($M241,P242+P246)</f>
        <v>0</v>
      </c>
      <c r="Q241" s="126" t="s">
        <v>463</v>
      </c>
      <c r="R241" s="457" t="str">
        <f>IF(OR($O242=$M241,$O242=0,$O242=""),"","* * Check Score! * *")</f>
        <v/>
      </c>
    </row>
    <row r="242" spans="1:18" s="504" customFormat="1" ht="12.75" customHeight="1">
      <c r="A242" s="760" t="s">
        <v>2119</v>
      </c>
      <c r="B242" s="475" t="s">
        <v>3339</v>
      </c>
      <c r="D242" s="475"/>
      <c r="E242" s="2380" t="s">
        <v>3588</v>
      </c>
      <c r="F242" s="2381"/>
      <c r="G242" s="2381"/>
      <c r="H242" s="2382"/>
      <c r="J242" s="475" t="s">
        <v>3343</v>
      </c>
      <c r="L242" s="757">
        <f>'Part III-Sources of Funds'!$H$42</f>
        <v>0</v>
      </c>
      <c r="M242" s="505">
        <v>2</v>
      </c>
      <c r="N242" s="192" t="s">
        <v>2119</v>
      </c>
      <c r="O242" s="2323"/>
      <c r="P242" s="807"/>
      <c r="Q242" s="213" t="s">
        <v>2948</v>
      </c>
    </row>
    <row r="243" spans="1:18" s="504" customFormat="1" ht="12.75" customHeight="1">
      <c r="A243" s="503"/>
      <c r="B243" s="552"/>
      <c r="J243" s="475" t="s">
        <v>3342</v>
      </c>
      <c r="K243" s="475"/>
      <c r="L243" s="758">
        <f>'Part VI-Revenues &amp; Expenses'!$M$81</f>
        <v>0</v>
      </c>
      <c r="M243" s="505"/>
      <c r="N243" s="505"/>
      <c r="O243" s="505"/>
      <c r="P243" s="505"/>
      <c r="Q243" s="213"/>
    </row>
    <row r="244" spans="1:18" s="504" customFormat="1" ht="12.75" customHeight="1">
      <c r="A244" s="503"/>
      <c r="B244" s="552"/>
      <c r="F244" s="545"/>
      <c r="G244" s="60"/>
      <c r="H244" s="680"/>
      <c r="I244" s="755"/>
      <c r="J244" s="610" t="s">
        <v>3340</v>
      </c>
      <c r="L244" s="758">
        <f>'Part VI-Revenues &amp; Expenses'!$M$62</f>
        <v>69</v>
      </c>
      <c r="M244" s="505"/>
      <c r="N244" s="505"/>
      <c r="O244" s="505"/>
      <c r="P244" s="505"/>
      <c r="Q244" s="213"/>
    </row>
    <row r="245" spans="1:18" s="504" customFormat="1" ht="12.75" customHeight="1">
      <c r="A245" s="721" t="s">
        <v>1440</v>
      </c>
      <c r="B245" s="552"/>
      <c r="F245" s="545"/>
      <c r="G245" s="60"/>
      <c r="H245" s="680"/>
      <c r="I245" s="755"/>
      <c r="J245" s="756" t="s">
        <v>3341</v>
      </c>
      <c r="L245" s="679">
        <f>L243/L244</f>
        <v>0</v>
      </c>
      <c r="M245" s="505"/>
      <c r="N245" s="505"/>
      <c r="O245" s="505"/>
      <c r="P245" s="505"/>
      <c r="Q245" s="213"/>
    </row>
    <row r="246" spans="1:18" s="504" customFormat="1" ht="22.5" customHeight="1">
      <c r="A246" s="760" t="s">
        <v>2122</v>
      </c>
      <c r="B246" s="1459" t="s">
        <v>3015</v>
      </c>
      <c r="C246" s="1459"/>
      <c r="D246" s="1459"/>
      <c r="E246" s="1459"/>
      <c r="F246" s="1459"/>
      <c r="G246" s="1459"/>
      <c r="H246" s="1459"/>
      <c r="I246" s="1459"/>
      <c r="J246" s="1459"/>
      <c r="K246" s="1459"/>
      <c r="L246" s="1459"/>
      <c r="M246" s="505">
        <v>1</v>
      </c>
      <c r="N246" s="192" t="s">
        <v>2122</v>
      </c>
      <c r="O246" s="2323"/>
      <c r="P246" s="807"/>
      <c r="Q246" s="213" t="s">
        <v>2948</v>
      </c>
    </row>
    <row r="247" spans="1:18" s="51" customFormat="1" ht="12" customHeight="1">
      <c r="A247" s="50"/>
      <c r="B247" s="57" t="s">
        <v>269</v>
      </c>
      <c r="C247" s="50"/>
      <c r="D247" s="56"/>
      <c r="E247" s="56"/>
      <c r="F247" s="56"/>
      <c r="G247" s="56"/>
      <c r="H247" s="44"/>
      <c r="I247" s="44"/>
      <c r="J247" s="44"/>
      <c r="K247" s="44"/>
      <c r="M247" s="54"/>
      <c r="N247" s="73"/>
      <c r="O247" s="4"/>
      <c r="P247" s="1161"/>
    </row>
    <row r="248" spans="1:18" s="51" customFormat="1" ht="12" customHeight="1">
      <c r="A248" s="2209"/>
      <c r="B248" s="2210"/>
      <c r="C248" s="2210"/>
      <c r="D248" s="2210"/>
      <c r="E248" s="2210"/>
      <c r="F248" s="2210"/>
      <c r="G248" s="2210"/>
      <c r="H248" s="2210"/>
      <c r="I248" s="2210"/>
      <c r="J248" s="2210"/>
      <c r="K248" s="2210"/>
      <c r="L248" s="2210"/>
      <c r="M248" s="2210"/>
      <c r="N248" s="2210"/>
      <c r="O248" s="2210"/>
      <c r="P248" s="2211"/>
      <c r="Q248" s="561" t="s">
        <v>1332</v>
      </c>
    </row>
    <row r="249" spans="1:18" s="51" customFormat="1" ht="12" customHeight="1">
      <c r="B249" s="100" t="s">
        <v>1997</v>
      </c>
      <c r="C249" s="115"/>
      <c r="D249" s="100"/>
      <c r="E249" s="116"/>
      <c r="F249" s="1162"/>
      <c r="G249" s="1162"/>
      <c r="H249" s="1162"/>
      <c r="I249" s="1162"/>
      <c r="J249" s="1162"/>
      <c r="K249" s="1162"/>
      <c r="L249" s="1162"/>
      <c r="M249" s="1162"/>
      <c r="N249" s="87"/>
      <c r="O249" s="83"/>
      <c r="P249" s="2"/>
      <c r="Q249" s="528"/>
    </row>
    <row r="250" spans="1:18" s="51" customFormat="1" ht="12" customHeight="1">
      <c r="A250" s="1416"/>
      <c r="B250" s="1417"/>
      <c r="C250" s="1417"/>
      <c r="D250" s="1417"/>
      <c r="E250" s="1417"/>
      <c r="F250" s="1417"/>
      <c r="G250" s="1417"/>
      <c r="H250" s="1417"/>
      <c r="I250" s="1417"/>
      <c r="J250" s="1417"/>
      <c r="K250" s="1417"/>
      <c r="L250" s="1417"/>
      <c r="M250" s="1417"/>
      <c r="N250" s="1417"/>
      <c r="O250" s="1417"/>
      <c r="P250" s="1418"/>
      <c r="Q250" s="561" t="s">
        <v>1332</v>
      </c>
    </row>
    <row r="251" spans="1:18" s="51" customFormat="1" ht="3" customHeight="1">
      <c r="A251" s="50"/>
      <c r="B251" s="50"/>
      <c r="C251" s="1162"/>
      <c r="D251" s="1162"/>
      <c r="E251" s="1162"/>
      <c r="F251" s="1162"/>
      <c r="G251" s="1162"/>
      <c r="H251" s="1162"/>
      <c r="I251" s="1162"/>
      <c r="J251" s="1162"/>
      <c r="K251" s="1162"/>
      <c r="L251" s="1162"/>
      <c r="M251" s="1162"/>
      <c r="N251" s="87"/>
      <c r="O251" s="83"/>
      <c r="P251" s="608"/>
    </row>
    <row r="252" spans="1:18" s="51" customFormat="1" ht="12" customHeight="1">
      <c r="A252" s="183" t="s">
        <v>1791</v>
      </c>
      <c r="B252" s="123" t="s">
        <v>2825</v>
      </c>
      <c r="C252" s="64"/>
      <c r="D252" s="136"/>
      <c r="E252" s="136"/>
      <c r="I252" s="1160" t="s">
        <v>3540</v>
      </c>
      <c r="J252" s="49"/>
      <c r="K252" s="49"/>
      <c r="M252" s="715">
        <v>5</v>
      </c>
      <c r="P252" s="807"/>
      <c r="Q252" s="126" t="s">
        <v>463</v>
      </c>
    </row>
    <row r="253" spans="1:18" s="51" customFormat="1" ht="12" customHeight="1">
      <c r="A253" s="183"/>
      <c r="D253" s="1559" t="s">
        <v>3380</v>
      </c>
      <c r="E253" s="1559"/>
      <c r="F253" s="1558">
        <f>'Part IV-Uses of Funds'!J171</f>
        <v>720461</v>
      </c>
      <c r="G253" s="2083"/>
      <c r="M253" s="715"/>
      <c r="Q253" s="126"/>
    </row>
    <row r="254" spans="1:18" s="51" customFormat="1" ht="12" customHeight="1">
      <c r="A254" s="183"/>
      <c r="H254" s="49"/>
      <c r="I254" s="1160" t="s">
        <v>3539</v>
      </c>
      <c r="J254" s="49"/>
      <c r="K254" s="49"/>
      <c r="M254" s="85">
        <v>18</v>
      </c>
      <c r="N254" s="7"/>
      <c r="O254" s="749">
        <f>MIN($M254,(O255+O258+O261+O263+O266+O269))</f>
        <v>7</v>
      </c>
      <c r="P254" s="749">
        <f>MIN($M254,(P255+P258+P261+P263+P266+P269))</f>
        <v>0</v>
      </c>
      <c r="Q254" s="126"/>
    </row>
    <row r="255" spans="1:18" s="51" customFormat="1" ht="12" customHeight="1">
      <c r="A255" s="751"/>
      <c r="B255" s="686" t="s">
        <v>2119</v>
      </c>
      <c r="C255" s="1503" t="s">
        <v>3344</v>
      </c>
      <c r="D255" s="1503"/>
      <c r="E255" s="1503"/>
      <c r="F255" s="1503"/>
      <c r="G255" s="1503"/>
      <c r="H255" s="1503"/>
      <c r="I255" s="1503"/>
      <c r="J255" s="1503"/>
      <c r="K255" s="1503"/>
      <c r="L255" s="1503"/>
      <c r="M255" s="684">
        <v>6</v>
      </c>
      <c r="N255" s="754"/>
      <c r="O255" s="2383"/>
      <c r="P255" s="1506"/>
      <c r="Q255" s="213"/>
    </row>
    <row r="256" spans="1:18" s="504" customFormat="1" ht="36" customHeight="1">
      <c r="A256" s="721" t="s">
        <v>1440</v>
      </c>
      <c r="B256" s="170" t="s">
        <v>2122</v>
      </c>
      <c r="C256" s="1463" t="s">
        <v>3596</v>
      </c>
      <c r="D256" s="1463"/>
      <c r="E256" s="1463"/>
      <c r="F256" s="1463"/>
      <c r="G256" s="1463"/>
      <c r="H256" s="1463"/>
      <c r="I256" s="1463"/>
      <c r="J256" s="1463"/>
      <c r="K256" s="1463"/>
      <c r="L256" s="1463"/>
      <c r="M256" s="666">
        <v>5</v>
      </c>
      <c r="N256" s="682"/>
      <c r="O256" s="2384"/>
      <c r="P256" s="1507"/>
      <c r="Q256" s="213" t="s">
        <v>2948</v>
      </c>
    </row>
    <row r="257" spans="1:17" s="51" customFormat="1" ht="9" customHeight="1">
      <c r="A257" s="50"/>
      <c r="B257" s="50"/>
      <c r="C257" s="1162"/>
      <c r="D257" s="1162"/>
      <c r="E257" s="1162"/>
      <c r="F257" s="1162"/>
      <c r="G257" s="1162"/>
      <c r="H257" s="1162"/>
      <c r="I257" s="1162"/>
      <c r="J257" s="1162"/>
      <c r="K257" s="1162"/>
      <c r="L257" s="1162"/>
      <c r="M257" s="1162"/>
      <c r="N257" s="87"/>
      <c r="O257" s="83"/>
      <c r="P257" s="608"/>
    </row>
    <row r="258" spans="1:17" s="504" customFormat="1" ht="60" customHeight="1">
      <c r="A258" s="750"/>
      <c r="B258" s="683" t="s">
        <v>799</v>
      </c>
      <c r="C258" s="1551" t="s">
        <v>3346</v>
      </c>
      <c r="D258" s="1551"/>
      <c r="E258" s="1551"/>
      <c r="F258" s="1551"/>
      <c r="G258" s="1551"/>
      <c r="H258" s="1551"/>
      <c r="I258" s="1551"/>
      <c r="J258" s="1551"/>
      <c r="K258" s="1551"/>
      <c r="L258" s="1551"/>
      <c r="M258" s="684">
        <v>4</v>
      </c>
      <c r="N258" s="685"/>
      <c r="O258" s="2383">
        <v>2</v>
      </c>
      <c r="P258" s="1506"/>
      <c r="Q258" s="213" t="s">
        <v>2948</v>
      </c>
    </row>
    <row r="259" spans="1:17" s="504" customFormat="1" ht="34.5" customHeight="1">
      <c r="A259" s="721" t="s">
        <v>1440</v>
      </c>
      <c r="B259" s="745"/>
      <c r="C259" s="1463" t="s">
        <v>3345</v>
      </c>
      <c r="D259" s="1463"/>
      <c r="E259" s="1463"/>
      <c r="F259" s="1463"/>
      <c r="G259" s="1463"/>
      <c r="H259" s="1463"/>
      <c r="I259" s="1463"/>
      <c r="J259" s="1463"/>
      <c r="K259" s="1463"/>
      <c r="L259" s="1463"/>
      <c r="M259" s="746">
        <v>2</v>
      </c>
      <c r="N259" s="747"/>
      <c r="O259" s="2384"/>
      <c r="P259" s="1507"/>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08"/>
    </row>
    <row r="261" spans="1:17" s="504" customFormat="1" ht="23.25" customHeight="1">
      <c r="A261" s="750"/>
      <c r="B261" s="683" t="s">
        <v>2254</v>
      </c>
      <c r="C261" s="1551" t="s">
        <v>3347</v>
      </c>
      <c r="D261" s="1551"/>
      <c r="E261" s="1551"/>
      <c r="F261" s="1551"/>
      <c r="G261" s="1551"/>
      <c r="H261" s="1551"/>
      <c r="I261" s="1551"/>
      <c r="J261" s="1551"/>
      <c r="K261" s="1551"/>
      <c r="L261" s="1551"/>
      <c r="M261" s="684">
        <v>1</v>
      </c>
      <c r="N261" s="752"/>
      <c r="O261" s="2385">
        <v>1</v>
      </c>
      <c r="P261" s="808"/>
      <c r="Q261" s="213" t="s">
        <v>2948</v>
      </c>
    </row>
    <row r="262" spans="1:17" s="51" customFormat="1" ht="9" customHeight="1">
      <c r="A262" s="50"/>
      <c r="B262" s="50"/>
      <c r="C262" s="1162"/>
      <c r="D262" s="1162"/>
      <c r="E262" s="1162"/>
      <c r="F262" s="1162"/>
      <c r="G262" s="1162"/>
      <c r="H262" s="1162"/>
      <c r="I262" s="1162"/>
      <c r="J262" s="1162"/>
      <c r="K262" s="1162"/>
      <c r="L262" s="1162"/>
      <c r="M262" s="1162"/>
      <c r="N262" s="87"/>
      <c r="O262" s="83"/>
      <c r="P262" s="608"/>
    </row>
    <row r="263" spans="1:17" s="51" customFormat="1" ht="21.75" customHeight="1">
      <c r="A263" s="751"/>
      <c r="B263" s="683" t="s">
        <v>1857</v>
      </c>
      <c r="C263" s="1551" t="s">
        <v>3350</v>
      </c>
      <c r="D263" s="1551"/>
      <c r="E263" s="1551"/>
      <c r="F263" s="1551"/>
      <c r="G263" s="1551"/>
      <c r="H263" s="1551"/>
      <c r="I263" s="1551"/>
      <c r="J263" s="1551"/>
      <c r="K263" s="1551"/>
      <c r="L263" s="1551"/>
      <c r="M263" s="684">
        <v>2</v>
      </c>
      <c r="N263" s="687"/>
      <c r="O263" s="2383">
        <v>2</v>
      </c>
      <c r="P263" s="1506"/>
      <c r="Q263" s="213" t="s">
        <v>2948</v>
      </c>
    </row>
    <row r="264" spans="1:17" s="51" customFormat="1" ht="12" customHeight="1">
      <c r="A264" s="721" t="s">
        <v>1440</v>
      </c>
      <c r="B264" s="222"/>
      <c r="C264" s="1555" t="s">
        <v>3348</v>
      </c>
      <c r="D264" s="1555"/>
      <c r="E264" s="1555"/>
      <c r="F264" s="1555"/>
      <c r="G264" s="1555"/>
      <c r="H264" s="1555"/>
      <c r="I264" s="1555"/>
      <c r="J264" s="1555"/>
      <c r="K264" s="1555"/>
      <c r="L264" s="1555"/>
      <c r="M264" s="748">
        <v>1</v>
      </c>
      <c r="N264" s="136"/>
      <c r="O264" s="2384"/>
      <c r="P264" s="1507"/>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08"/>
    </row>
    <row r="266" spans="1:17" s="504" customFormat="1" ht="32.25" customHeight="1">
      <c r="A266" s="750"/>
      <c r="B266" s="683" t="s">
        <v>1858</v>
      </c>
      <c r="C266" s="1551" t="s">
        <v>3349</v>
      </c>
      <c r="D266" s="1551"/>
      <c r="E266" s="1551"/>
      <c r="F266" s="1551"/>
      <c r="G266" s="1551"/>
      <c r="H266" s="1551"/>
      <c r="I266" s="1551"/>
      <c r="J266" s="1551"/>
      <c r="K266" s="1551"/>
      <c r="L266" s="1551"/>
      <c r="M266" s="684">
        <v>3</v>
      </c>
      <c r="N266" s="752"/>
      <c r="O266" s="2383"/>
      <c r="P266" s="1506"/>
      <c r="Q266" s="213" t="s">
        <v>2948</v>
      </c>
    </row>
    <row r="267" spans="1:17" s="504" customFormat="1" ht="12.75" customHeight="1">
      <c r="A267" s="721" t="s">
        <v>1440</v>
      </c>
      <c r="B267" s="745"/>
      <c r="C267" s="1463" t="s">
        <v>3351</v>
      </c>
      <c r="D267" s="1463"/>
      <c r="E267" s="1463"/>
      <c r="F267" s="1463"/>
      <c r="G267" s="1463"/>
      <c r="H267" s="1463"/>
      <c r="I267" s="1463"/>
      <c r="J267" s="1463"/>
      <c r="K267" s="1463"/>
      <c r="L267" s="1463"/>
      <c r="M267" s="746">
        <v>1</v>
      </c>
      <c r="N267" s="747"/>
      <c r="O267" s="2384"/>
      <c r="P267" s="1507"/>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08"/>
    </row>
    <row r="269" spans="1:17" s="51" customFormat="1" ht="12" customHeight="1">
      <c r="A269" s="751"/>
      <c r="B269" s="686" t="s">
        <v>2082</v>
      </c>
      <c r="C269" s="1503" t="s">
        <v>3352</v>
      </c>
      <c r="D269" s="1503"/>
      <c r="E269" s="1503"/>
      <c r="F269" s="1503"/>
      <c r="G269" s="1503"/>
      <c r="H269" s="1503"/>
      <c r="I269" s="1503"/>
      <c r="J269" s="1503"/>
      <c r="K269" s="1503"/>
      <c r="L269" s="1503"/>
      <c r="M269" s="753">
        <v>2</v>
      </c>
      <c r="N269" s="754"/>
      <c r="O269" s="2385">
        <v>2</v>
      </c>
      <c r="P269" s="808"/>
      <c r="Q269" s="213" t="s">
        <v>2948</v>
      </c>
    </row>
    <row r="270" spans="1:17" s="51" customFormat="1" ht="9" customHeight="1">
      <c r="A270" s="58"/>
      <c r="B270" s="50"/>
      <c r="C270" s="1162"/>
      <c r="D270" s="1162"/>
      <c r="E270" s="1162"/>
      <c r="F270" s="1162"/>
      <c r="G270" s="1162"/>
      <c r="H270" s="1162"/>
      <c r="I270" s="1162"/>
      <c r="J270" s="1162"/>
      <c r="K270" s="1162"/>
      <c r="L270" s="1162"/>
      <c r="M270" s="1162"/>
      <c r="N270" s="87"/>
      <c r="O270" s="83"/>
      <c r="P270" s="608"/>
    </row>
    <row r="271" spans="1:17" s="51" customFormat="1" ht="12" customHeight="1">
      <c r="A271" s="50"/>
      <c r="B271" s="57" t="s">
        <v>269</v>
      </c>
      <c r="C271" s="50"/>
      <c r="D271" s="56"/>
      <c r="E271" s="56"/>
      <c r="F271" s="56"/>
      <c r="G271" s="56"/>
      <c r="H271" s="44"/>
      <c r="I271" s="44"/>
      <c r="J271" s="44"/>
      <c r="K271" s="44"/>
      <c r="M271" s="54"/>
      <c r="N271" s="73"/>
      <c r="O271" s="4"/>
      <c r="P271" s="1161"/>
    </row>
    <row r="272" spans="1:17" s="51" customFormat="1" ht="41.25" customHeight="1">
      <c r="A272" s="2209" t="s">
        <v>3822</v>
      </c>
      <c r="B272" s="2210"/>
      <c r="C272" s="2210"/>
      <c r="D272" s="2210"/>
      <c r="E272" s="2210"/>
      <c r="F272" s="2210"/>
      <c r="G272" s="2210"/>
      <c r="H272" s="2210"/>
      <c r="I272" s="2210"/>
      <c r="J272" s="2210"/>
      <c r="K272" s="2210"/>
      <c r="L272" s="2210"/>
      <c r="M272" s="2210"/>
      <c r="N272" s="2210"/>
      <c r="O272" s="2210"/>
      <c r="P272" s="2211"/>
      <c r="Q272" s="561" t="s">
        <v>1332</v>
      </c>
    </row>
    <row r="273" spans="1:19" s="51" customFormat="1" ht="11.25" customHeight="1">
      <c r="A273" s="50"/>
      <c r="B273" s="100" t="s">
        <v>1997</v>
      </c>
      <c r="C273" s="115"/>
      <c r="D273" s="100"/>
      <c r="E273" s="116"/>
      <c r="F273" s="1162"/>
      <c r="G273" s="1162"/>
      <c r="H273" s="1162"/>
      <c r="I273" s="1162"/>
      <c r="J273" s="1162"/>
      <c r="K273" s="1162"/>
      <c r="L273" s="1162"/>
      <c r="M273" s="1162"/>
      <c r="N273" s="87"/>
      <c r="O273" s="83"/>
      <c r="P273" s="2"/>
      <c r="Q273" s="528"/>
    </row>
    <row r="274" spans="1:19" s="51" customFormat="1" ht="39.75" customHeight="1">
      <c r="A274" s="1416"/>
      <c r="B274" s="1417"/>
      <c r="C274" s="1417"/>
      <c r="D274" s="1417"/>
      <c r="E274" s="1417"/>
      <c r="F274" s="1417"/>
      <c r="G274" s="1417"/>
      <c r="H274" s="1417"/>
      <c r="I274" s="1417"/>
      <c r="J274" s="1417"/>
      <c r="K274" s="1417"/>
      <c r="L274" s="1417"/>
      <c r="M274" s="1417"/>
      <c r="N274" s="1417"/>
      <c r="O274" s="1417"/>
      <c r="P274" s="1418"/>
      <c r="Q274" s="561" t="s">
        <v>1332</v>
      </c>
    </row>
    <row r="275" spans="1:19" s="51" customFormat="1" ht="3.75" customHeight="1">
      <c r="A275" s="50"/>
      <c r="C275" s="1162"/>
      <c r="D275" s="1162"/>
      <c r="E275" s="1162"/>
      <c r="F275" s="1162"/>
      <c r="G275" s="1162"/>
      <c r="H275" s="1162"/>
      <c r="I275" s="1162"/>
      <c r="J275" s="1162"/>
      <c r="K275" s="1162"/>
      <c r="L275" s="1162"/>
      <c r="M275" s="1162"/>
      <c r="N275" s="87"/>
      <c r="O275" s="83"/>
      <c r="P275" s="608"/>
    </row>
    <row r="276" spans="1:19" s="51" customFormat="1" ht="12" customHeight="1">
      <c r="A276" s="183" t="s">
        <v>3353</v>
      </c>
      <c r="B276" s="123" t="s">
        <v>3354</v>
      </c>
      <c r="C276" s="64"/>
      <c r="D276" s="136"/>
      <c r="E276" s="136"/>
      <c r="F276" s="49"/>
      <c r="G276" s="49"/>
      <c r="H276" s="49"/>
      <c r="I276" s="49"/>
      <c r="J276" s="49"/>
      <c r="K276" s="49"/>
      <c r="L276" s="49"/>
      <c r="M276" s="8">
        <v>1</v>
      </c>
      <c r="N276" s="217"/>
      <c r="O276" s="2324">
        <v>1</v>
      </c>
      <c r="P276" s="790"/>
      <c r="Q276" s="126" t="s">
        <v>463</v>
      </c>
      <c r="R276" s="213" t="s">
        <v>2948</v>
      </c>
    </row>
    <row r="277" spans="1:19" s="51" customFormat="1" ht="12" customHeight="1">
      <c r="B277" s="1560" t="s">
        <v>3599</v>
      </c>
      <c r="C277" s="1560"/>
      <c r="D277" s="1560"/>
      <c r="E277" s="1560"/>
      <c r="F277" s="1560"/>
      <c r="G277" s="1560"/>
      <c r="H277" s="1560"/>
      <c r="I277" s="1560"/>
      <c r="J277" s="1560"/>
      <c r="K277" s="1560"/>
      <c r="L277" s="1560"/>
      <c r="M277" s="1560"/>
      <c r="N277" s="1560"/>
      <c r="O277" s="2205" t="s">
        <v>3702</v>
      </c>
      <c r="P277" s="792"/>
      <c r="R277" s="457"/>
    </row>
    <row r="278" spans="1:19" s="51" customFormat="1" ht="1.5" customHeight="1">
      <c r="A278" s="165"/>
      <c r="B278" s="762"/>
      <c r="C278" s="762"/>
      <c r="D278" s="762"/>
      <c r="E278" s="762"/>
      <c r="F278" s="762"/>
      <c r="G278" s="762"/>
      <c r="H278" s="762"/>
      <c r="I278" s="762"/>
      <c r="J278" s="762"/>
      <c r="K278" s="762"/>
      <c r="L278" s="762"/>
      <c r="M278" s="762"/>
      <c r="R278" s="457"/>
    </row>
    <row r="279" spans="1:19" s="51" customFormat="1" ht="3" customHeight="1">
      <c r="A279" s="165"/>
      <c r="C279" s="1168"/>
      <c r="D279" s="1168"/>
      <c r="E279" s="1168"/>
      <c r="F279" s="457"/>
      <c r="H279" s="1168"/>
      <c r="I279" s="1168"/>
      <c r="J279" s="1168"/>
      <c r="K279" s="1168"/>
      <c r="L279" s="1168"/>
      <c r="M279" s="1168"/>
    </row>
    <row r="280" spans="1:19" s="51" customFormat="1" ht="26.25" customHeight="1">
      <c r="A280" s="165"/>
      <c r="B280" s="537" t="s">
        <v>3365</v>
      </c>
      <c r="C280" s="824"/>
      <c r="D280" s="2386" t="s">
        <v>3781</v>
      </c>
      <c r="E280" s="2387"/>
      <c r="F280" s="2387"/>
      <c r="G280" s="2388"/>
      <c r="H280" s="1164" t="s">
        <v>3367</v>
      </c>
      <c r="I280" s="2389" t="s">
        <v>3782</v>
      </c>
      <c r="J280" s="1169" t="s">
        <v>3366</v>
      </c>
      <c r="K280" s="2386" t="s">
        <v>3783</v>
      </c>
      <c r="L280" s="2387"/>
      <c r="M280" s="2387"/>
      <c r="N280" s="2387"/>
      <c r="O280" s="2388"/>
      <c r="P280" s="762"/>
    </row>
    <row r="281" spans="1:19" s="51" customFormat="1" ht="3" customHeight="1">
      <c r="A281" s="165"/>
      <c r="C281" s="1168"/>
      <c r="D281" s="1168"/>
      <c r="E281" s="1168"/>
      <c r="F281" s="457"/>
      <c r="H281" s="1168"/>
      <c r="I281" s="1168"/>
      <c r="J281" s="1168"/>
      <c r="K281" s="1168"/>
      <c r="L281" s="1168"/>
      <c r="N281" s="762"/>
      <c r="O281" s="762"/>
      <c r="P281" s="762"/>
    </row>
    <row r="282" spans="1:19" s="44" customFormat="1" ht="10.5" customHeight="1">
      <c r="A282" s="55"/>
      <c r="B282" s="1563" t="s">
        <v>3405</v>
      </c>
      <c r="C282" s="1563"/>
      <c r="D282" s="1564"/>
      <c r="E282" s="1561" t="s">
        <v>3364</v>
      </c>
      <c r="F282" s="1562"/>
      <c r="I282" s="1517" t="s">
        <v>3401</v>
      </c>
      <c r="J282" s="1518"/>
      <c r="M282" s="1565" t="s">
        <v>3406</v>
      </c>
      <c r="N282" s="1565"/>
      <c r="O282" s="1565"/>
      <c r="P282" s="1565"/>
      <c r="R282" s="119"/>
      <c r="S282" s="119"/>
    </row>
    <row r="283" spans="1:19" s="44" customFormat="1" ht="10.5" customHeight="1">
      <c r="A283" s="55"/>
      <c r="B283" s="539" t="s">
        <v>3403</v>
      </c>
      <c r="C283" s="360"/>
      <c r="D283" s="360"/>
      <c r="E283" s="773" t="s">
        <v>3359</v>
      </c>
      <c r="F283" s="774" t="s">
        <v>3360</v>
      </c>
      <c r="G283" s="1175" t="s">
        <v>3402</v>
      </c>
      <c r="I283" s="773" t="s">
        <v>3359</v>
      </c>
      <c r="J283" s="774" t="s">
        <v>3360</v>
      </c>
      <c r="K283" s="1175" t="s">
        <v>3402</v>
      </c>
      <c r="M283" s="1510" t="s">
        <v>3403</v>
      </c>
      <c r="N283" s="1510"/>
      <c r="O283" s="44" t="s">
        <v>3404</v>
      </c>
      <c r="P283" s="822" t="s">
        <v>3407</v>
      </c>
      <c r="R283" s="1175"/>
      <c r="S283" s="119"/>
    </row>
    <row r="284" spans="1:19" s="65" customFormat="1" ht="10.5" customHeight="1">
      <c r="A284" s="55"/>
      <c r="B284" s="532" t="s">
        <v>3355</v>
      </c>
      <c r="E284" s="2390">
        <v>0.12</v>
      </c>
      <c r="F284" s="2391">
        <v>0.88</v>
      </c>
      <c r="G284" s="706">
        <f>E284+F284</f>
        <v>1</v>
      </c>
      <c r="I284" s="2390">
        <v>0.54</v>
      </c>
      <c r="J284" s="2391">
        <v>0.4</v>
      </c>
      <c r="K284" s="706">
        <f>I284+J284</f>
        <v>0.94000000000000006</v>
      </c>
      <c r="M284" s="1494" t="str">
        <f>IF(AND(G284=0,K284=0),"n/a",IF(G284&gt;K284,"Yes", "No"))</f>
        <v>Yes</v>
      </c>
      <c r="N284" s="1511"/>
      <c r="O284" s="1514" t="str">
        <f>IF(AND(M284="n/a",M285="n/a",M286="n/a",M287="n/a",M288="n/a"),"n/a",IF(AND(M284="Yes",M285="Yes",M286="Yes",M287="Yes",M288="Yes"),"Yes",IF(OR(M284="No",M285="No",M286="No",M287="No",M288="No"), "No", "No")))</f>
        <v>Yes</v>
      </c>
      <c r="R284" s="51"/>
      <c r="S284" s="51"/>
    </row>
    <row r="285" spans="1:19" s="65" customFormat="1" ht="10.5" customHeight="1">
      <c r="A285" s="55"/>
      <c r="B285" s="532" t="s">
        <v>3361</v>
      </c>
      <c r="E285" s="2392">
        <v>0.34</v>
      </c>
      <c r="F285" s="2393">
        <v>0.66</v>
      </c>
      <c r="G285" s="707">
        <f>E285+F285</f>
        <v>1</v>
      </c>
      <c r="I285" s="2392">
        <v>0.54</v>
      </c>
      <c r="J285" s="2393">
        <v>0.35</v>
      </c>
      <c r="K285" s="707">
        <f>I285+J285</f>
        <v>0.89</v>
      </c>
      <c r="M285" s="1497" t="str">
        <f>IF(AND(G285=0,K285=0),"n/a",IF(G285&gt;K285,"Yes", "No"))</f>
        <v>Yes</v>
      </c>
      <c r="N285" s="1512"/>
      <c r="O285" s="1515"/>
      <c r="R285" s="51"/>
      <c r="S285" s="51"/>
    </row>
    <row r="286" spans="1:19" s="65" customFormat="1" ht="10.5" customHeight="1">
      <c r="A286" s="55"/>
      <c r="B286" s="532" t="s">
        <v>3356</v>
      </c>
      <c r="E286" s="2394">
        <v>0.26</v>
      </c>
      <c r="F286" s="2395">
        <v>0.66</v>
      </c>
      <c r="G286" s="707">
        <f>E286+F286</f>
        <v>0.92</v>
      </c>
      <c r="I286" s="2394">
        <v>0.4</v>
      </c>
      <c r="J286" s="2395">
        <v>0.41</v>
      </c>
      <c r="K286" s="707">
        <f>I286+J286</f>
        <v>0.81</v>
      </c>
      <c r="M286" s="1497" t="str">
        <f>IF(AND(G286=0,K286=0),"n/a",IF(G286&gt;K286,"Yes", "No"))</f>
        <v>Yes</v>
      </c>
      <c r="N286" s="1512"/>
      <c r="O286" s="1515"/>
      <c r="R286" s="51"/>
      <c r="S286" s="51"/>
    </row>
    <row r="287" spans="1:19" s="65" customFormat="1" ht="10.5" customHeight="1">
      <c r="A287" s="55"/>
      <c r="B287" s="532" t="s">
        <v>3357</v>
      </c>
      <c r="E287" s="2394">
        <v>0.42</v>
      </c>
      <c r="F287" s="2395">
        <v>0.55000000000000004</v>
      </c>
      <c r="G287" s="707">
        <f>E287+F287</f>
        <v>0.97</v>
      </c>
      <c r="I287" s="2394">
        <v>0.56999999999999995</v>
      </c>
      <c r="J287" s="2395">
        <v>0.24</v>
      </c>
      <c r="K287" s="707">
        <f>I287+J287</f>
        <v>0.80999999999999994</v>
      </c>
      <c r="M287" s="1497" t="str">
        <f>IF(AND(G287=0,K287=0),"n/a",IF(G287&gt;K287,"Yes", "No"))</f>
        <v>Yes</v>
      </c>
      <c r="N287" s="1512"/>
      <c r="O287" s="1515"/>
    </row>
    <row r="288" spans="1:19" s="65" customFormat="1" ht="10.5" customHeight="1">
      <c r="A288" s="55"/>
      <c r="B288" s="532" t="s">
        <v>3358</v>
      </c>
      <c r="E288" s="2396">
        <v>0.26</v>
      </c>
      <c r="F288" s="2397">
        <v>0.7</v>
      </c>
      <c r="G288" s="708">
        <f>E288+F288</f>
        <v>0.96</v>
      </c>
      <c r="I288" s="2396">
        <v>0.45</v>
      </c>
      <c r="J288" s="2397">
        <v>0.36</v>
      </c>
      <c r="K288" s="708">
        <f>I288+J288</f>
        <v>0.81</v>
      </c>
      <c r="M288" s="1501" t="str">
        <f>IF(AND(G288=0,K288=0),"n/a",IF(G288&gt;K288,"Yes", "No"))</f>
        <v>Yes</v>
      </c>
      <c r="N288" s="1513"/>
      <c r="O288" s="1516"/>
    </row>
    <row r="289" spans="1:19" s="65" customFormat="1" ht="3" customHeight="1">
      <c r="A289" s="55"/>
      <c r="B289" s="613"/>
      <c r="C289" s="1168"/>
      <c r="D289" s="1168"/>
      <c r="E289" s="777"/>
      <c r="F289" s="777"/>
      <c r="I289" s="777"/>
      <c r="J289" s="777"/>
      <c r="R289" s="51"/>
      <c r="S289" s="51"/>
    </row>
    <row r="290" spans="1:19" s="65" customFormat="1" ht="10.5" customHeight="1">
      <c r="A290" s="55"/>
      <c r="B290" s="1174" t="s">
        <v>3355</v>
      </c>
      <c r="C290" s="509"/>
      <c r="D290" s="509"/>
      <c r="E290" s="764"/>
      <c r="F290" s="765"/>
      <c r="G290" s="706">
        <f>E290+F290</f>
        <v>0</v>
      </c>
      <c r="I290" s="764"/>
      <c r="J290" s="765"/>
      <c r="K290" s="706">
        <f>I290+J290</f>
        <v>0</v>
      </c>
      <c r="M290" s="1494" t="str">
        <f>IF(AND(G290=0,K290=0),"n/a",IF(G290&gt;K290,"Yes", "No"))</f>
        <v>n/a</v>
      </c>
      <c r="N290" s="1511"/>
      <c r="O290" s="1514" t="str">
        <f>IF(AND(M290="n/a",M291="n/a",M292="n/a",M293="n/a",M294="n/a"),"n/a",IF(AND(M290="Yes",M291="Yes",M292="Yes",M293="Yes",M294="Yes"),"Yes",IF(OR(M290="No",M291="No",M292="No",M293="No",M294="No"), "No", "No")))</f>
        <v>n/a</v>
      </c>
      <c r="R290" s="51"/>
      <c r="S290" s="51"/>
    </row>
    <row r="291" spans="1:19" s="65" customFormat="1" ht="10.5" customHeight="1">
      <c r="A291" s="55"/>
      <c r="B291" s="1174" t="s">
        <v>3361</v>
      </c>
      <c r="C291" s="509"/>
      <c r="D291" s="509"/>
      <c r="E291" s="766"/>
      <c r="F291" s="767"/>
      <c r="G291" s="707">
        <f>E291+F291</f>
        <v>0</v>
      </c>
      <c r="I291" s="766"/>
      <c r="J291" s="767"/>
      <c r="K291" s="707">
        <f>I291+J291</f>
        <v>0</v>
      </c>
      <c r="M291" s="1497" t="str">
        <f>IF(AND(G291=0,K291=0),"n/a",IF(G291&gt;K291,"Yes", "No"))</f>
        <v>n/a</v>
      </c>
      <c r="N291" s="1512"/>
      <c r="O291" s="1515"/>
      <c r="R291" s="51"/>
      <c r="S291" s="51"/>
    </row>
    <row r="292" spans="1:19" s="65" customFormat="1" ht="10.5" customHeight="1">
      <c r="A292" s="55"/>
      <c r="B292" s="1174" t="s">
        <v>3356</v>
      </c>
      <c r="C292" s="509"/>
      <c r="D292" s="509"/>
      <c r="E292" s="768"/>
      <c r="F292" s="769"/>
      <c r="G292" s="707">
        <f>E292+F292</f>
        <v>0</v>
      </c>
      <c r="I292" s="768"/>
      <c r="J292" s="769"/>
      <c r="K292" s="707">
        <f>I292+J292</f>
        <v>0</v>
      </c>
      <c r="M292" s="1497" t="str">
        <f>IF(AND(G292=0,K292=0),"n/a",IF(G292&gt;K292,"Yes", "No"))</f>
        <v>n/a</v>
      </c>
      <c r="N292" s="1512"/>
      <c r="O292" s="1515"/>
      <c r="P292" s="502"/>
      <c r="R292" s="51"/>
      <c r="S292" s="51"/>
    </row>
    <row r="293" spans="1:19" s="65" customFormat="1" ht="10.5" customHeight="1">
      <c r="A293" s="55"/>
      <c r="B293" s="1174" t="s">
        <v>3357</v>
      </c>
      <c r="C293" s="509"/>
      <c r="D293" s="509"/>
      <c r="E293" s="768"/>
      <c r="F293" s="769"/>
      <c r="G293" s="707">
        <f>E293+F293</f>
        <v>0</v>
      </c>
      <c r="I293" s="768"/>
      <c r="J293" s="769"/>
      <c r="K293" s="707">
        <f>I293+J293</f>
        <v>0</v>
      </c>
      <c r="M293" s="1497" t="str">
        <f>IF(AND(G293=0,K293=0),"n/a",IF(G293&gt;K293,"Yes", "No"))</f>
        <v>n/a</v>
      </c>
      <c r="N293" s="1512"/>
      <c r="O293" s="1515"/>
      <c r="R293" s="51"/>
      <c r="S293" s="51"/>
    </row>
    <row r="294" spans="1:19" s="65" customFormat="1" ht="10.5" customHeight="1">
      <c r="A294" s="55"/>
      <c r="B294" s="1174" t="s">
        <v>3358</v>
      </c>
      <c r="C294" s="509"/>
      <c r="D294" s="509"/>
      <c r="E294" s="770"/>
      <c r="F294" s="771"/>
      <c r="G294" s="708">
        <f>E294+F294</f>
        <v>0</v>
      </c>
      <c r="I294" s="770"/>
      <c r="J294" s="771"/>
      <c r="K294" s="708">
        <f>I294+J294</f>
        <v>0</v>
      </c>
      <c r="M294" s="1501" t="str">
        <f>IF(AND(G294=0,K294=0),"n/a",IF(G294&gt;K294,"Yes", "No"))</f>
        <v>n/a</v>
      </c>
      <c r="N294" s="1513"/>
      <c r="O294" s="1516"/>
      <c r="R294" s="51"/>
      <c r="S294" s="51"/>
    </row>
    <row r="295" spans="1:19" s="51" customFormat="1" ht="7.5" customHeight="1">
      <c r="A295" s="165"/>
      <c r="C295" s="1168"/>
      <c r="D295" s="1168"/>
      <c r="E295" s="1168"/>
      <c r="F295" s="1168"/>
      <c r="I295" s="1168"/>
      <c r="J295" s="1168"/>
      <c r="P295" s="159"/>
    </row>
    <row r="296" spans="1:19" s="44" customFormat="1" ht="10.5" customHeight="1">
      <c r="A296" s="55"/>
      <c r="B296" s="775"/>
      <c r="C296" s="775"/>
      <c r="D296" s="775"/>
      <c r="E296" s="1499" t="s">
        <v>3362</v>
      </c>
      <c r="F296" s="1500"/>
      <c r="G296" s="776"/>
      <c r="H296" s="776"/>
      <c r="I296" s="1499" t="s">
        <v>3401</v>
      </c>
      <c r="J296" s="1500"/>
      <c r="K296" s="776"/>
      <c r="P296" s="159"/>
      <c r="R296" s="119"/>
      <c r="S296" s="119"/>
    </row>
    <row r="297" spans="1:19" s="65" customFormat="1" ht="10.5" customHeight="1">
      <c r="A297" s="55"/>
      <c r="B297" s="1174" t="s">
        <v>3355</v>
      </c>
      <c r="C297" s="509"/>
      <c r="D297" s="509"/>
      <c r="E297" s="2390">
        <v>0.2</v>
      </c>
      <c r="F297" s="2391">
        <v>0.77</v>
      </c>
      <c r="G297" s="706">
        <f>E297+F297</f>
        <v>0.97</v>
      </c>
      <c r="H297" s="772"/>
      <c r="I297" s="2390">
        <v>0.5</v>
      </c>
      <c r="J297" s="2391">
        <v>0.38</v>
      </c>
      <c r="K297" s="706">
        <f>I297+J297</f>
        <v>0.88</v>
      </c>
      <c r="M297" s="1494" t="str">
        <f>IF(AND(G297=0,K297=0),"n/a",IF(G297&gt;K297,"Yes", "No"))</f>
        <v>Yes</v>
      </c>
      <c r="N297" s="1495"/>
      <c r="O297" s="1496" t="str">
        <f>IF(AND(M297="n/a",M298="n/a",M299="n/a",M300="n/a",M301="n/a"),"n/a",IF(AND(M297="Yes",M298="Yes",M299="Yes",M300="Yes",M301="Yes"),"Yes",IF(OR(M297="No",M298="No",M299="No",M300="No",M301="No"), "No", "No")))</f>
        <v>Yes</v>
      </c>
      <c r="P297" s="1508"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174" t="s">
        <v>3361</v>
      </c>
      <c r="C298" s="509"/>
      <c r="D298" s="509"/>
      <c r="E298" s="2392">
        <v>0.33</v>
      </c>
      <c r="F298" s="2393">
        <v>0.64</v>
      </c>
      <c r="G298" s="707">
        <f>E298+F298</f>
        <v>0.97</v>
      </c>
      <c r="I298" s="2392">
        <v>0.54</v>
      </c>
      <c r="J298" s="2393">
        <v>0.34</v>
      </c>
      <c r="K298" s="707">
        <f>I298+J298</f>
        <v>0.88000000000000012</v>
      </c>
      <c r="M298" s="1497" t="str">
        <f>IF(AND(G298=0,K298=0),"n/a",IF(G298&gt;K298,"Yes", "No"))</f>
        <v>Yes</v>
      </c>
      <c r="N298" s="1498"/>
      <c r="O298" s="1496"/>
      <c r="P298" s="1508"/>
      <c r="R298" s="51"/>
      <c r="S298" s="51"/>
    </row>
    <row r="299" spans="1:19" s="65" customFormat="1" ht="10.5" customHeight="1">
      <c r="A299" s="55"/>
      <c r="B299" s="1174" t="s">
        <v>3356</v>
      </c>
      <c r="C299" s="509"/>
      <c r="D299" s="509"/>
      <c r="E299" s="2394">
        <v>0.3</v>
      </c>
      <c r="F299" s="2395">
        <v>0.61</v>
      </c>
      <c r="G299" s="707">
        <f>E299+F299</f>
        <v>0.90999999999999992</v>
      </c>
      <c r="I299" s="2394">
        <v>0.45</v>
      </c>
      <c r="J299" s="2395">
        <v>0.36</v>
      </c>
      <c r="K299" s="707">
        <f>I299+J299</f>
        <v>0.81</v>
      </c>
      <c r="M299" s="1497" t="str">
        <f>IF(AND(G299=0,K299=0),"n/a",IF(G299&gt;K299,"Yes", "No"))</f>
        <v>Yes</v>
      </c>
      <c r="N299" s="1498"/>
      <c r="O299" s="1496"/>
      <c r="P299" s="1508"/>
      <c r="R299" s="51"/>
      <c r="S299" s="51"/>
    </row>
    <row r="300" spans="1:19" s="65" customFormat="1" ht="10.5" customHeight="1">
      <c r="A300" s="55"/>
      <c r="B300" s="1174" t="s">
        <v>3357</v>
      </c>
      <c r="C300" s="509"/>
      <c r="D300" s="509"/>
      <c r="E300" s="2394">
        <v>0.4</v>
      </c>
      <c r="F300" s="2395">
        <v>0.54</v>
      </c>
      <c r="G300" s="707">
        <f>E300+F300</f>
        <v>0.94000000000000006</v>
      </c>
      <c r="I300" s="2394">
        <v>0.56000000000000005</v>
      </c>
      <c r="J300" s="2395">
        <v>0.22</v>
      </c>
      <c r="K300" s="707">
        <f>I300+J300</f>
        <v>0.78</v>
      </c>
      <c r="M300" s="1497" t="str">
        <f>IF(AND(G300=0,K300=0),"n/a",IF(G300&gt;K300,"Yes", "No"))</f>
        <v>Yes</v>
      </c>
      <c r="N300" s="1498"/>
      <c r="O300" s="1496"/>
      <c r="P300" s="1508"/>
      <c r="R300" s="51"/>
      <c r="S300" s="51"/>
    </row>
    <row r="301" spans="1:19" s="65" customFormat="1" ht="10.5" customHeight="1">
      <c r="A301" s="55"/>
      <c r="B301" s="1174" t="s">
        <v>3358</v>
      </c>
      <c r="C301" s="509"/>
      <c r="D301" s="509"/>
      <c r="E301" s="2396">
        <v>0.2</v>
      </c>
      <c r="F301" s="2397">
        <v>0.72</v>
      </c>
      <c r="G301" s="708">
        <f>E301+F301</f>
        <v>0.91999999999999993</v>
      </c>
      <c r="I301" s="2396">
        <v>0.4</v>
      </c>
      <c r="J301" s="2397">
        <v>0.39</v>
      </c>
      <c r="K301" s="708">
        <f>I301+J301</f>
        <v>0.79</v>
      </c>
      <c r="M301" s="1501" t="str">
        <f>IF(AND(G301=0,K301=0),"n/a",IF(G301&gt;K301,"Yes", "No"))</f>
        <v>Yes</v>
      </c>
      <c r="N301" s="1502"/>
      <c r="O301" s="1496"/>
      <c r="P301" s="1508"/>
      <c r="R301" s="51"/>
      <c r="S301" s="51"/>
    </row>
    <row r="302" spans="1:19" s="65" customFormat="1" ht="3" customHeight="1">
      <c r="A302" s="55"/>
      <c r="B302" s="709"/>
      <c r="C302" s="710"/>
      <c r="D302" s="509"/>
      <c r="E302" s="777"/>
      <c r="F302" s="777"/>
      <c r="I302" s="777"/>
      <c r="J302" s="777"/>
      <c r="P302" s="159"/>
      <c r="R302" s="51"/>
      <c r="S302" s="51"/>
    </row>
    <row r="303" spans="1:19" s="65" customFormat="1" ht="10.5" customHeight="1">
      <c r="A303" s="55"/>
      <c r="B303" s="1174" t="s">
        <v>3355</v>
      </c>
      <c r="C303" s="509"/>
      <c r="D303" s="509"/>
      <c r="E303" s="764"/>
      <c r="F303" s="765"/>
      <c r="G303" s="706">
        <f>E303+F303</f>
        <v>0</v>
      </c>
      <c r="I303" s="764"/>
      <c r="J303" s="765"/>
      <c r="K303" s="706">
        <f>I303+J303</f>
        <v>0</v>
      </c>
      <c r="M303" s="1494" t="str">
        <f>IF(AND(G303=0,K303=0),"n/a",IF(G303&gt;K303,"Yes", "No"))</f>
        <v>n/a</v>
      </c>
      <c r="N303" s="1495"/>
      <c r="O303" s="1496" t="str">
        <f>IF(AND(M303="n/a",M304="n/a",M305="n/a",M306="n/a",M307="n/a"),"n/a",IF(AND(M303="Yes",M304="Yes",M305="Yes",M306="Yes",M307="Yes"),"Yes",IF(OR(M303="No",M304="No",M305="No",M306="No",M307="No"), "No", "No")))</f>
        <v>n/a</v>
      </c>
      <c r="P303" s="15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4" t="s">
        <v>3361</v>
      </c>
      <c r="C304" s="509"/>
      <c r="D304" s="509"/>
      <c r="E304" s="766"/>
      <c r="F304" s="767"/>
      <c r="G304" s="707">
        <f>E304+F304</f>
        <v>0</v>
      </c>
      <c r="I304" s="766"/>
      <c r="J304" s="767"/>
      <c r="K304" s="707">
        <f>I304+J304</f>
        <v>0</v>
      </c>
      <c r="M304" s="1497" t="str">
        <f>IF(AND(G304=0,K304=0),"n/a",IF(G304&gt;K304,"Yes", "No"))</f>
        <v>n/a</v>
      </c>
      <c r="N304" s="1498"/>
      <c r="O304" s="1496"/>
      <c r="P304" s="1508"/>
      <c r="R304" s="51"/>
      <c r="S304" s="51"/>
    </row>
    <row r="305" spans="1:19" s="65" customFormat="1" ht="10.5" customHeight="1">
      <c r="A305" s="55"/>
      <c r="B305" s="1174" t="s">
        <v>3356</v>
      </c>
      <c r="C305" s="509"/>
      <c r="D305" s="509"/>
      <c r="E305" s="768"/>
      <c r="F305" s="769"/>
      <c r="G305" s="707">
        <f>E305+F305</f>
        <v>0</v>
      </c>
      <c r="I305" s="768"/>
      <c r="J305" s="769"/>
      <c r="K305" s="707">
        <f>I305+J305</f>
        <v>0</v>
      </c>
      <c r="M305" s="1497" t="str">
        <f>IF(AND(G305=0,K305=0),"n/a",IF(G305&gt;K305,"Yes", "No"))</f>
        <v>n/a</v>
      </c>
      <c r="N305" s="1498"/>
      <c r="O305" s="1496"/>
      <c r="P305" s="1508"/>
      <c r="R305" s="51"/>
      <c r="S305" s="51"/>
    </row>
    <row r="306" spans="1:19" s="65" customFormat="1" ht="10.5" customHeight="1">
      <c r="A306" s="55"/>
      <c r="B306" s="1174" t="s">
        <v>3357</v>
      </c>
      <c r="C306" s="509"/>
      <c r="D306" s="509"/>
      <c r="E306" s="768"/>
      <c r="F306" s="769"/>
      <c r="G306" s="707">
        <f>E306+F306</f>
        <v>0</v>
      </c>
      <c r="I306" s="768"/>
      <c r="J306" s="769"/>
      <c r="K306" s="707">
        <f>I306+J306</f>
        <v>0</v>
      </c>
      <c r="M306" s="1497" t="str">
        <f>IF(AND(G306=0,K306=0),"n/a",IF(G306&gt;K306,"Yes", "No"))</f>
        <v>n/a</v>
      </c>
      <c r="N306" s="1498"/>
      <c r="O306" s="1496"/>
      <c r="P306" s="1508"/>
      <c r="R306" s="51"/>
      <c r="S306" s="51"/>
    </row>
    <row r="307" spans="1:19" s="65" customFormat="1" ht="10.5" customHeight="1">
      <c r="A307" s="55"/>
      <c r="B307" s="1174" t="s">
        <v>3358</v>
      </c>
      <c r="C307" s="509"/>
      <c r="D307" s="509"/>
      <c r="E307" s="770"/>
      <c r="F307" s="771"/>
      <c r="G307" s="708">
        <f>E307+F307</f>
        <v>0</v>
      </c>
      <c r="I307" s="770"/>
      <c r="J307" s="771"/>
      <c r="K307" s="708">
        <f>I307+J307</f>
        <v>0</v>
      </c>
      <c r="M307" s="1501" t="str">
        <f>IF(AND(G307=0,K307=0),"n/a",IF(G307&gt;K307,"Yes", "No"))</f>
        <v>n/a</v>
      </c>
      <c r="N307" s="1502"/>
      <c r="O307" s="1496"/>
      <c r="P307" s="1508"/>
      <c r="R307" s="51"/>
      <c r="S307" s="51"/>
    </row>
    <row r="308" spans="1:19" s="51" customFormat="1" ht="7.5" customHeight="1">
      <c r="A308" s="165"/>
      <c r="B308" s="64"/>
      <c r="C308" s="710"/>
      <c r="D308" s="509"/>
      <c r="E308" s="1168"/>
      <c r="F308" s="1168"/>
      <c r="I308" s="1168"/>
      <c r="J308" s="1168"/>
      <c r="P308" s="159"/>
    </row>
    <row r="309" spans="1:19" s="44" customFormat="1" ht="10.5" customHeight="1">
      <c r="A309" s="55"/>
      <c r="B309" s="775"/>
      <c r="C309" s="775"/>
      <c r="D309" s="775"/>
      <c r="E309" s="1499" t="s">
        <v>3363</v>
      </c>
      <c r="F309" s="1500"/>
      <c r="G309" s="776"/>
      <c r="H309" s="776"/>
      <c r="I309" s="1499" t="s">
        <v>3401</v>
      </c>
      <c r="J309" s="1500"/>
      <c r="K309" s="776"/>
      <c r="P309" s="159"/>
      <c r="R309" s="119"/>
      <c r="S309" s="119"/>
    </row>
    <row r="310" spans="1:19" s="65" customFormat="1" ht="10.5" customHeight="1">
      <c r="A310" s="55"/>
      <c r="B310" s="1174" t="s">
        <v>3355</v>
      </c>
      <c r="C310" s="509"/>
      <c r="D310" s="509"/>
      <c r="E310" s="2390">
        <v>0.4</v>
      </c>
      <c r="F310" s="2391">
        <v>0.6</v>
      </c>
      <c r="G310" s="706">
        <f>E310+F310</f>
        <v>1</v>
      </c>
      <c r="I310" s="2390">
        <v>0.6</v>
      </c>
      <c r="J310" s="2391">
        <v>0.34</v>
      </c>
      <c r="K310" s="706">
        <f>I310+J310</f>
        <v>0.94</v>
      </c>
      <c r="M310" s="1494" t="str">
        <f>IF(AND(G310=0,K310=0),"n/a",IF(G310&gt;K310,"Yes", "No"))</f>
        <v>Yes</v>
      </c>
      <c r="N310" s="1495"/>
      <c r="O310" s="1496" t="str">
        <f>IF(AND(M310="n/a",M311="n/a",M312="n/a",M313="n/a",M314="n/a"),"n/a",IF(AND(M310="Yes",M311="Yes",M312="Yes",M313="Yes",M314="Yes"),"Yes",IF(OR(M310="No",M311="No",M312="No",M313="No",M314="No"), "No", "No")))</f>
        <v>Yes</v>
      </c>
      <c r="P310" s="159"/>
      <c r="R310" s="51"/>
      <c r="S310" s="51"/>
    </row>
    <row r="311" spans="1:19" s="65" customFormat="1" ht="10.5" customHeight="1">
      <c r="A311" s="55"/>
      <c r="B311" s="1174" t="s">
        <v>3361</v>
      </c>
      <c r="C311" s="509"/>
      <c r="D311" s="509"/>
      <c r="E311" s="2392">
        <v>0.39</v>
      </c>
      <c r="F311" s="2393">
        <v>0.59</v>
      </c>
      <c r="G311" s="707">
        <f>E311+F311</f>
        <v>0.98</v>
      </c>
      <c r="I311" s="2392">
        <v>0.56999999999999995</v>
      </c>
      <c r="J311" s="2393">
        <v>0.36</v>
      </c>
      <c r="K311" s="707">
        <f>I311+J311</f>
        <v>0.92999999999999994</v>
      </c>
      <c r="M311" s="1497" t="str">
        <f>IF(AND(G311=0,K311=0),"n/a",IF(G311&gt;K311,"Yes", "No"))</f>
        <v>Yes</v>
      </c>
      <c r="N311" s="1498"/>
      <c r="O311" s="1496"/>
      <c r="P311" s="159"/>
      <c r="R311" s="51"/>
      <c r="S311" s="51"/>
    </row>
    <row r="312" spans="1:19" s="65" customFormat="1" ht="10.5" customHeight="1">
      <c r="A312" s="55"/>
      <c r="B312" s="532" t="s">
        <v>3356</v>
      </c>
      <c r="E312" s="2394">
        <v>0.4</v>
      </c>
      <c r="F312" s="2395">
        <v>0.56999999999999995</v>
      </c>
      <c r="G312" s="707">
        <f>E312+F312</f>
        <v>0.97</v>
      </c>
      <c r="I312" s="2394">
        <v>0.5</v>
      </c>
      <c r="J312" s="2395">
        <v>0.42</v>
      </c>
      <c r="K312" s="707">
        <f>I312+J312</f>
        <v>0.91999999999999993</v>
      </c>
      <c r="M312" s="1497" t="str">
        <f>IF(AND(G312=0,K312=0),"n/a",IF(G312&gt;K312,"Yes", "No"))</f>
        <v>Yes</v>
      </c>
      <c r="N312" s="1498"/>
      <c r="O312" s="1496"/>
      <c r="P312" s="159"/>
      <c r="R312" s="51"/>
      <c r="S312" s="51"/>
    </row>
    <row r="313" spans="1:19" s="65" customFormat="1" ht="10.5" customHeight="1">
      <c r="A313" s="55"/>
      <c r="B313" s="532" t="s">
        <v>3357</v>
      </c>
      <c r="E313" s="2394">
        <v>0.51</v>
      </c>
      <c r="F313" s="2395">
        <v>0.43</v>
      </c>
      <c r="G313" s="707">
        <f>E313+F313</f>
        <v>0.94</v>
      </c>
      <c r="I313" s="2394">
        <v>0.48</v>
      </c>
      <c r="J313" s="2395">
        <v>0.23</v>
      </c>
      <c r="K313" s="707">
        <f>I313+J313</f>
        <v>0.71</v>
      </c>
      <c r="M313" s="1497" t="str">
        <f>IF(AND(G313=0,K313=0),"n/a",IF(G313&gt;K313,"Yes", "No"))</f>
        <v>Yes</v>
      </c>
      <c r="N313" s="1498"/>
      <c r="O313" s="1496"/>
      <c r="P313" s="159"/>
      <c r="R313" s="51"/>
      <c r="S313" s="51"/>
    </row>
    <row r="314" spans="1:19" s="65" customFormat="1" ht="10.5" customHeight="1">
      <c r="A314" s="55"/>
      <c r="B314" s="532" t="s">
        <v>3358</v>
      </c>
      <c r="E314" s="2396">
        <v>0.3</v>
      </c>
      <c r="F314" s="2397">
        <v>0.6</v>
      </c>
      <c r="G314" s="708">
        <f>E314+F314</f>
        <v>0.89999999999999991</v>
      </c>
      <c r="I314" s="2396">
        <v>0.4</v>
      </c>
      <c r="J314" s="2397">
        <v>0.37</v>
      </c>
      <c r="K314" s="708">
        <f>I314+J314</f>
        <v>0.77</v>
      </c>
      <c r="M314" s="1501" t="str">
        <f>IF(AND(G314=0,K314=0),"n/a",IF(G314&gt;K314,"Yes", "No"))</f>
        <v>Yes</v>
      </c>
      <c r="N314" s="1502"/>
      <c r="O314" s="1496"/>
      <c r="P314" s="159"/>
      <c r="R314" s="51"/>
      <c r="S314" s="51"/>
    </row>
    <row r="315" spans="1:19" s="51" customFormat="1" ht="3" customHeight="1">
      <c r="A315" s="165"/>
      <c r="C315" s="1168"/>
      <c r="D315" s="1168"/>
      <c r="E315" s="777"/>
      <c r="F315" s="777"/>
      <c r="I315" s="777"/>
      <c r="J315" s="777"/>
      <c r="P315" s="763"/>
    </row>
    <row r="316" spans="1:19" s="65" customFormat="1" ht="10.5" customHeight="1">
      <c r="A316" s="55"/>
      <c r="B316" s="1174" t="s">
        <v>3355</v>
      </c>
      <c r="C316" s="509"/>
      <c r="D316" s="509"/>
      <c r="E316" s="764"/>
      <c r="F316" s="765"/>
      <c r="G316" s="706">
        <f>E316+F316</f>
        <v>0</v>
      </c>
      <c r="I316" s="764"/>
      <c r="J316" s="765"/>
      <c r="K316" s="706">
        <f>I316+J316</f>
        <v>0</v>
      </c>
      <c r="M316" s="1494" t="str">
        <f>IF(AND(G316=0,K316=0),"n/a",IF(G316&gt;K316,"Yes", "No"))</f>
        <v>n/a</v>
      </c>
      <c r="N316" s="1495"/>
      <c r="O316" s="1496" t="str">
        <f>IF(AND(M316="n/a",M317="n/a",M318="n/a",M319="n/a",M320="n/a"),"n/a",IF(AND(M316="Yes",M317="Yes",M318="Yes",M319="Yes",M320="Yes"),"Yes",IF(OR(M316="No",M317="No",M318="No",M319="No",M320="No"), "No", "No")))</f>
        <v>n/a</v>
      </c>
      <c r="P316" s="763"/>
      <c r="R316" s="51"/>
      <c r="S316" s="51"/>
    </row>
    <row r="317" spans="1:19" s="65" customFormat="1" ht="10.5" customHeight="1">
      <c r="A317" s="55"/>
      <c r="B317" s="1174" t="s">
        <v>3361</v>
      </c>
      <c r="C317" s="509"/>
      <c r="D317" s="509"/>
      <c r="E317" s="766"/>
      <c r="F317" s="767"/>
      <c r="G317" s="707">
        <f>E317+F317</f>
        <v>0</v>
      </c>
      <c r="I317" s="766"/>
      <c r="J317" s="767"/>
      <c r="K317" s="707">
        <f>I317+J317</f>
        <v>0</v>
      </c>
      <c r="M317" s="1497" t="str">
        <f>IF(AND(G317=0,K317=0),"n/a",IF(G317&gt;K317,"Yes", "No"))</f>
        <v>n/a</v>
      </c>
      <c r="N317" s="1498"/>
      <c r="O317" s="1496"/>
      <c r="P317" s="763"/>
      <c r="R317" s="51"/>
      <c r="S317" s="51"/>
    </row>
    <row r="318" spans="1:19" s="65" customFormat="1" ht="10.5" customHeight="1">
      <c r="A318" s="55"/>
      <c r="B318" s="1174" t="s">
        <v>3356</v>
      </c>
      <c r="C318" s="509"/>
      <c r="D318" s="509"/>
      <c r="E318" s="768"/>
      <c r="F318" s="769"/>
      <c r="G318" s="707">
        <f>E318+F318</f>
        <v>0</v>
      </c>
      <c r="I318" s="768"/>
      <c r="J318" s="769"/>
      <c r="K318" s="707">
        <f>I318+J318</f>
        <v>0</v>
      </c>
      <c r="M318" s="1497" t="str">
        <f>IF(AND(G318=0,K318=0),"n/a",IF(G318&gt;K318,"Yes", "No"))</f>
        <v>n/a</v>
      </c>
      <c r="N318" s="1498"/>
      <c r="O318" s="1496"/>
      <c r="P318" s="763"/>
      <c r="R318" s="51"/>
      <c r="S318" s="51"/>
    </row>
    <row r="319" spans="1:19" s="65" customFormat="1" ht="10.5" customHeight="1">
      <c r="A319" s="55"/>
      <c r="B319" s="1174" t="s">
        <v>3357</v>
      </c>
      <c r="C319" s="509"/>
      <c r="D319" s="509"/>
      <c r="E319" s="768"/>
      <c r="F319" s="769"/>
      <c r="G319" s="707">
        <f>E319+F319</f>
        <v>0</v>
      </c>
      <c r="I319" s="768"/>
      <c r="J319" s="769"/>
      <c r="K319" s="707">
        <f>I319+J319</f>
        <v>0</v>
      </c>
      <c r="M319" s="1497" t="str">
        <f>IF(AND(G319=0,K319=0),"n/a",IF(G319&gt;K319,"Yes", "No"))</f>
        <v>n/a</v>
      </c>
      <c r="N319" s="1498"/>
      <c r="O319" s="1496"/>
      <c r="P319" s="763"/>
      <c r="R319" s="51"/>
      <c r="S319" s="51"/>
    </row>
    <row r="320" spans="1:19" s="65" customFormat="1" ht="10.5" customHeight="1">
      <c r="A320" s="55"/>
      <c r="B320" s="1174" t="s">
        <v>3358</v>
      </c>
      <c r="C320" s="509"/>
      <c r="D320" s="509"/>
      <c r="E320" s="770"/>
      <c r="F320" s="771"/>
      <c r="G320" s="708">
        <f>E320+F320</f>
        <v>0</v>
      </c>
      <c r="I320" s="770"/>
      <c r="J320" s="771"/>
      <c r="K320" s="708">
        <f>I320+J320</f>
        <v>0</v>
      </c>
      <c r="M320" s="1501" t="str">
        <f>IF(AND(G320=0,K320=0),"n/a",IF(G320&gt;K320,"Yes", "No"))</f>
        <v>n/a</v>
      </c>
      <c r="N320" s="1502"/>
      <c r="O320" s="1496"/>
      <c r="P320" s="763"/>
      <c r="R320" s="51"/>
      <c r="S320" s="51"/>
    </row>
    <row r="321" spans="1:18" s="51" customFormat="1" ht="10.5" customHeight="1">
      <c r="A321" s="50"/>
      <c r="B321" s="57" t="s">
        <v>269</v>
      </c>
      <c r="C321" s="50"/>
      <c r="D321" s="56"/>
      <c r="E321" s="56"/>
      <c r="F321" s="56"/>
      <c r="G321" s="56"/>
      <c r="H321" s="44"/>
      <c r="I321" s="44"/>
      <c r="J321" s="44"/>
      <c r="K321" s="44"/>
      <c r="M321" s="54"/>
      <c r="N321" s="73"/>
      <c r="O321" s="4"/>
      <c r="P321" s="1161"/>
    </row>
    <row r="322" spans="1:18" s="51" customFormat="1" ht="24" customHeight="1">
      <c r="A322" s="2209" t="s">
        <v>3784</v>
      </c>
      <c r="B322" s="2210"/>
      <c r="C322" s="2210"/>
      <c r="D322" s="2210"/>
      <c r="E322" s="2210"/>
      <c r="F322" s="2210"/>
      <c r="G322" s="2210"/>
      <c r="H322" s="2210"/>
      <c r="I322" s="2210"/>
      <c r="J322" s="2210"/>
      <c r="K322" s="2210"/>
      <c r="L322" s="2210"/>
      <c r="M322" s="2210"/>
      <c r="N322" s="2210"/>
      <c r="O322" s="2210"/>
      <c r="P322" s="2211"/>
      <c r="Q322" s="561" t="s">
        <v>1332</v>
      </c>
    </row>
    <row r="323" spans="1:18" s="51" customFormat="1" ht="10.5" customHeight="1">
      <c r="A323" s="50"/>
      <c r="B323" s="100" t="s">
        <v>1997</v>
      </c>
      <c r="C323" s="115"/>
      <c r="D323" s="100"/>
      <c r="E323" s="116"/>
      <c r="F323" s="1162"/>
      <c r="G323" s="1162"/>
      <c r="H323" s="1162"/>
      <c r="I323" s="1162"/>
      <c r="J323" s="1162"/>
      <c r="K323" s="1162"/>
      <c r="L323" s="1162"/>
      <c r="M323" s="1162"/>
      <c r="N323" s="87"/>
      <c r="O323" s="83"/>
      <c r="P323" s="2"/>
      <c r="Q323" s="528"/>
    </row>
    <row r="324" spans="1:18" s="51" customFormat="1" ht="10.5" customHeight="1">
      <c r="A324" s="1416"/>
      <c r="B324" s="1417"/>
      <c r="C324" s="1417"/>
      <c r="D324" s="1417"/>
      <c r="E324" s="1417"/>
      <c r="F324" s="1417"/>
      <c r="G324" s="1417"/>
      <c r="H324" s="1417"/>
      <c r="I324" s="1417"/>
      <c r="J324" s="1417"/>
      <c r="K324" s="1417"/>
      <c r="L324" s="1417"/>
      <c r="M324" s="1417"/>
      <c r="N324" s="1417"/>
      <c r="O324" s="1417"/>
      <c r="P324" s="1418"/>
      <c r="Q324" s="561" t="s">
        <v>1332</v>
      </c>
    </row>
    <row r="325" spans="1:18" s="51" customFormat="1" ht="1.5" customHeight="1">
      <c r="A325" s="50"/>
      <c r="C325" s="1162"/>
      <c r="D325" s="1162"/>
      <c r="E325" s="1162"/>
      <c r="F325" s="1162"/>
      <c r="G325" s="1162"/>
      <c r="H325" s="1162"/>
      <c r="I325" s="1162"/>
      <c r="J325" s="1162"/>
      <c r="K325" s="1162"/>
      <c r="L325" s="1162"/>
      <c r="M325" s="1162"/>
      <c r="N325" s="87"/>
      <c r="O325" s="83"/>
      <c r="P325" s="608"/>
    </row>
    <row r="326" spans="1:18" s="51" customFormat="1" ht="12" customHeight="1">
      <c r="A326" s="183" t="s">
        <v>3370</v>
      </c>
      <c r="B326" s="123" t="s">
        <v>3369</v>
      </c>
      <c r="C326" s="64"/>
      <c r="D326" s="136"/>
      <c r="E326" s="136"/>
      <c r="F326" s="49"/>
      <c r="G326" s="49"/>
      <c r="H326" s="49"/>
      <c r="I326" s="49"/>
      <c r="J326" s="49"/>
      <c r="K326" s="49"/>
      <c r="M326" s="8">
        <v>2</v>
      </c>
      <c r="N326" s="217"/>
      <c r="O326" s="2324">
        <v>1</v>
      </c>
      <c r="P326" s="790"/>
      <c r="Q326" s="126" t="s">
        <v>463</v>
      </c>
      <c r="R326" s="44" t="s">
        <v>2948</v>
      </c>
    </row>
    <row r="327" spans="1:18" s="65" customFormat="1" ht="9" customHeight="1">
      <c r="H327" s="55"/>
      <c r="I327" s="55"/>
      <c r="J327" s="55"/>
      <c r="K327" s="55"/>
      <c r="L327" s="55"/>
      <c r="R327" s="688"/>
    </row>
    <row r="328" spans="1:18" s="65" customFormat="1" ht="12" customHeight="1">
      <c r="A328" s="55"/>
      <c r="I328" s="65" t="s">
        <v>3375</v>
      </c>
      <c r="K328" s="1491" t="str">
        <f>'Part I-Project Information'!F27</f>
        <v>Decatur</v>
      </c>
      <c r="L328" s="1492"/>
      <c r="M328" s="1493"/>
      <c r="R328" s="688"/>
    </row>
    <row r="329" spans="1:18" s="65" customFormat="1" ht="12" customHeight="1">
      <c r="A329" s="165" t="s">
        <v>2119</v>
      </c>
      <c r="C329" s="718" t="s">
        <v>3379</v>
      </c>
      <c r="G329" s="2398">
        <v>46987</v>
      </c>
      <c r="I329" s="1509" t="s">
        <v>3376</v>
      </c>
      <c r="J329" s="1509"/>
      <c r="K329" s="1488" t="str">
        <f>'Part I-Project Information'!J28</f>
        <v>DeKalb</v>
      </c>
      <c r="L329" s="1489"/>
      <c r="M329" s="1490"/>
      <c r="R329" s="688"/>
    </row>
    <row r="330" spans="1:18" s="65" customFormat="1" ht="12" customHeight="1">
      <c r="A330" s="165"/>
      <c r="C330" s="718"/>
      <c r="I330" s="532" t="s">
        <v>3377</v>
      </c>
      <c r="K330" s="1488" t="str">
        <f>'Part I-Project Information'!O29</f>
        <v>Atlanta-Sandy Springs-Marietta</v>
      </c>
      <c r="L330" s="1489"/>
      <c r="M330" s="1490"/>
      <c r="R330" s="688"/>
    </row>
    <row r="331" spans="1:18" s="65" customFormat="1" ht="12.75" customHeight="1">
      <c r="A331" s="170" t="s">
        <v>2122</v>
      </c>
      <c r="B331" s="605" t="s">
        <v>3374</v>
      </c>
      <c r="C331" s="1174"/>
      <c r="D331" s="681"/>
      <c r="E331" s="681"/>
      <c r="G331" s="2333">
        <v>0.5</v>
      </c>
      <c r="I331" s="532" t="s">
        <v>3590</v>
      </c>
      <c r="K331" s="1488" t="str">
        <f>VLOOKUP('Part I-Project Information'!J28,'Part I-Project Information'!C179:F338,4)</f>
        <v>MSA</v>
      </c>
      <c r="L331" s="1489"/>
      <c r="M331" s="1490"/>
      <c r="R331" s="688"/>
    </row>
    <row r="332" spans="1:18" s="65" customFormat="1" ht="12.75" customHeight="1">
      <c r="A332" s="55"/>
      <c r="B332" s="605" t="s">
        <v>3373</v>
      </c>
      <c r="C332" s="1174"/>
      <c r="D332" s="681"/>
      <c r="E332" s="681"/>
      <c r="F332" s="55"/>
      <c r="G332" s="55"/>
      <c r="I332" s="65" t="s">
        <v>3591</v>
      </c>
      <c r="K332" s="1487" t="str">
        <f>'Part I-Project Information'!K29</f>
        <v>Urban</v>
      </c>
      <c r="L332" s="2399"/>
      <c r="M332" s="2400"/>
      <c r="R332" s="688"/>
    </row>
    <row r="333" spans="1:18" s="65" customFormat="1" ht="12.75" customHeight="1">
      <c r="A333" s="55"/>
      <c r="B333" s="605"/>
      <c r="C333" s="1174"/>
      <c r="D333" s="681"/>
      <c r="E333" s="681"/>
      <c r="F333" s="55"/>
      <c r="G333" s="55"/>
      <c r="I333" s="65" t="s">
        <v>3589</v>
      </c>
      <c r="K333" s="1487">
        <f>'Part I-Project Information'!H67</f>
        <v>0</v>
      </c>
      <c r="L333" s="2399"/>
      <c r="M333" s="2400"/>
      <c r="R333" s="688"/>
    </row>
    <row r="334" spans="1:18" s="65" customFormat="1" ht="15" customHeight="1">
      <c r="H334" s="55"/>
      <c r="I334" s="55"/>
      <c r="J334" s="55"/>
      <c r="K334" s="55"/>
      <c r="L334" s="55"/>
      <c r="R334" s="688"/>
    </row>
    <row r="335" spans="1:18" s="65" customFormat="1" ht="12" customHeight="1">
      <c r="A335" s="55"/>
      <c r="B335" s="55"/>
      <c r="C335" s="2401" t="s">
        <v>3371</v>
      </c>
      <c r="D335" s="2402" t="s">
        <v>3372</v>
      </c>
      <c r="E335" s="2402"/>
      <c r="F335" s="2402"/>
      <c r="G335" s="2402"/>
      <c r="H335" s="2402"/>
      <c r="I335" s="2402"/>
      <c r="J335" s="2402"/>
      <c r="K335" s="2402"/>
      <c r="L335" s="2401" t="s">
        <v>1710</v>
      </c>
      <c r="M335" s="2401" t="s">
        <v>2783</v>
      </c>
      <c r="R335" s="688"/>
    </row>
    <row r="336" spans="1:18" s="65" customFormat="1" ht="12" customHeight="1">
      <c r="A336" s="55"/>
      <c r="B336" s="55"/>
      <c r="C336" s="2403" t="s">
        <v>1282</v>
      </c>
      <c r="D336" s="2404" t="s">
        <v>3378</v>
      </c>
      <c r="E336" s="2404"/>
      <c r="F336" s="2404"/>
      <c r="G336" s="2404"/>
      <c r="H336" s="2404"/>
      <c r="I336" s="2404"/>
      <c r="J336" s="2404"/>
      <c r="K336" s="2404"/>
      <c r="L336" s="2403" t="s">
        <v>2798</v>
      </c>
      <c r="M336" s="2403" t="s">
        <v>1359</v>
      </c>
      <c r="R336" s="688"/>
    </row>
    <row r="337" spans="1:18" s="65" customFormat="1" ht="15.75" customHeight="1">
      <c r="A337" s="55"/>
      <c r="B337" s="55"/>
      <c r="C337" s="2405">
        <v>20000</v>
      </c>
      <c r="D337" s="2406">
        <v>15000</v>
      </c>
      <c r="E337" s="2406"/>
      <c r="F337" s="2406"/>
      <c r="G337" s="2406"/>
      <c r="H337" s="2406"/>
      <c r="I337" s="2406"/>
      <c r="J337" s="2406"/>
      <c r="K337" s="2406"/>
      <c r="L337" s="2405">
        <v>6000</v>
      </c>
      <c r="M337" s="2405">
        <v>3000</v>
      </c>
      <c r="R337" s="688"/>
    </row>
    <row r="338" spans="1:18" s="65" customFormat="1" ht="13.5" customHeight="1">
      <c r="A338" s="55"/>
      <c r="B338" s="613"/>
      <c r="C338" s="1168"/>
      <c r="D338" s="1168"/>
      <c r="E338" s="1168"/>
      <c r="F338" s="1168"/>
      <c r="G338" s="1168"/>
      <c r="H338" s="1168"/>
      <c r="I338" s="1168"/>
      <c r="J338" s="1168"/>
      <c r="K338" s="1168"/>
      <c r="L338" s="1168"/>
      <c r="R338" s="688"/>
    </row>
    <row r="339" spans="1:18" s="51" customFormat="1" ht="12" customHeight="1">
      <c r="A339" s="50"/>
      <c r="B339" s="57" t="s">
        <v>269</v>
      </c>
      <c r="C339" s="50"/>
      <c r="D339" s="56"/>
      <c r="E339" s="56"/>
      <c r="F339" s="56"/>
      <c r="G339" s="56"/>
      <c r="H339" s="44"/>
      <c r="I339" s="44"/>
      <c r="J339" s="44"/>
      <c r="K339" s="44"/>
      <c r="M339" s="54"/>
      <c r="N339" s="73"/>
      <c r="O339" s="4"/>
      <c r="P339" s="1161"/>
    </row>
    <row r="340" spans="1:18" s="51" customFormat="1" ht="27.75" customHeight="1">
      <c r="A340" s="2209" t="s">
        <v>3785</v>
      </c>
      <c r="B340" s="2210"/>
      <c r="C340" s="2210"/>
      <c r="D340" s="2210"/>
      <c r="E340" s="2210"/>
      <c r="F340" s="2210"/>
      <c r="G340" s="2210"/>
      <c r="H340" s="2210"/>
      <c r="I340" s="2210"/>
      <c r="J340" s="2210"/>
      <c r="K340" s="2210"/>
      <c r="L340" s="2210"/>
      <c r="M340" s="2210"/>
      <c r="N340" s="2210"/>
      <c r="O340" s="2210"/>
      <c r="P340" s="2211"/>
      <c r="Q340" s="561" t="s">
        <v>1332</v>
      </c>
    </row>
    <row r="341" spans="1:18" s="51" customFormat="1" ht="11.25" customHeight="1">
      <c r="A341" s="50"/>
      <c r="B341" s="100" t="s">
        <v>1997</v>
      </c>
      <c r="C341" s="115"/>
      <c r="D341" s="100"/>
      <c r="E341" s="116"/>
      <c r="F341" s="1162"/>
      <c r="G341" s="1162"/>
      <c r="H341" s="1162"/>
      <c r="I341" s="1162"/>
      <c r="J341" s="1162"/>
      <c r="K341" s="1162"/>
      <c r="L341" s="1162"/>
      <c r="M341" s="1162"/>
      <c r="N341" s="87"/>
      <c r="O341" s="83"/>
      <c r="P341" s="2"/>
      <c r="Q341" s="528"/>
    </row>
    <row r="342" spans="1:18" s="51" customFormat="1" ht="12.75" customHeight="1">
      <c r="A342" s="1416"/>
      <c r="B342" s="1417"/>
      <c r="C342" s="1417"/>
      <c r="D342" s="1417"/>
      <c r="E342" s="1417"/>
      <c r="F342" s="1417"/>
      <c r="G342" s="1417"/>
      <c r="H342" s="1417"/>
      <c r="I342" s="1417"/>
      <c r="J342" s="1417"/>
      <c r="K342" s="1417"/>
      <c r="L342" s="1417"/>
      <c r="M342" s="1417"/>
      <c r="N342" s="1417"/>
      <c r="O342" s="1417"/>
      <c r="P342" s="1418"/>
      <c r="Q342" s="561" t="s">
        <v>1332</v>
      </c>
    </row>
    <row r="343" spans="1:18" s="51" customFormat="1" ht="16.5" customHeight="1">
      <c r="A343" s="50"/>
      <c r="C343" s="1162"/>
      <c r="D343" s="1162"/>
      <c r="E343" s="1162"/>
      <c r="F343" s="1162"/>
      <c r="G343" s="1162"/>
      <c r="H343" s="1162"/>
      <c r="I343" s="1162"/>
      <c r="J343" s="1162"/>
      <c r="K343" s="1162"/>
      <c r="L343" s="1162"/>
      <c r="M343" s="1162"/>
      <c r="N343" s="87"/>
      <c r="O343" s="83"/>
      <c r="P343" s="608"/>
    </row>
    <row r="344" spans="1:18" s="119" customFormat="1" ht="11.25" customHeight="1">
      <c r="A344" s="183" t="s">
        <v>3368</v>
      </c>
      <c r="B344" s="122" t="s">
        <v>1792</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2722</v>
      </c>
      <c r="M345" s="50"/>
      <c r="N345" s="50"/>
      <c r="O345" s="2268" t="s">
        <v>3702</v>
      </c>
      <c r="P345" s="795"/>
    </row>
    <row r="346" spans="1:18" ht="12.6" customHeight="1">
      <c r="A346" s="165" t="s">
        <v>2119</v>
      </c>
      <c r="B346" s="221" t="s">
        <v>1532</v>
      </c>
      <c r="D346" s="40"/>
      <c r="E346" s="40"/>
      <c r="F346" s="40"/>
      <c r="G346" s="40"/>
      <c r="H346" s="40"/>
      <c r="I346" s="40"/>
      <c r="J346" s="40"/>
      <c r="K346" s="40"/>
      <c r="L346" s="40"/>
      <c r="M346" s="134"/>
      <c r="N346" s="592" t="s">
        <v>2119</v>
      </c>
      <c r="O346" s="2407">
        <v>10</v>
      </c>
      <c r="P346" s="809"/>
      <c r="Q346" s="213" t="s">
        <v>2948</v>
      </c>
    </row>
    <row r="347" spans="1:18" s="51" customFormat="1" ht="11.25" customHeight="1">
      <c r="A347" s="50"/>
      <c r="B347" s="57" t="s">
        <v>269</v>
      </c>
      <c r="C347" s="50"/>
      <c r="D347" s="56"/>
      <c r="E347" s="56"/>
      <c r="F347" s="56"/>
      <c r="G347" s="56"/>
      <c r="H347" s="44"/>
      <c r="I347" s="44"/>
      <c r="J347" s="44"/>
      <c r="K347" s="44"/>
      <c r="M347" s="54"/>
      <c r="N347" s="73"/>
      <c r="O347" s="4"/>
      <c r="P347" s="1161"/>
    </row>
    <row r="348" spans="1:18" s="51" customFormat="1" ht="26.25" customHeight="1">
      <c r="A348" s="2209" t="s">
        <v>3786</v>
      </c>
      <c r="B348" s="2210"/>
      <c r="C348" s="2210"/>
      <c r="D348" s="2210"/>
      <c r="E348" s="2210"/>
      <c r="F348" s="2210"/>
      <c r="G348" s="2210"/>
      <c r="H348" s="2210"/>
      <c r="I348" s="2210"/>
      <c r="J348" s="2210"/>
      <c r="K348" s="2210"/>
      <c r="L348" s="2210"/>
      <c r="M348" s="2210"/>
      <c r="N348" s="2210"/>
      <c r="O348" s="2210"/>
      <c r="P348" s="2211"/>
      <c r="Q348" s="561" t="s">
        <v>1332</v>
      </c>
      <c r="R348" s="562"/>
    </row>
    <row r="349" spans="1:18" s="119" customFormat="1" ht="11.25" customHeight="1">
      <c r="A349" s="79"/>
      <c r="B349" s="79" t="s">
        <v>1997</v>
      </c>
      <c r="C349" s="58"/>
      <c r="D349" s="79"/>
      <c r="E349" s="1156"/>
      <c r="F349" s="1156"/>
      <c r="G349" s="1156"/>
      <c r="H349" s="1156"/>
      <c r="I349" s="1156"/>
      <c r="J349" s="1156"/>
      <c r="K349" s="1156"/>
      <c r="L349" s="1156"/>
      <c r="M349" s="1156"/>
      <c r="N349" s="110"/>
      <c r="O349" s="224"/>
      <c r="P349" s="2"/>
    </row>
    <row r="350" spans="1:18" s="51" customFormat="1" ht="12.75" customHeight="1">
      <c r="A350" s="1416"/>
      <c r="B350" s="1417"/>
      <c r="C350" s="1417"/>
      <c r="D350" s="1417"/>
      <c r="E350" s="1417"/>
      <c r="F350" s="1417"/>
      <c r="G350" s="1417"/>
      <c r="H350" s="1417"/>
      <c r="I350" s="1417"/>
      <c r="J350" s="1417"/>
      <c r="K350" s="1417"/>
      <c r="L350" s="1417"/>
      <c r="M350" s="1417"/>
      <c r="N350" s="1417"/>
      <c r="O350" s="1417"/>
      <c r="P350" s="1418"/>
      <c r="Q350" s="561" t="s">
        <v>1332</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08"/>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49</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3603</v>
      </c>
      <c r="J353" s="81"/>
      <c r="K353" s="81"/>
      <c r="L353" s="51"/>
      <c r="M353" s="43"/>
      <c r="N353" s="2"/>
      <c r="O353" s="590"/>
      <c r="P353" s="590">
        <f>P158</f>
        <v>0</v>
      </c>
    </row>
    <row r="354" spans="1:16" s="50" customFormat="1" ht="13.5" customHeight="1">
      <c r="A354" s="64"/>
      <c r="B354" s="80"/>
      <c r="C354" s="64"/>
      <c r="D354" s="43"/>
      <c r="E354" s="43"/>
      <c r="F354" s="82"/>
      <c r="G354" s="82"/>
      <c r="I354" s="205" t="s">
        <v>3604</v>
      </c>
      <c r="J354" s="81"/>
      <c r="K354" s="81"/>
      <c r="L354" s="51"/>
      <c r="M354" s="43"/>
      <c r="N354" s="2"/>
      <c r="O354" s="2"/>
      <c r="P354" s="590">
        <f>P218</f>
        <v>0</v>
      </c>
    </row>
    <row r="355" spans="1:16" s="51" customFormat="1" ht="13.5" customHeight="1">
      <c r="A355" s="50"/>
      <c r="B355" s="50"/>
      <c r="C355" s="1162"/>
      <c r="D355" s="1162"/>
      <c r="E355" s="1162"/>
      <c r="F355" s="1162"/>
      <c r="G355" s="1162"/>
      <c r="I355" s="205" t="s">
        <v>3605</v>
      </c>
      <c r="J355" s="1162"/>
      <c r="K355" s="1162"/>
      <c r="L355" s="1162"/>
      <c r="M355" s="1162"/>
      <c r="N355" s="87"/>
      <c r="O355" s="83"/>
      <c r="P355" s="590">
        <f>P252</f>
        <v>0</v>
      </c>
    </row>
    <row r="356" spans="1:16" s="51" customFormat="1" ht="13.5" customHeight="1">
      <c r="A356" s="50"/>
      <c r="D356" s="47"/>
      <c r="E356" s="44"/>
      <c r="F356" s="608"/>
      <c r="G356" s="608"/>
      <c r="H356" s="5" t="s">
        <v>3606</v>
      </c>
      <c r="I356" s="608"/>
      <c r="J356" s="38"/>
      <c r="K356" s="38"/>
      <c r="L356" s="38"/>
      <c r="M356" s="71"/>
      <c r="N356" s="608"/>
      <c r="O356" s="1161"/>
      <c r="P356" s="825">
        <f>P352-P353-P354-P355</f>
        <v>13</v>
      </c>
    </row>
    <row r="357" spans="1:16" s="189" customFormat="1" ht="13.5" customHeight="1">
      <c r="A357" s="64"/>
      <c r="B357" s="80"/>
      <c r="C357" s="64"/>
      <c r="D357" s="175"/>
      <c r="E357" s="175"/>
      <c r="F357" s="48"/>
      <c r="G357" s="48"/>
      <c r="H357" s="82"/>
      <c r="I357" s="82"/>
      <c r="J357" s="615"/>
      <c r="K357" s="615"/>
      <c r="L357" s="51"/>
      <c r="M357" s="175"/>
      <c r="N357" s="2"/>
      <c r="O357" s="2"/>
      <c r="P357" s="4"/>
    </row>
    <row r="358" spans="1:16" s="189" customFormat="1">
      <c r="N358" s="143"/>
      <c r="O358" s="1153"/>
      <c r="P358" s="1153"/>
    </row>
    <row r="359" spans="1:16" s="189" customFormat="1">
      <c r="C359" s="566" t="s">
        <v>1762</v>
      </c>
      <c r="D359" s="566"/>
      <c r="E359" s="566"/>
      <c r="F359" s="566"/>
      <c r="G359" s="566"/>
      <c r="H359" s="566"/>
      <c r="I359" s="566"/>
      <c r="J359" s="566" t="s">
        <v>1074</v>
      </c>
      <c r="K359" s="566"/>
      <c r="L359" s="620"/>
      <c r="M359" s="620"/>
      <c r="N359" s="690"/>
      <c r="O359" s="691"/>
      <c r="P359" s="691"/>
    </row>
    <row r="360" spans="1:16" s="189" customFormat="1">
      <c r="C360" s="620" t="s">
        <v>2228</v>
      </c>
      <c r="D360" s="620"/>
      <c r="E360" s="620"/>
      <c r="F360" s="620"/>
      <c r="G360" s="620"/>
      <c r="H360" s="620"/>
      <c r="I360" s="620"/>
      <c r="J360" s="620" t="s">
        <v>1895</v>
      </c>
      <c r="K360" s="620"/>
      <c r="L360" s="620"/>
      <c r="M360" s="620"/>
      <c r="N360" s="690"/>
      <c r="O360" s="691"/>
      <c r="P360" s="691"/>
    </row>
    <row r="361" spans="1:16" s="189" customFormat="1" ht="15">
      <c r="C361" s="566" t="s">
        <v>2728</v>
      </c>
      <c r="D361" s="566"/>
      <c r="E361" s="566"/>
      <c r="F361" s="566"/>
      <c r="G361" s="566"/>
      <c r="H361" s="566"/>
      <c r="I361" s="566"/>
      <c r="J361" s="692" t="s">
        <v>241</v>
      </c>
      <c r="K361" s="566"/>
      <c r="L361" s="620"/>
      <c r="M361" s="620"/>
      <c r="N361" s="690"/>
      <c r="O361" s="691"/>
      <c r="P361" s="691"/>
    </row>
    <row r="362" spans="1:16" s="189" customFormat="1" ht="15">
      <c r="C362" s="566" t="s">
        <v>2229</v>
      </c>
      <c r="D362" s="566"/>
      <c r="E362" s="566"/>
      <c r="F362" s="566"/>
      <c r="G362" s="566"/>
      <c r="H362" s="566"/>
      <c r="I362" s="566"/>
      <c r="J362" s="692" t="s">
        <v>1764</v>
      </c>
      <c r="K362" s="566"/>
      <c r="L362" s="620"/>
      <c r="M362" s="620"/>
      <c r="N362" s="690"/>
      <c r="O362" s="691"/>
      <c r="P362" s="691"/>
    </row>
    <row r="363" spans="1:16" s="189" customFormat="1" ht="15">
      <c r="C363" s="566" t="s">
        <v>2230</v>
      </c>
      <c r="D363" s="566"/>
      <c r="E363" s="566"/>
      <c r="F363" s="566"/>
      <c r="G363" s="566"/>
      <c r="H363" s="566"/>
      <c r="I363" s="566"/>
      <c r="J363" s="692" t="s">
        <v>1765</v>
      </c>
      <c r="K363" s="566"/>
      <c r="L363" s="620"/>
      <c r="M363" s="620"/>
      <c r="N363" s="690"/>
      <c r="O363" s="691"/>
      <c r="P363" s="691"/>
    </row>
    <row r="364" spans="1:16" s="189" customFormat="1" ht="15">
      <c r="C364" s="693" t="s">
        <v>2231</v>
      </c>
      <c r="D364" s="566"/>
      <c r="E364" s="566"/>
      <c r="F364" s="566"/>
      <c r="G364" s="566"/>
      <c r="H364" s="566"/>
      <c r="I364" s="566"/>
      <c r="J364" s="692" t="s">
        <v>2675</v>
      </c>
      <c r="K364" s="566"/>
      <c r="L364" s="620"/>
      <c r="M364" s="620"/>
      <c r="N364" s="690"/>
      <c r="O364" s="691"/>
      <c r="P364" s="691"/>
    </row>
    <row r="365" spans="1:16" s="189" customFormat="1" ht="15">
      <c r="C365" s="693" t="s">
        <v>2232</v>
      </c>
      <c r="D365" s="566"/>
      <c r="E365" s="566"/>
      <c r="F365" s="566"/>
      <c r="G365" s="566"/>
      <c r="H365" s="566"/>
      <c r="I365" s="566"/>
      <c r="J365" s="692" t="s">
        <v>1766</v>
      </c>
      <c r="K365" s="566"/>
      <c r="L365" s="620"/>
      <c r="M365" s="620"/>
      <c r="N365" s="690"/>
      <c r="O365" s="691"/>
      <c r="P365" s="691"/>
    </row>
    <row r="366" spans="1:16" s="189" customFormat="1" ht="15">
      <c r="C366" s="693"/>
      <c r="D366" s="566"/>
      <c r="E366" s="566"/>
      <c r="F366" s="566"/>
      <c r="G366" s="566"/>
      <c r="H366" s="566"/>
      <c r="I366" s="566"/>
      <c r="J366" s="692" t="s">
        <v>1767</v>
      </c>
      <c r="K366" s="566"/>
      <c r="L366" s="620"/>
      <c r="M366" s="620"/>
      <c r="N366" s="690"/>
      <c r="O366" s="691"/>
      <c r="P366" s="691"/>
    </row>
    <row r="367" spans="1:16" s="189" customFormat="1" ht="15">
      <c r="C367" s="620" t="s">
        <v>1895</v>
      </c>
      <c r="D367" s="566"/>
      <c r="E367" s="566"/>
      <c r="F367" s="566"/>
      <c r="G367" s="566"/>
      <c r="H367" s="566"/>
      <c r="I367" s="566"/>
      <c r="J367" s="692" t="s">
        <v>1768</v>
      </c>
      <c r="K367" s="566"/>
      <c r="L367" s="620"/>
      <c r="M367" s="620"/>
      <c r="N367" s="690"/>
      <c r="O367" s="691"/>
      <c r="P367" s="691"/>
    </row>
    <row r="368" spans="1:16" s="189" customFormat="1" ht="15">
      <c r="C368" s="694" t="s">
        <v>1480</v>
      </c>
      <c r="D368" s="566"/>
      <c r="E368" s="566"/>
      <c r="F368" s="566"/>
      <c r="G368" s="566"/>
      <c r="H368" s="566"/>
      <c r="I368" s="566"/>
      <c r="J368" s="692" t="s">
        <v>1769</v>
      </c>
      <c r="K368" s="566"/>
      <c r="L368" s="620"/>
      <c r="M368" s="620"/>
      <c r="N368" s="690"/>
      <c r="O368" s="691"/>
      <c r="P368" s="691"/>
    </row>
    <row r="369" spans="3:16" s="189" customFormat="1" ht="15">
      <c r="C369" s="694" t="s">
        <v>1481</v>
      </c>
      <c r="D369" s="566"/>
      <c r="E369" s="566"/>
      <c r="F369" s="566"/>
      <c r="G369" s="566"/>
      <c r="H369" s="566"/>
      <c r="I369" s="566"/>
      <c r="J369" s="692" t="s">
        <v>1770</v>
      </c>
      <c r="K369" s="566"/>
      <c r="L369" s="620"/>
      <c r="M369" s="620"/>
      <c r="N369" s="690"/>
      <c r="O369" s="691"/>
      <c r="P369" s="691"/>
    </row>
    <row r="370" spans="3:16" s="189" customFormat="1" ht="15">
      <c r="C370" s="695" t="s">
        <v>2272</v>
      </c>
      <c r="D370" s="566"/>
      <c r="E370" s="566"/>
      <c r="F370" s="566"/>
      <c r="G370" s="566"/>
      <c r="H370" s="566"/>
      <c r="I370" s="566"/>
      <c r="J370" s="692" t="s">
        <v>1771</v>
      </c>
      <c r="K370" s="566"/>
      <c r="L370" s="620"/>
      <c r="M370" s="620"/>
      <c r="N370" s="690"/>
      <c r="O370" s="691"/>
      <c r="P370" s="691"/>
    </row>
    <row r="371" spans="3:16" s="189" customFormat="1" ht="15">
      <c r="C371" s="695" t="s">
        <v>1477</v>
      </c>
      <c r="D371" s="566"/>
      <c r="E371" s="566"/>
      <c r="F371" s="566"/>
      <c r="G371" s="566"/>
      <c r="H371" s="566"/>
      <c r="I371" s="566"/>
      <c r="J371" s="692" t="s">
        <v>629</v>
      </c>
      <c r="K371" s="566"/>
      <c r="L371" s="620"/>
      <c r="M371" s="620"/>
      <c r="N371" s="690"/>
      <c r="O371" s="691"/>
      <c r="P371" s="691"/>
    </row>
    <row r="372" spans="3:16" s="189" customFormat="1" ht="15">
      <c r="C372" s="695" t="s">
        <v>1478</v>
      </c>
      <c r="D372" s="566"/>
      <c r="E372" s="566"/>
      <c r="F372" s="566"/>
      <c r="G372" s="566"/>
      <c r="H372" s="566"/>
      <c r="I372" s="566"/>
      <c r="J372" s="692" t="s">
        <v>1772</v>
      </c>
      <c r="K372" s="566"/>
      <c r="L372" s="620"/>
      <c r="M372" s="620"/>
      <c r="N372" s="690"/>
      <c r="O372" s="691"/>
      <c r="P372" s="691"/>
    </row>
    <row r="373" spans="3:16" s="189" customFormat="1" ht="15">
      <c r="C373" s="694" t="s">
        <v>2267</v>
      </c>
      <c r="D373" s="566"/>
      <c r="E373" s="566"/>
      <c r="F373" s="566"/>
      <c r="G373" s="566"/>
      <c r="H373" s="566"/>
      <c r="I373" s="566"/>
      <c r="J373" s="692" t="s">
        <v>1773</v>
      </c>
      <c r="K373" s="566"/>
      <c r="L373" s="620"/>
      <c r="M373" s="620"/>
      <c r="N373" s="690"/>
      <c r="O373" s="691"/>
      <c r="P373" s="691"/>
    </row>
    <row r="374" spans="3:16" s="189" customFormat="1" ht="15">
      <c r="C374" s="694" t="s">
        <v>2268</v>
      </c>
      <c r="D374" s="566"/>
      <c r="E374" s="566"/>
      <c r="F374" s="566"/>
      <c r="G374" s="566"/>
      <c r="H374" s="566"/>
      <c r="I374" s="566"/>
      <c r="J374" s="692" t="s">
        <v>1774</v>
      </c>
      <c r="K374" s="620"/>
      <c r="L374" s="620"/>
      <c r="M374" s="620"/>
      <c r="N374" s="690"/>
      <c r="O374" s="691"/>
      <c r="P374" s="691"/>
    </row>
    <row r="375" spans="3:16" s="189" customFormat="1" ht="15">
      <c r="C375" s="694" t="s">
        <v>2269</v>
      </c>
      <c r="D375" s="620"/>
      <c r="E375" s="620"/>
      <c r="F375" s="620"/>
      <c r="G375" s="620"/>
      <c r="H375" s="620"/>
      <c r="I375" s="620"/>
      <c r="J375" s="692" t="s">
        <v>37</v>
      </c>
      <c r="K375" s="620"/>
      <c r="L375" s="620"/>
      <c r="M375" s="620"/>
      <c r="N375" s="690"/>
      <c r="O375" s="691"/>
      <c r="P375" s="691"/>
    </row>
    <row r="376" spans="3:16" s="189" customFormat="1" ht="15">
      <c r="C376" s="694" t="s">
        <v>2270</v>
      </c>
      <c r="D376" s="620"/>
      <c r="E376" s="620"/>
      <c r="F376" s="620"/>
      <c r="G376" s="620"/>
      <c r="H376" s="620"/>
      <c r="I376" s="620"/>
      <c r="J376" s="696"/>
      <c r="K376" s="620"/>
      <c r="L376" s="620"/>
      <c r="M376" s="620"/>
      <c r="N376" s="690"/>
      <c r="O376" s="691"/>
      <c r="P376" s="691"/>
    </row>
    <row r="377" spans="3:16" s="189" customFormat="1">
      <c r="C377" s="694" t="s">
        <v>2271</v>
      </c>
      <c r="D377" s="620"/>
      <c r="E377" s="620"/>
      <c r="F377" s="620"/>
      <c r="G377" s="620"/>
      <c r="H377" s="620"/>
      <c r="I377" s="620"/>
      <c r="J377" s="620"/>
      <c r="K377" s="620"/>
      <c r="L377" s="620"/>
      <c r="M377" s="620"/>
      <c r="N377" s="690"/>
      <c r="O377" s="691"/>
      <c r="P377" s="691"/>
    </row>
    <row r="378" spans="3:16" s="189" customFormat="1">
      <c r="C378" s="694" t="s">
        <v>1479</v>
      </c>
      <c r="D378" s="620"/>
      <c r="E378" s="620"/>
      <c r="F378" s="620"/>
      <c r="G378" s="620"/>
      <c r="H378" s="620"/>
      <c r="I378" s="620"/>
      <c r="J378" s="620"/>
      <c r="K378" s="620"/>
      <c r="L378" s="620"/>
      <c r="M378" s="620"/>
      <c r="N378" s="690"/>
      <c r="O378" s="691"/>
      <c r="P378" s="691"/>
    </row>
    <row r="379" spans="3:16" s="189" customFormat="1">
      <c r="C379" s="694" t="s">
        <v>2432</v>
      </c>
      <c r="D379" s="620"/>
      <c r="E379" s="620"/>
      <c r="F379" s="620"/>
      <c r="G379" s="620"/>
      <c r="H379" s="620"/>
      <c r="I379" s="620"/>
      <c r="J379" s="620"/>
      <c r="K379" s="620"/>
      <c r="L379" s="620"/>
      <c r="M379" s="620"/>
      <c r="N379" s="690"/>
      <c r="O379" s="691"/>
      <c r="P379" s="691"/>
    </row>
    <row r="380" spans="3:16" s="189" customFormat="1">
      <c r="C380" s="620"/>
      <c r="D380" s="620"/>
      <c r="E380" s="620"/>
      <c r="F380" s="620"/>
      <c r="G380" s="620"/>
      <c r="H380" s="620"/>
      <c r="I380" s="620"/>
      <c r="J380" s="620"/>
      <c r="K380" s="620"/>
      <c r="L380" s="620"/>
      <c r="M380" s="620"/>
      <c r="N380" s="690"/>
      <c r="O380" s="691"/>
      <c r="P380" s="691"/>
    </row>
    <row r="381" spans="3:16" s="189" customFormat="1">
      <c r="C381" s="620"/>
      <c r="D381" s="620"/>
      <c r="E381" s="620"/>
      <c r="F381" s="620"/>
      <c r="G381" s="620"/>
      <c r="H381" s="620"/>
      <c r="I381" s="620"/>
      <c r="J381" s="620"/>
      <c r="K381" s="620"/>
      <c r="L381" s="620"/>
      <c r="M381" s="620"/>
      <c r="N381" s="690"/>
      <c r="O381" s="691"/>
      <c r="P381" s="691"/>
    </row>
    <row r="382" spans="3:16" s="189" customFormat="1" ht="25.5">
      <c r="C382" s="697" t="s">
        <v>3241</v>
      </c>
      <c r="D382" s="620"/>
      <c r="E382" s="620"/>
      <c r="F382" s="620"/>
      <c r="G382" s="698" t="s">
        <v>1605</v>
      </c>
      <c r="H382" s="698" t="s">
        <v>1606</v>
      </c>
      <c r="I382" s="698" t="s">
        <v>1607</v>
      </c>
      <c r="J382" s="620"/>
      <c r="K382" s="620"/>
      <c r="L382" s="620"/>
      <c r="M382" s="620"/>
      <c r="N382" s="690"/>
      <c r="O382" s="691"/>
      <c r="P382" s="691"/>
    </row>
    <row r="383" spans="3:16" s="189" customFormat="1" ht="38.25">
      <c r="C383" s="699" t="s">
        <v>3243</v>
      </c>
      <c r="D383" s="620"/>
      <c r="E383" s="620"/>
      <c r="F383" s="620"/>
      <c r="G383" s="700" t="s">
        <v>2695</v>
      </c>
      <c r="H383" s="700" t="s">
        <v>2696</v>
      </c>
      <c r="I383" s="700" t="s">
        <v>1263</v>
      </c>
      <c r="J383" s="620"/>
      <c r="K383" s="620"/>
      <c r="L383" s="620"/>
      <c r="M383" s="620"/>
      <c r="N383" s="690"/>
      <c r="O383" s="691"/>
      <c r="P383" s="691"/>
    </row>
    <row r="384" spans="3:16" s="189" customFormat="1">
      <c r="C384" s="699" t="s">
        <v>3244</v>
      </c>
      <c r="D384" s="620"/>
      <c r="E384" s="620"/>
      <c r="F384" s="620"/>
      <c r="G384" s="700" t="s">
        <v>1906</v>
      </c>
      <c r="H384" s="701" t="s">
        <v>1067</v>
      </c>
      <c r="I384" s="701" t="s">
        <v>1403</v>
      </c>
      <c r="J384" s="620"/>
      <c r="K384" s="620"/>
      <c r="L384" s="620"/>
      <c r="M384" s="620"/>
      <c r="N384" s="690"/>
      <c r="O384" s="691"/>
      <c r="P384" s="691"/>
    </row>
    <row r="385" spans="3:16" s="189" customFormat="1" ht="25.5">
      <c r="C385" s="699" t="s">
        <v>3245</v>
      </c>
      <c r="D385" s="620"/>
      <c r="E385" s="620"/>
      <c r="F385" s="620"/>
      <c r="G385" s="700" t="s">
        <v>1747</v>
      </c>
      <c r="H385" s="701" t="s">
        <v>1418</v>
      </c>
      <c r="I385" s="701" t="s">
        <v>1415</v>
      </c>
      <c r="J385" s="620"/>
      <c r="K385" s="620"/>
      <c r="L385" s="620"/>
      <c r="M385" s="620"/>
      <c r="N385" s="690"/>
      <c r="O385" s="691"/>
      <c r="P385" s="691"/>
    </row>
    <row r="386" spans="3:16" s="189" customFormat="1">
      <c r="C386" s="699" t="s">
        <v>3246</v>
      </c>
      <c r="D386" s="620"/>
      <c r="E386" s="620"/>
      <c r="F386" s="620"/>
      <c r="G386" s="700" t="s">
        <v>2210</v>
      </c>
      <c r="H386" s="701" t="s">
        <v>2715</v>
      </c>
      <c r="I386" s="701" t="s">
        <v>1418</v>
      </c>
      <c r="J386" s="620"/>
      <c r="K386" s="620"/>
      <c r="L386" s="620"/>
      <c r="M386" s="620"/>
      <c r="N386" s="690"/>
      <c r="O386" s="691"/>
      <c r="P386" s="691"/>
    </row>
    <row r="387" spans="3:16" s="189" customFormat="1" ht="25.5">
      <c r="C387" s="699" t="s">
        <v>3247</v>
      </c>
      <c r="D387" s="620"/>
      <c r="E387" s="620"/>
      <c r="F387" s="620"/>
      <c r="G387" s="700" t="s">
        <v>1748</v>
      </c>
      <c r="H387" s="701" t="s">
        <v>2716</v>
      </c>
      <c r="I387" s="701" t="s">
        <v>2651</v>
      </c>
      <c r="J387" s="620"/>
      <c r="K387" s="620"/>
      <c r="L387" s="620"/>
      <c r="M387" s="620"/>
      <c r="N387" s="690"/>
      <c r="O387" s="691"/>
      <c r="P387" s="691"/>
    </row>
    <row r="388" spans="3:16" s="189" customFormat="1">
      <c r="C388" s="699" t="s">
        <v>3248</v>
      </c>
      <c r="D388" s="620"/>
      <c r="E388" s="620"/>
      <c r="F388" s="620"/>
      <c r="G388" s="700" t="s">
        <v>12</v>
      </c>
      <c r="H388" s="701" t="s">
        <v>2063</v>
      </c>
      <c r="I388" s="701" t="s">
        <v>2657</v>
      </c>
      <c r="J388" s="620"/>
      <c r="K388" s="620"/>
      <c r="L388" s="620"/>
      <c r="M388" s="620"/>
      <c r="N388" s="690"/>
      <c r="O388" s="691"/>
      <c r="P388" s="691"/>
    </row>
    <row r="389" spans="3:16" s="189" customFormat="1">
      <c r="C389" s="699"/>
      <c r="D389" s="620"/>
      <c r="E389" s="620"/>
      <c r="F389" s="620"/>
      <c r="G389" s="700" t="s">
        <v>1418</v>
      </c>
      <c r="H389" s="701" t="s">
        <v>2429</v>
      </c>
      <c r="I389" s="701" t="s">
        <v>2659</v>
      </c>
      <c r="J389" s="620"/>
      <c r="K389" s="620"/>
      <c r="L389" s="620"/>
      <c r="M389" s="620"/>
      <c r="N389" s="690"/>
      <c r="O389" s="691"/>
      <c r="P389" s="691"/>
    </row>
    <row r="390" spans="3:16" s="189" customFormat="1">
      <c r="C390" s="699"/>
      <c r="D390" s="620"/>
      <c r="E390" s="620"/>
      <c r="F390" s="620"/>
      <c r="G390" s="700" t="s">
        <v>1608</v>
      </c>
      <c r="H390" s="701" t="s">
        <v>2717</v>
      </c>
      <c r="I390" s="701" t="s">
        <v>2704</v>
      </c>
      <c r="J390" s="620"/>
      <c r="K390" s="620"/>
      <c r="L390" s="620"/>
      <c r="M390" s="620"/>
      <c r="N390" s="690"/>
      <c r="O390" s="691"/>
      <c r="P390" s="691"/>
    </row>
    <row r="391" spans="3:16" s="189" customFormat="1">
      <c r="C391" s="699"/>
      <c r="D391" s="620"/>
      <c r="E391" s="620"/>
      <c r="F391" s="620"/>
      <c r="G391" s="700" t="s">
        <v>1084</v>
      </c>
      <c r="H391" s="701" t="s">
        <v>705</v>
      </c>
      <c r="I391" s="701" t="s">
        <v>204</v>
      </c>
      <c r="J391" s="620"/>
      <c r="K391" s="620"/>
      <c r="L391" s="620"/>
      <c r="M391" s="620"/>
      <c r="N391" s="690"/>
      <c r="O391" s="691"/>
      <c r="P391" s="691"/>
    </row>
    <row r="392" spans="3:16" s="189" customFormat="1">
      <c r="C392" s="620"/>
      <c r="D392" s="620"/>
      <c r="E392" s="620"/>
      <c r="F392" s="620"/>
      <c r="G392" s="700" t="s">
        <v>2659</v>
      </c>
      <c r="H392" s="701" t="s">
        <v>1761</v>
      </c>
      <c r="I392" s="701" t="s">
        <v>1010</v>
      </c>
      <c r="J392" s="620"/>
      <c r="K392" s="620"/>
      <c r="L392" s="620"/>
      <c r="M392" s="620"/>
      <c r="N392" s="690"/>
      <c r="O392" s="691"/>
      <c r="P392" s="691"/>
    </row>
    <row r="393" spans="3:16" s="189" customFormat="1" ht="25.5">
      <c r="C393" s="620"/>
      <c r="D393" s="620"/>
      <c r="E393" s="620"/>
      <c r="F393" s="620"/>
      <c r="G393" s="700" t="s">
        <v>2197</v>
      </c>
      <c r="H393" s="701" t="s">
        <v>2718</v>
      </c>
      <c r="I393" s="701" t="s">
        <v>1012</v>
      </c>
      <c r="J393" s="620"/>
      <c r="K393" s="620"/>
      <c r="L393" s="620"/>
      <c r="M393" s="620"/>
      <c r="N393" s="690"/>
      <c r="O393" s="691"/>
      <c r="P393" s="691"/>
    </row>
    <row r="394" spans="3:16" s="189" customFormat="1" ht="25.5">
      <c r="C394" s="697" t="s">
        <v>3250</v>
      </c>
      <c r="D394" s="620"/>
      <c r="E394" s="620"/>
      <c r="F394" s="620"/>
      <c r="G394" s="700" t="s">
        <v>642</v>
      </c>
      <c r="H394" s="701" t="s">
        <v>1609</v>
      </c>
      <c r="I394" s="701" t="s">
        <v>929</v>
      </c>
      <c r="J394" s="620"/>
      <c r="K394" s="620"/>
      <c r="L394" s="620"/>
      <c r="M394" s="620"/>
      <c r="N394" s="690"/>
      <c r="O394" s="691"/>
      <c r="P394" s="691"/>
    </row>
    <row r="395" spans="3:16" s="189" customFormat="1">
      <c r="C395" s="697" t="s">
        <v>3301</v>
      </c>
      <c r="D395" s="620"/>
      <c r="E395" s="620"/>
      <c r="F395" s="620"/>
      <c r="G395" s="700" t="s">
        <v>353</v>
      </c>
      <c r="H395" s="701" t="s">
        <v>2418</v>
      </c>
      <c r="I395" s="701" t="s">
        <v>933</v>
      </c>
      <c r="J395" s="620"/>
      <c r="K395" s="620"/>
      <c r="L395" s="620"/>
      <c r="M395" s="620"/>
      <c r="N395" s="690"/>
      <c r="O395" s="691"/>
      <c r="P395" s="691"/>
    </row>
    <row r="396" spans="3:16" s="189" customFormat="1">
      <c r="C396" s="699" t="s">
        <v>3302</v>
      </c>
      <c r="D396" s="620"/>
      <c r="E396" s="620"/>
      <c r="F396" s="620"/>
      <c r="G396" s="700" t="s">
        <v>928</v>
      </c>
      <c r="H396" s="701" t="s">
        <v>2024</v>
      </c>
      <c r="I396" s="701" t="s">
        <v>710</v>
      </c>
      <c r="J396" s="620"/>
      <c r="K396" s="620"/>
      <c r="L396" s="620"/>
      <c r="M396" s="620"/>
      <c r="N396" s="690"/>
      <c r="O396" s="691"/>
      <c r="P396" s="691"/>
    </row>
    <row r="397" spans="3:16" s="189" customFormat="1" ht="51">
      <c r="C397" s="699" t="s">
        <v>3303</v>
      </c>
      <c r="D397" s="620"/>
      <c r="E397" s="620"/>
      <c r="F397" s="620"/>
      <c r="G397" s="700" t="s">
        <v>2059</v>
      </c>
      <c r="H397" s="701" t="s">
        <v>2721</v>
      </c>
      <c r="I397" s="701" t="s">
        <v>715</v>
      </c>
      <c r="J397" s="620"/>
      <c r="K397" s="620"/>
      <c r="L397" s="620"/>
      <c r="M397" s="620"/>
      <c r="N397" s="690"/>
      <c r="O397" s="691"/>
      <c r="P397" s="691"/>
    </row>
    <row r="398" spans="3:16" s="189" customFormat="1">
      <c r="C398" s="699" t="s">
        <v>3305</v>
      </c>
      <c r="D398" s="620"/>
      <c r="E398" s="620"/>
      <c r="F398" s="620"/>
      <c r="G398" s="700" t="s">
        <v>479</v>
      </c>
      <c r="H398" s="701" t="s">
        <v>2714</v>
      </c>
      <c r="I398" s="701" t="s">
        <v>330</v>
      </c>
      <c r="J398" s="620"/>
      <c r="K398" s="620"/>
      <c r="L398" s="620"/>
      <c r="M398" s="620"/>
      <c r="N398" s="690"/>
      <c r="O398" s="691"/>
      <c r="P398" s="691"/>
    </row>
    <row r="399" spans="3:16" s="189" customFormat="1" ht="25.5">
      <c r="C399" s="699" t="s">
        <v>3304</v>
      </c>
      <c r="D399" s="620"/>
      <c r="E399" s="620"/>
      <c r="F399" s="620"/>
      <c r="G399" s="700" t="s">
        <v>245</v>
      </c>
      <c r="H399" s="701" t="s">
        <v>2719</v>
      </c>
      <c r="I399" s="701" t="s">
        <v>339</v>
      </c>
      <c r="J399" s="620"/>
      <c r="K399" s="620"/>
      <c r="L399" s="620"/>
      <c r="M399" s="620"/>
      <c r="N399" s="690"/>
      <c r="O399" s="691"/>
      <c r="P399" s="691"/>
    </row>
    <row r="400" spans="3:16" s="189" customFormat="1">
      <c r="C400" s="699" t="s">
        <v>3306</v>
      </c>
      <c r="D400" s="620"/>
      <c r="E400" s="620"/>
      <c r="F400" s="620"/>
      <c r="G400" s="700" t="s">
        <v>1298</v>
      </c>
      <c r="H400" s="701" t="s">
        <v>2720</v>
      </c>
      <c r="I400" s="701" t="s">
        <v>346</v>
      </c>
      <c r="J400" s="620"/>
      <c r="K400" s="620"/>
      <c r="L400" s="620"/>
      <c r="M400" s="620"/>
      <c r="N400" s="690"/>
      <c r="O400" s="691"/>
      <c r="P400" s="691"/>
    </row>
    <row r="401" spans="3:16" s="189" customFormat="1">
      <c r="C401" s="699"/>
      <c r="D401" s="620"/>
      <c r="E401" s="620"/>
      <c r="F401" s="620"/>
      <c r="G401" s="700" t="s">
        <v>1300</v>
      </c>
      <c r="H401" s="701" t="s">
        <v>1610</v>
      </c>
      <c r="I401" s="701" t="s">
        <v>348</v>
      </c>
      <c r="J401" s="620"/>
      <c r="K401" s="620"/>
      <c r="L401" s="620"/>
      <c r="M401" s="620"/>
      <c r="N401" s="690"/>
      <c r="O401" s="691"/>
      <c r="P401" s="691"/>
    </row>
    <row r="402" spans="3:16" s="189" customFormat="1" ht="25.5">
      <c r="C402" s="699"/>
      <c r="D402" s="620"/>
      <c r="E402" s="620"/>
      <c r="F402" s="620"/>
      <c r="G402" s="700" t="s">
        <v>1749</v>
      </c>
      <c r="H402" s="701"/>
      <c r="I402" s="701" t="s">
        <v>1551</v>
      </c>
      <c r="J402" s="620"/>
      <c r="K402" s="620"/>
      <c r="L402" s="620"/>
      <c r="M402" s="620"/>
      <c r="N402" s="690"/>
      <c r="O402" s="691"/>
      <c r="P402" s="691"/>
    </row>
    <row r="403" spans="3:16" s="189" customFormat="1">
      <c r="C403" s="699"/>
      <c r="D403" s="620"/>
      <c r="E403" s="620"/>
      <c r="F403" s="620"/>
      <c r="G403" s="700" t="s">
        <v>1045</v>
      </c>
      <c r="H403" s="701"/>
      <c r="I403" s="701" t="s">
        <v>1553</v>
      </c>
      <c r="J403" s="620"/>
      <c r="K403" s="620"/>
      <c r="L403" s="620"/>
      <c r="M403" s="620"/>
      <c r="N403" s="690"/>
      <c r="O403" s="691"/>
      <c r="P403" s="691"/>
    </row>
    <row r="404" spans="3:16" s="189" customFormat="1">
      <c r="C404" s="699"/>
      <c r="D404" s="620"/>
      <c r="E404" s="620"/>
      <c r="F404" s="620"/>
      <c r="G404" s="700" t="s">
        <v>610</v>
      </c>
      <c r="H404" s="701"/>
      <c r="I404" s="701" t="s">
        <v>1406</v>
      </c>
      <c r="J404" s="620"/>
      <c r="K404" s="620"/>
      <c r="L404" s="620"/>
      <c r="M404" s="620"/>
      <c r="N404" s="690"/>
      <c r="O404" s="691"/>
      <c r="P404" s="691"/>
    </row>
    <row r="405" spans="3:16" s="189" customFormat="1">
      <c r="C405" s="620"/>
      <c r="D405" s="620"/>
      <c r="E405" s="620"/>
      <c r="F405" s="620"/>
      <c r="G405" s="700" t="s">
        <v>1750</v>
      </c>
      <c r="H405" s="701"/>
      <c r="I405" s="701" t="s">
        <v>375</v>
      </c>
      <c r="J405" s="620"/>
      <c r="K405" s="620"/>
      <c r="L405" s="620"/>
      <c r="M405" s="620"/>
      <c r="N405" s="690"/>
      <c r="O405" s="691"/>
      <c r="P405" s="691"/>
    </row>
    <row r="406" spans="3:16" s="189" customFormat="1">
      <c r="C406" s="620"/>
      <c r="D406" s="620"/>
      <c r="E406" s="620"/>
      <c r="F406" s="620"/>
      <c r="G406" s="700" t="s">
        <v>1798</v>
      </c>
      <c r="H406" s="701"/>
      <c r="I406" s="701" t="s">
        <v>2010</v>
      </c>
      <c r="J406" s="620"/>
      <c r="K406" s="620"/>
      <c r="L406" s="620"/>
      <c r="M406" s="620"/>
      <c r="N406" s="690"/>
      <c r="O406" s="691"/>
      <c r="P406" s="691"/>
    </row>
    <row r="407" spans="3:16" s="189" customFormat="1">
      <c r="C407" s="620"/>
      <c r="D407" s="620"/>
      <c r="E407" s="620"/>
      <c r="F407" s="620"/>
      <c r="G407" s="700" t="s">
        <v>1863</v>
      </c>
      <c r="H407" s="701"/>
      <c r="I407" s="701" t="s">
        <v>2012</v>
      </c>
      <c r="J407" s="620"/>
      <c r="K407" s="620"/>
      <c r="L407" s="620"/>
      <c r="M407" s="620"/>
      <c r="N407" s="690"/>
      <c r="O407" s="691"/>
      <c r="P407" s="691"/>
    </row>
    <row r="408" spans="3:16" s="189" customFormat="1">
      <c r="C408" s="620"/>
      <c r="D408" s="620"/>
      <c r="E408" s="620"/>
      <c r="F408" s="620"/>
      <c r="G408" s="700" t="s">
        <v>875</v>
      </c>
      <c r="H408" s="701"/>
      <c r="I408" s="701" t="s">
        <v>1742</v>
      </c>
      <c r="J408" s="620"/>
      <c r="K408" s="620"/>
      <c r="L408" s="620"/>
      <c r="M408" s="620"/>
      <c r="N408" s="690"/>
      <c r="O408" s="691"/>
      <c r="P408" s="691"/>
    </row>
    <row r="409" spans="3:16" s="189" customFormat="1">
      <c r="C409" s="620"/>
      <c r="D409" s="620"/>
      <c r="E409" s="620"/>
      <c r="F409" s="620"/>
      <c r="G409" s="700" t="s">
        <v>554</v>
      </c>
      <c r="H409" s="701"/>
      <c r="I409" s="701" t="s">
        <v>1744</v>
      </c>
      <c r="J409" s="620"/>
      <c r="K409" s="620"/>
      <c r="L409" s="620"/>
      <c r="M409" s="620"/>
      <c r="N409" s="690"/>
      <c r="O409" s="691"/>
      <c r="P409" s="691"/>
    </row>
    <row r="410" spans="3:16" s="189" customFormat="1">
      <c r="C410" s="620"/>
      <c r="D410" s="620"/>
      <c r="E410" s="620"/>
      <c r="F410" s="620"/>
      <c r="G410" s="700" t="s">
        <v>562</v>
      </c>
      <c r="H410" s="701"/>
      <c r="I410" s="701" t="s">
        <v>1172</v>
      </c>
      <c r="J410" s="620"/>
      <c r="K410" s="620"/>
      <c r="L410" s="620"/>
      <c r="M410" s="620"/>
      <c r="N410" s="690"/>
      <c r="O410" s="691"/>
      <c r="P410" s="691"/>
    </row>
    <row r="411" spans="3:16" s="189" customFormat="1">
      <c r="C411" s="620"/>
      <c r="D411" s="620"/>
      <c r="E411" s="620"/>
      <c r="F411" s="620"/>
      <c r="G411" s="700" t="s">
        <v>2234</v>
      </c>
      <c r="H411" s="701"/>
      <c r="I411" s="701" t="s">
        <v>1176</v>
      </c>
      <c r="J411" s="620"/>
      <c r="K411" s="620"/>
      <c r="L411" s="620"/>
      <c r="M411" s="620"/>
      <c r="N411" s="690"/>
      <c r="O411" s="691"/>
      <c r="P411" s="691"/>
    </row>
    <row r="412" spans="3:16" s="189" customFormat="1">
      <c r="C412" s="620"/>
      <c r="D412" s="620"/>
      <c r="E412" s="620"/>
      <c r="F412" s="620"/>
      <c r="G412" s="700" t="s">
        <v>417</v>
      </c>
      <c r="H412" s="701"/>
      <c r="I412" s="701" t="s">
        <v>2312</v>
      </c>
      <c r="J412" s="620"/>
      <c r="K412" s="620"/>
      <c r="L412" s="620"/>
      <c r="M412" s="620"/>
      <c r="N412" s="690"/>
      <c r="O412" s="691"/>
      <c r="P412" s="691"/>
    </row>
    <row r="413" spans="3:16" s="189" customFormat="1">
      <c r="C413" s="620"/>
      <c r="D413" s="620"/>
      <c r="E413" s="620"/>
      <c r="F413" s="620"/>
      <c r="G413" s="700" t="s">
        <v>2261</v>
      </c>
      <c r="H413" s="701"/>
      <c r="I413" s="701" t="s">
        <v>2317</v>
      </c>
      <c r="J413" s="620"/>
      <c r="K413" s="620"/>
      <c r="L413" s="620"/>
      <c r="M413" s="620"/>
      <c r="N413" s="690"/>
      <c r="O413" s="691"/>
      <c r="P413" s="691"/>
    </row>
    <row r="414" spans="3:16" s="189" customFormat="1">
      <c r="C414" s="620"/>
      <c r="D414" s="620"/>
      <c r="E414" s="620"/>
      <c r="F414" s="620"/>
      <c r="G414" s="700" t="s">
        <v>1536</v>
      </c>
      <c r="H414" s="701"/>
      <c r="I414" s="701" t="s">
        <v>2319</v>
      </c>
      <c r="J414" s="620"/>
      <c r="K414" s="620"/>
      <c r="L414" s="620"/>
      <c r="M414" s="620"/>
      <c r="N414" s="690"/>
      <c r="O414" s="691"/>
      <c r="P414" s="691"/>
    </row>
    <row r="415" spans="3:16" s="189" customFormat="1" ht="13.5">
      <c r="C415" s="620"/>
      <c r="D415" s="702"/>
      <c r="E415" s="620"/>
      <c r="F415" s="620"/>
      <c r="G415" s="700" t="s">
        <v>258</v>
      </c>
      <c r="H415" s="703"/>
      <c r="I415" s="701" t="s">
        <v>2323</v>
      </c>
      <c r="J415" s="620"/>
      <c r="K415" s="620"/>
      <c r="L415" s="620"/>
      <c r="M415" s="620"/>
      <c r="N415" s="690"/>
      <c r="O415" s="691"/>
      <c r="P415" s="691"/>
    </row>
    <row r="416" spans="3:16" s="189" customFormat="1" ht="13.5">
      <c r="C416" s="702"/>
      <c r="D416" s="702"/>
      <c r="E416" s="620"/>
      <c r="F416" s="620"/>
      <c r="G416" s="700" t="s">
        <v>70</v>
      </c>
      <c r="H416" s="703"/>
      <c r="I416" s="701" t="s">
        <v>2327</v>
      </c>
      <c r="J416" s="620"/>
      <c r="K416" s="620"/>
      <c r="L416" s="620"/>
      <c r="M416" s="620"/>
      <c r="N416" s="690"/>
      <c r="O416" s="691"/>
      <c r="P416" s="691"/>
    </row>
    <row r="417" spans="1:16" s="189" customFormat="1" ht="13.5">
      <c r="C417" s="702"/>
      <c r="D417" s="704"/>
      <c r="E417" s="620"/>
      <c r="F417" s="620"/>
      <c r="G417" s="700" t="s">
        <v>2418</v>
      </c>
      <c r="H417" s="703"/>
      <c r="I417" s="701" t="s">
        <v>1778</v>
      </c>
      <c r="J417" s="620"/>
      <c r="K417" s="620"/>
      <c r="L417" s="620"/>
      <c r="M417" s="620"/>
      <c r="N417" s="690"/>
      <c r="O417" s="691"/>
      <c r="P417" s="691"/>
    </row>
    <row r="418" spans="1:16" s="189" customFormat="1">
      <c r="C418" s="702"/>
      <c r="D418" s="704"/>
      <c r="E418" s="704"/>
      <c r="F418" s="620"/>
      <c r="G418" s="700" t="s">
        <v>2305</v>
      </c>
      <c r="H418" s="620"/>
      <c r="I418" s="701" t="s">
        <v>1779</v>
      </c>
      <c r="J418" s="620"/>
      <c r="K418" s="620"/>
      <c r="L418" s="620"/>
      <c r="M418" s="620"/>
      <c r="N418" s="690"/>
      <c r="O418" s="691"/>
      <c r="P418" s="691"/>
    </row>
    <row r="419" spans="1:16" s="189" customFormat="1" ht="51">
      <c r="C419" s="702"/>
      <c r="D419" s="620"/>
      <c r="E419" s="620"/>
      <c r="F419" s="620"/>
      <c r="G419" s="700" t="s">
        <v>1751</v>
      </c>
      <c r="H419" s="620"/>
      <c r="I419" s="701" t="s">
        <v>2054</v>
      </c>
      <c r="J419" s="620"/>
      <c r="K419" s="620"/>
      <c r="L419" s="620"/>
      <c r="M419" s="620"/>
      <c r="N419" s="690"/>
      <c r="O419" s="691"/>
      <c r="P419" s="691"/>
    </row>
    <row r="420" spans="1:16" s="189" customFormat="1">
      <c r="C420" s="702"/>
      <c r="D420" s="620"/>
      <c r="E420" s="620"/>
      <c r="F420" s="620"/>
      <c r="G420" s="700" t="s">
        <v>2408</v>
      </c>
      <c r="H420" s="620"/>
      <c r="I420" s="621" t="s">
        <v>107</v>
      </c>
      <c r="J420" s="620"/>
      <c r="K420" s="620"/>
      <c r="L420" s="620"/>
      <c r="M420" s="620"/>
      <c r="N420" s="690"/>
      <c r="O420" s="691"/>
      <c r="P420" s="691"/>
    </row>
    <row r="421" spans="1:16" s="189" customFormat="1" ht="13.5">
      <c r="C421" s="702"/>
      <c r="D421" s="620"/>
      <c r="E421" s="620"/>
      <c r="F421" s="620"/>
      <c r="G421" s="700" t="s">
        <v>2410</v>
      </c>
      <c r="H421" s="620"/>
      <c r="I421" s="703" t="s">
        <v>113</v>
      </c>
      <c r="J421" s="620"/>
      <c r="K421" s="620"/>
      <c r="L421" s="620"/>
      <c r="M421" s="620"/>
      <c r="N421" s="690"/>
      <c r="O421" s="691"/>
      <c r="P421" s="691"/>
    </row>
    <row r="422" spans="1:16" s="189" customFormat="1" ht="13.5">
      <c r="C422" s="702"/>
      <c r="D422" s="620"/>
      <c r="E422" s="620"/>
      <c r="F422" s="620"/>
      <c r="G422" s="705" t="s">
        <v>2266</v>
      </c>
      <c r="H422" s="620"/>
      <c r="I422" s="703" t="s">
        <v>2558</v>
      </c>
      <c r="J422" s="620"/>
      <c r="K422" s="620"/>
      <c r="L422" s="620"/>
      <c r="M422" s="620"/>
      <c r="N422" s="690"/>
      <c r="O422" s="691"/>
      <c r="P422" s="691"/>
    </row>
    <row r="423" spans="1:16" s="189" customFormat="1" ht="13.5">
      <c r="C423" s="704"/>
      <c r="D423" s="620"/>
      <c r="E423" s="620"/>
      <c r="F423" s="620"/>
      <c r="G423" s="705" t="s">
        <v>1752</v>
      </c>
      <c r="H423" s="620"/>
      <c r="I423" s="703" t="s">
        <v>2560</v>
      </c>
      <c r="J423" s="620"/>
      <c r="K423" s="620"/>
      <c r="L423" s="620"/>
      <c r="M423" s="620"/>
      <c r="N423" s="690"/>
      <c r="O423" s="691"/>
      <c r="P423" s="691"/>
    </row>
    <row r="424" spans="1:16" s="189" customFormat="1" ht="13.5">
      <c r="C424" s="704"/>
      <c r="D424" s="620"/>
      <c r="E424" s="620"/>
      <c r="F424" s="620"/>
      <c r="G424" s="705" t="s">
        <v>2486</v>
      </c>
      <c r="H424" s="620"/>
      <c r="I424" s="703" t="s">
        <v>2562</v>
      </c>
      <c r="J424" s="620"/>
      <c r="K424" s="620"/>
      <c r="L424" s="620"/>
      <c r="M424" s="620"/>
      <c r="N424" s="690"/>
      <c r="O424" s="691"/>
      <c r="P424" s="691"/>
    </row>
    <row r="425" spans="1:16" s="189" customFormat="1" ht="13.5">
      <c r="C425" s="620"/>
      <c r="D425" s="620"/>
      <c r="E425" s="620"/>
      <c r="F425" s="620"/>
      <c r="G425" s="705" t="s">
        <v>2411</v>
      </c>
      <c r="H425" s="620"/>
      <c r="I425" s="620"/>
      <c r="J425" s="620"/>
      <c r="K425" s="620"/>
      <c r="L425" s="620"/>
      <c r="M425" s="620"/>
      <c r="N425" s="690"/>
      <c r="O425" s="691"/>
      <c r="P425" s="691"/>
    </row>
    <row r="426" spans="1:16" s="189" customFormat="1" ht="13.5">
      <c r="C426" s="620"/>
      <c r="D426" s="620"/>
      <c r="E426" s="620"/>
      <c r="F426" s="620"/>
      <c r="G426" s="705" t="s">
        <v>1815</v>
      </c>
      <c r="H426" s="620"/>
      <c r="I426" s="620"/>
      <c r="J426" s="620"/>
      <c r="K426" s="620"/>
      <c r="L426" s="620"/>
      <c r="M426" s="620"/>
      <c r="N426" s="690"/>
      <c r="O426" s="691"/>
      <c r="P426" s="691"/>
    </row>
    <row r="427" spans="1:16" s="189" customFormat="1" ht="13.5">
      <c r="C427" s="620"/>
      <c r="D427" s="620"/>
      <c r="E427" s="620"/>
      <c r="F427" s="620"/>
      <c r="G427" s="705" t="s">
        <v>1820</v>
      </c>
      <c r="H427" s="620"/>
      <c r="I427" s="620"/>
      <c r="J427" s="620"/>
      <c r="K427" s="620"/>
      <c r="L427" s="620"/>
      <c r="M427" s="620"/>
      <c r="N427" s="690"/>
      <c r="O427" s="691"/>
      <c r="P427" s="691"/>
    </row>
    <row r="428" spans="1:16" s="189" customFormat="1" ht="13.5">
      <c r="C428" s="620"/>
      <c r="D428" s="620"/>
      <c r="E428" s="620"/>
      <c r="F428" s="620"/>
      <c r="G428" s="705" t="s">
        <v>1823</v>
      </c>
      <c r="H428" s="620"/>
      <c r="I428" s="620"/>
      <c r="J428" s="620"/>
      <c r="K428" s="620"/>
      <c r="L428" s="620"/>
      <c r="M428" s="620"/>
      <c r="N428" s="690"/>
      <c r="O428" s="691"/>
      <c r="P428" s="691"/>
    </row>
    <row r="429" spans="1:16" s="189" customFormat="1">
      <c r="C429" s="620"/>
      <c r="D429" s="620"/>
      <c r="E429" s="620"/>
      <c r="F429" s="620"/>
      <c r="G429" s="622" t="s">
        <v>1828</v>
      </c>
      <c r="H429" s="620"/>
      <c r="I429" s="620"/>
      <c r="J429" s="620"/>
      <c r="K429" s="620"/>
      <c r="L429" s="620"/>
      <c r="M429" s="620"/>
      <c r="N429" s="690"/>
      <c r="O429" s="691"/>
      <c r="P429" s="691"/>
    </row>
    <row r="430" spans="1:16" s="189" customFormat="1">
      <c r="C430" s="620"/>
      <c r="D430" s="620"/>
      <c r="E430" s="620"/>
      <c r="F430" s="620"/>
      <c r="G430" s="622" t="s">
        <v>109</v>
      </c>
      <c r="H430" s="620"/>
      <c r="I430" s="620"/>
      <c r="J430" s="620"/>
      <c r="K430" s="620"/>
      <c r="L430" s="620"/>
      <c r="M430" s="620"/>
      <c r="N430" s="690"/>
      <c r="O430" s="691"/>
      <c r="P430" s="691"/>
    </row>
    <row r="431" spans="1:16">
      <c r="A431" s="189"/>
      <c r="B431" s="189"/>
      <c r="C431" s="620"/>
      <c r="D431" s="620"/>
      <c r="E431" s="620"/>
      <c r="F431" s="620"/>
      <c r="G431" s="622" t="s">
        <v>312</v>
      </c>
      <c r="H431" s="620"/>
      <c r="I431" s="620"/>
      <c r="J431" s="620"/>
      <c r="K431" s="620"/>
      <c r="L431" s="620"/>
      <c r="M431" s="620"/>
      <c r="N431" s="690"/>
      <c r="O431" s="691"/>
      <c r="P431" s="691"/>
    </row>
    <row r="432" spans="1:16">
      <c r="A432" s="189"/>
      <c r="B432" s="189"/>
      <c r="C432" s="620"/>
      <c r="D432" s="620"/>
      <c r="E432" s="620"/>
      <c r="F432" s="620"/>
      <c r="G432" s="622" t="s">
        <v>313</v>
      </c>
      <c r="H432" s="620"/>
      <c r="I432" s="620"/>
      <c r="J432" s="620"/>
      <c r="K432" s="620"/>
      <c r="L432" s="620"/>
      <c r="M432" s="620"/>
      <c r="N432" s="690"/>
      <c r="O432" s="691"/>
      <c r="P432" s="691"/>
    </row>
    <row r="433" spans="3:16">
      <c r="C433" s="620"/>
      <c r="D433" s="620"/>
      <c r="E433" s="620"/>
      <c r="F433" s="620"/>
      <c r="G433" s="622" t="s">
        <v>1651</v>
      </c>
      <c r="H433" s="620"/>
      <c r="I433" s="620"/>
      <c r="J433" s="620"/>
      <c r="K433" s="620"/>
      <c r="L433" s="620"/>
      <c r="M433" s="620"/>
      <c r="N433" s="690"/>
      <c r="O433" s="691"/>
      <c r="P433" s="691"/>
    </row>
    <row r="434" spans="3:16">
      <c r="C434" s="620"/>
      <c r="D434" s="620"/>
      <c r="E434" s="620"/>
      <c r="F434" s="620"/>
      <c r="G434" s="620"/>
      <c r="H434" s="620"/>
      <c r="I434" s="620"/>
      <c r="J434" s="620"/>
      <c r="K434" s="620"/>
      <c r="L434" s="620"/>
      <c r="M434" s="620"/>
      <c r="N434" s="690"/>
      <c r="O434" s="691"/>
      <c r="P434" s="691"/>
    </row>
    <row r="435" spans="3:16">
      <c r="C435" s="620"/>
      <c r="D435" s="620"/>
      <c r="E435" s="620"/>
      <c r="F435" s="620"/>
      <c r="G435" s="620"/>
      <c r="H435" s="620"/>
      <c r="I435" s="620"/>
      <c r="J435" s="620"/>
      <c r="K435" s="620"/>
      <c r="L435" s="620"/>
      <c r="M435" s="620"/>
      <c r="N435" s="690"/>
      <c r="O435" s="691"/>
      <c r="P435" s="691"/>
    </row>
    <row r="436" spans="3:16">
      <c r="G436" s="189"/>
    </row>
    <row r="437" spans="3:16">
      <c r="G437" s="144"/>
    </row>
    <row r="438" spans="3:16">
      <c r="G438" s="144"/>
    </row>
  </sheetData>
  <sheetProtection password="B388"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topLeftCell="A6" workbookViewId="0">
      <selection activeCell="A6" sqref="A1:XFD1048576"/>
    </sheetView>
  </sheetViews>
  <sheetFormatPr defaultRowHeight="12.75"/>
  <cols>
    <col min="1" max="1" width="88.42578125" style="31" customWidth="1"/>
    <col min="2" max="16384" width="9.140625" style="31"/>
  </cols>
  <sheetData>
    <row r="1" spans="1:6" ht="15.75">
      <c r="A1" s="1935" t="s">
        <v>3600</v>
      </c>
    </row>
    <row r="2" spans="1:6" ht="16.5">
      <c r="A2" s="1936" t="str">
        <f>'Part I-Project Information'!F23</f>
        <v>Trinity Walk Phase I</v>
      </c>
    </row>
    <row r="3" spans="1:6" ht="16.5">
      <c r="A3" s="1936" t="str">
        <f>CONCATENATE('Part I-Project Information'!F27,", ", 'Part I-Project Information'!J28," County")</f>
        <v>Decatur, DeKalb County</v>
      </c>
    </row>
    <row r="4" spans="1:6" ht="16.5">
      <c r="A4" s="2408"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37" t="s">
        <v>3850</v>
      </c>
      <c r="B6" s="1566" t="s">
        <v>2922</v>
      </c>
      <c r="C6" s="1181"/>
      <c r="D6" s="1181"/>
      <c r="E6" s="1181"/>
      <c r="F6" s="1181"/>
    </row>
    <row r="7" spans="1:6" ht="6.6" customHeight="1">
      <c r="A7" s="1937"/>
      <c r="B7" s="1566"/>
      <c r="C7" s="1181"/>
      <c r="D7" s="1181"/>
      <c r="E7" s="1181"/>
      <c r="F7" s="1181"/>
    </row>
    <row r="8" spans="1:6" ht="134.25" customHeight="1">
      <c r="A8" s="1937"/>
      <c r="C8" s="2409"/>
    </row>
    <row r="9" spans="1:6" ht="6.6" customHeight="1">
      <c r="A9" s="1937"/>
    </row>
    <row r="10" spans="1:6" ht="111" customHeight="1">
      <c r="A10" s="1937"/>
    </row>
    <row r="11" spans="1:6" ht="6.6" customHeight="1">
      <c r="A11" s="1937"/>
    </row>
    <row r="12" spans="1:6" ht="111" customHeight="1">
      <c r="A12" s="1937"/>
    </row>
    <row r="13" spans="1:6" ht="6.6" customHeight="1">
      <c r="A13" s="1937"/>
    </row>
    <row r="14" spans="1:6" ht="111" customHeight="1">
      <c r="A14" s="1937"/>
    </row>
    <row r="15" spans="1:6" ht="6.6" customHeight="1">
      <c r="A15" s="1937"/>
    </row>
    <row r="16" spans="1:6" ht="111" customHeight="1">
      <c r="A16" s="1937"/>
    </row>
    <row r="17" spans="1:1" ht="6.6" customHeight="1">
      <c r="A17" s="1937"/>
    </row>
    <row r="18" spans="1:1" ht="111" customHeight="1">
      <c r="A18" s="1937"/>
    </row>
    <row r="19" spans="1:1" ht="6.6" customHeight="1">
      <c r="A19" s="1937"/>
    </row>
    <row r="20" spans="1:1" ht="105.75" customHeight="1">
      <c r="A20" s="1937"/>
    </row>
    <row r="21" spans="1:1" ht="6.6" customHeight="1">
      <c r="A21" s="1937"/>
    </row>
    <row r="22" spans="1:1" ht="105.75" customHeight="1">
      <c r="A22" s="1937"/>
    </row>
    <row r="23" spans="1:1" ht="6.6" customHeight="1">
      <c r="A23" s="1937"/>
    </row>
    <row r="24" spans="1:1" ht="105.75" customHeight="1">
      <c r="A24" s="1937"/>
    </row>
    <row r="25" spans="1:1" ht="6.6" customHeight="1">
      <c r="A25" s="2410"/>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2411" customWidth="1"/>
    <col min="2" max="12" width="7.28515625" style="2411" customWidth="1"/>
    <col min="13" max="13" width="8.7109375" style="2411" customWidth="1"/>
    <col min="14" max="15" width="5.85546875" style="2411" customWidth="1"/>
    <col min="16" max="16384" width="8.85546875" style="2411"/>
  </cols>
  <sheetData>
    <row r="1" spans="1:26" ht="19.5">
      <c r="N1" s="2412" t="s">
        <v>1600</v>
      </c>
      <c r="O1" s="2412"/>
      <c r="P1" s="2412"/>
      <c r="Q1" s="2412"/>
      <c r="R1" s="2412"/>
      <c r="S1" s="2412"/>
      <c r="T1" s="2412"/>
      <c r="U1" s="2412"/>
      <c r="V1" s="2412"/>
      <c r="W1" s="2412"/>
      <c r="X1" s="2412"/>
      <c r="Y1" s="2412"/>
      <c r="Z1" s="2412"/>
    </row>
    <row r="3" spans="1:26">
      <c r="N3" s="2413" t="s">
        <v>1601</v>
      </c>
      <c r="O3" s="2413"/>
      <c r="P3" s="2413"/>
      <c r="Q3" s="2413"/>
      <c r="R3" s="2413"/>
      <c r="S3" s="2413"/>
      <c r="T3" s="2413"/>
      <c r="U3" s="2413"/>
      <c r="V3" s="2413"/>
      <c r="W3" s="2413"/>
      <c r="X3" s="2413"/>
      <c r="Y3" s="2413"/>
      <c r="Z3" s="2413"/>
    </row>
    <row r="4" spans="1:26">
      <c r="N4" s="2414" t="s">
        <v>1602</v>
      </c>
      <c r="O4" s="2414"/>
      <c r="P4" s="2414"/>
      <c r="Q4" s="2414"/>
      <c r="R4" s="2414"/>
      <c r="S4" s="2414"/>
      <c r="T4" s="2414"/>
      <c r="U4" s="2414"/>
      <c r="V4" s="2414"/>
      <c r="W4" s="2414"/>
      <c r="X4" s="2414"/>
      <c r="Y4" s="2414"/>
      <c r="Z4" s="2414"/>
    </row>
    <row r="6" spans="1:26">
      <c r="B6" s="2415"/>
      <c r="C6" s="2415"/>
      <c r="D6" s="2415"/>
      <c r="E6" s="2415"/>
      <c r="F6" s="2415"/>
      <c r="G6" s="2415"/>
      <c r="H6" s="2415"/>
      <c r="I6" s="2415"/>
      <c r="J6" s="2415"/>
      <c r="K6" s="2415"/>
      <c r="L6" s="2415"/>
      <c r="M6" s="2415"/>
      <c r="N6" s="2416" t="s">
        <v>750</v>
      </c>
    </row>
    <row r="7" spans="1:26" ht="57" customHeight="1">
      <c r="A7" s="2417" t="s">
        <v>3122</v>
      </c>
      <c r="B7" s="2417"/>
      <c r="C7" s="2417"/>
      <c r="D7" s="2417"/>
      <c r="E7" s="2417"/>
      <c r="F7" s="2417"/>
      <c r="G7" s="2417"/>
      <c r="H7" s="2417"/>
      <c r="I7" s="2417"/>
      <c r="J7" s="2417"/>
      <c r="K7" s="2417"/>
      <c r="L7" s="2417"/>
      <c r="M7" s="2417"/>
    </row>
    <row r="8" spans="1:26" ht="11.45" customHeight="1">
      <c r="A8" s="2415"/>
      <c r="B8" s="2415"/>
      <c r="C8" s="2415"/>
      <c r="D8" s="2415"/>
      <c r="E8" s="2415"/>
      <c r="F8" s="2415"/>
      <c r="G8" s="2415"/>
      <c r="H8" s="2415"/>
      <c r="I8" s="2415"/>
      <c r="J8" s="2415"/>
      <c r="K8" s="2415"/>
      <c r="L8" s="2415"/>
      <c r="M8" s="2415"/>
    </row>
    <row r="9" spans="1:26">
      <c r="A9" s="2415" t="s">
        <v>755</v>
      </c>
      <c r="B9" s="2415"/>
      <c r="C9" s="2415"/>
      <c r="D9" s="2415"/>
      <c r="E9" s="2415"/>
      <c r="F9" s="2415"/>
      <c r="G9" s="2415"/>
      <c r="H9" s="2415"/>
      <c r="I9" s="2415"/>
      <c r="J9" s="2415"/>
      <c r="K9" s="2415"/>
      <c r="L9" s="2415"/>
      <c r="M9" s="2415"/>
    </row>
    <row r="10" spans="1:26" ht="11.45" customHeight="1">
      <c r="A10" s="2415"/>
      <c r="B10" s="2415"/>
      <c r="C10" s="2415"/>
      <c r="D10" s="2415"/>
      <c r="E10" s="2415"/>
      <c r="F10" s="2415"/>
      <c r="G10" s="2415"/>
      <c r="H10" s="2415"/>
      <c r="I10" s="2415"/>
      <c r="J10" s="2415"/>
      <c r="K10" s="2415"/>
      <c r="L10" s="2415"/>
      <c r="M10" s="2415"/>
    </row>
    <row r="11" spans="1:26">
      <c r="A11" s="2418" t="s">
        <v>2040</v>
      </c>
      <c r="B11" s="2418"/>
      <c r="C11" s="2418"/>
      <c r="D11" s="2418"/>
      <c r="E11" s="2418"/>
      <c r="F11" s="2418"/>
      <c r="G11" s="2418"/>
      <c r="H11" s="2418"/>
      <c r="I11" s="2418"/>
      <c r="J11" s="2418"/>
      <c r="K11" s="2418"/>
      <c r="L11" s="2418"/>
      <c r="M11" s="2418"/>
    </row>
    <row r="12" spans="1:26" ht="6.75" customHeight="1">
      <c r="A12" s="2418"/>
      <c r="B12" s="2418"/>
      <c r="C12" s="2418"/>
      <c r="D12" s="2418"/>
      <c r="E12" s="2418"/>
      <c r="F12" s="2418"/>
      <c r="G12" s="2418"/>
      <c r="H12" s="2418"/>
      <c r="I12" s="2418"/>
      <c r="J12" s="2418"/>
      <c r="K12" s="2418"/>
      <c r="L12" s="2418"/>
      <c r="M12" s="2418"/>
    </row>
    <row r="13" spans="1:26" ht="44.25" customHeight="1">
      <c r="A13" s="2419" t="s">
        <v>3383</v>
      </c>
      <c r="B13" s="2419"/>
      <c r="C13" s="2419"/>
      <c r="D13" s="2419"/>
      <c r="E13" s="2419"/>
      <c r="F13" s="2419"/>
      <c r="G13" s="2419"/>
      <c r="H13" s="2419"/>
      <c r="I13" s="2419"/>
      <c r="J13" s="2419"/>
      <c r="K13" s="2419"/>
      <c r="L13" s="2419"/>
      <c r="M13" s="2419"/>
    </row>
    <row r="14" spans="1:26" ht="3" customHeight="1">
      <c r="A14" s="2418"/>
      <c r="B14" s="2418"/>
      <c r="C14" s="2418"/>
      <c r="D14" s="2418"/>
      <c r="E14" s="2418"/>
      <c r="F14" s="2418"/>
      <c r="G14" s="2418"/>
      <c r="H14" s="2418"/>
      <c r="I14" s="2418"/>
      <c r="J14" s="2418"/>
      <c r="K14" s="2418"/>
      <c r="L14" s="2418"/>
      <c r="M14" s="2418"/>
    </row>
    <row r="15" spans="1:26" ht="87.75" customHeight="1">
      <c r="A15" s="2420" t="s">
        <v>1859</v>
      </c>
      <c r="B15" s="2421" t="s">
        <v>3123</v>
      </c>
      <c r="C15" s="2421"/>
      <c r="D15" s="2421"/>
      <c r="E15" s="2421"/>
      <c r="F15" s="2421"/>
      <c r="G15" s="2421"/>
      <c r="H15" s="2421"/>
      <c r="I15" s="2421"/>
      <c r="J15" s="2421"/>
      <c r="K15" s="2421"/>
      <c r="L15" s="2421"/>
      <c r="M15" s="2421"/>
    </row>
    <row r="16" spans="1:26" ht="3" customHeight="1">
      <c r="A16" s="2418"/>
      <c r="B16" s="2418"/>
      <c r="C16" s="2418"/>
      <c r="D16" s="2418"/>
      <c r="E16" s="2418"/>
      <c r="F16" s="2418"/>
      <c r="G16" s="2418"/>
      <c r="H16" s="2418"/>
      <c r="I16" s="2418"/>
      <c r="J16" s="2418"/>
      <c r="K16" s="2418"/>
      <c r="L16" s="2418"/>
      <c r="M16" s="2418"/>
    </row>
    <row r="17" spans="1:13" ht="58.5" customHeight="1">
      <c r="A17" s="2420" t="s">
        <v>1860</v>
      </c>
      <c r="B17" s="2421" t="s">
        <v>3124</v>
      </c>
      <c r="C17" s="2421"/>
      <c r="D17" s="2421"/>
      <c r="E17" s="2421"/>
      <c r="F17" s="2421"/>
      <c r="G17" s="2421"/>
      <c r="H17" s="2421"/>
      <c r="I17" s="2421"/>
      <c r="J17" s="2421"/>
      <c r="K17" s="2421"/>
      <c r="L17" s="2421"/>
      <c r="M17" s="2421"/>
    </row>
    <row r="18" spans="1:13" ht="3" customHeight="1">
      <c r="A18" s="2418"/>
      <c r="B18" s="2418"/>
      <c r="C18" s="2418"/>
      <c r="D18" s="2418"/>
      <c r="E18" s="2418"/>
      <c r="F18" s="2418"/>
      <c r="G18" s="2418"/>
      <c r="H18" s="2418"/>
      <c r="I18" s="2418"/>
      <c r="J18" s="2418"/>
      <c r="K18" s="2418"/>
      <c r="L18" s="2418"/>
      <c r="M18" s="2418"/>
    </row>
    <row r="19" spans="1:13" ht="115.5" customHeight="1">
      <c r="A19" s="2420" t="s">
        <v>1861</v>
      </c>
      <c r="B19" s="2421" t="s">
        <v>685</v>
      </c>
      <c r="C19" s="2421"/>
      <c r="D19" s="2421"/>
      <c r="E19" s="2421"/>
      <c r="F19" s="2421"/>
      <c r="G19" s="2421"/>
      <c r="H19" s="2421"/>
      <c r="I19" s="2421"/>
      <c r="J19" s="2421"/>
      <c r="K19" s="2421"/>
      <c r="L19" s="2421"/>
      <c r="M19" s="2421"/>
    </row>
    <row r="20" spans="1:13" ht="3" customHeight="1">
      <c r="A20" s="2418"/>
      <c r="B20" s="2418"/>
      <c r="C20" s="2418"/>
      <c r="D20" s="2418"/>
      <c r="E20" s="2418"/>
      <c r="F20" s="2418"/>
      <c r="G20" s="2418"/>
      <c r="H20" s="2418"/>
      <c r="I20" s="2418"/>
      <c r="J20" s="2418"/>
      <c r="K20" s="2418"/>
      <c r="L20" s="2418"/>
      <c r="M20" s="2418"/>
    </row>
    <row r="21" spans="1:13" ht="149.25" customHeight="1">
      <c r="A21" s="2420" t="s">
        <v>2521</v>
      </c>
      <c r="B21" s="2421" t="s">
        <v>3584</v>
      </c>
      <c r="C21" s="2421"/>
      <c r="D21" s="2421"/>
      <c r="E21" s="2421"/>
      <c r="F21" s="2421"/>
      <c r="G21" s="2421"/>
      <c r="H21" s="2421"/>
      <c r="I21" s="2421"/>
      <c r="J21" s="2421"/>
      <c r="K21" s="2421"/>
      <c r="L21" s="2421"/>
      <c r="M21" s="2421"/>
    </row>
    <row r="22" spans="1:13" ht="3" customHeight="1">
      <c r="A22" s="2418"/>
      <c r="B22" s="2418"/>
      <c r="C22" s="2418"/>
      <c r="D22" s="2418"/>
      <c r="E22" s="2418"/>
      <c r="F22" s="2418"/>
      <c r="G22" s="2418"/>
      <c r="H22" s="2418"/>
      <c r="I22" s="2418"/>
      <c r="J22" s="2418"/>
      <c r="K22" s="2418"/>
      <c r="L22" s="2418"/>
      <c r="M22" s="2418"/>
    </row>
    <row r="23" spans="1:13" ht="44.25" customHeight="1">
      <c r="A23" s="2420" t="s">
        <v>1657</v>
      </c>
      <c r="B23" s="2421" t="s">
        <v>729</v>
      </c>
      <c r="C23" s="2421"/>
      <c r="D23" s="2421"/>
      <c r="E23" s="2421"/>
      <c r="F23" s="2421"/>
      <c r="G23" s="2421"/>
      <c r="H23" s="2421"/>
      <c r="I23" s="2421"/>
      <c r="J23" s="2421"/>
      <c r="K23" s="2421"/>
      <c r="L23" s="2421"/>
      <c r="M23" s="2421"/>
    </row>
    <row r="24" spans="1:13" ht="165" customHeight="1">
      <c r="A24" s="2420" t="s">
        <v>1658</v>
      </c>
      <c r="B24" s="2421" t="s">
        <v>3585</v>
      </c>
      <c r="C24" s="2421"/>
      <c r="D24" s="2421"/>
      <c r="E24" s="2421"/>
      <c r="F24" s="2421"/>
      <c r="G24" s="2421"/>
      <c r="H24" s="2421"/>
      <c r="I24" s="2421"/>
      <c r="J24" s="2421"/>
      <c r="K24" s="2421"/>
      <c r="L24" s="2421"/>
      <c r="M24" s="2421"/>
    </row>
    <row r="25" spans="1:13" ht="3" customHeight="1">
      <c r="A25" s="2418"/>
      <c r="B25" s="2418"/>
      <c r="C25" s="2418"/>
      <c r="D25" s="2418"/>
      <c r="E25" s="2418"/>
      <c r="F25" s="2418"/>
      <c r="G25" s="2418"/>
      <c r="H25" s="2418"/>
      <c r="I25" s="2418"/>
      <c r="J25" s="2418"/>
      <c r="K25" s="2418"/>
      <c r="L25" s="2418"/>
      <c r="M25" s="2418"/>
    </row>
    <row r="26" spans="1:13" ht="44.25" customHeight="1">
      <c r="A26" s="2420" t="s">
        <v>101</v>
      </c>
      <c r="B26" s="2421" t="s">
        <v>3125</v>
      </c>
      <c r="C26" s="2421"/>
      <c r="D26" s="2421"/>
      <c r="E26" s="2421"/>
      <c r="F26" s="2421"/>
      <c r="G26" s="2421"/>
      <c r="H26" s="2421"/>
      <c r="I26" s="2421"/>
      <c r="J26" s="2421"/>
      <c r="K26" s="2421"/>
      <c r="L26" s="2421"/>
      <c r="M26" s="2421"/>
    </row>
    <row r="27" spans="1:13" ht="3" customHeight="1">
      <c r="A27" s="2418"/>
      <c r="B27" s="2418"/>
      <c r="C27" s="2418"/>
      <c r="D27" s="2418"/>
      <c r="E27" s="2418"/>
      <c r="F27" s="2418"/>
      <c r="G27" s="2418"/>
      <c r="H27" s="2418"/>
      <c r="I27" s="2418"/>
      <c r="J27" s="2418"/>
      <c r="K27" s="2418"/>
      <c r="L27" s="2418"/>
      <c r="M27" s="2418"/>
    </row>
    <row r="28" spans="1:13" ht="15" customHeight="1">
      <c r="A28" s="2420" t="s">
        <v>544</v>
      </c>
      <c r="B28" s="2421" t="s">
        <v>1561</v>
      </c>
      <c r="C28" s="2421"/>
      <c r="D28" s="2421"/>
      <c r="E28" s="2421"/>
      <c r="F28" s="2421"/>
      <c r="G28" s="2421"/>
      <c r="H28" s="2421"/>
      <c r="I28" s="2421"/>
      <c r="J28" s="2421"/>
      <c r="K28" s="2421"/>
      <c r="L28" s="2421"/>
      <c r="M28" s="2421"/>
    </row>
    <row r="29" spans="1:13" ht="4.5" customHeight="1">
      <c r="A29" s="2418"/>
      <c r="B29" s="2418"/>
      <c r="C29" s="2418"/>
      <c r="D29" s="2418"/>
      <c r="E29" s="2418"/>
      <c r="F29" s="2418"/>
      <c r="G29" s="2418"/>
      <c r="H29" s="2418"/>
      <c r="I29" s="2418"/>
      <c r="J29" s="2418"/>
      <c r="K29" s="2418"/>
      <c r="L29" s="2418"/>
      <c r="M29" s="2418"/>
    </row>
    <row r="30" spans="1:13" ht="15" customHeight="1">
      <c r="A30" s="2418" t="s">
        <v>1562</v>
      </c>
      <c r="B30" s="2418"/>
      <c r="C30" s="2418"/>
      <c r="D30" s="2418"/>
      <c r="E30" s="2418"/>
      <c r="F30" s="2418"/>
      <c r="G30" s="2418"/>
      <c r="H30" s="2418"/>
      <c r="I30" s="2418"/>
      <c r="J30" s="2418"/>
      <c r="K30" s="2418"/>
      <c r="L30" s="2418"/>
      <c r="M30" s="2418"/>
    </row>
    <row r="31" spans="1:13" ht="3" customHeight="1">
      <c r="A31" s="2418"/>
      <c r="B31" s="2418"/>
      <c r="C31" s="2418"/>
      <c r="D31" s="2418"/>
      <c r="E31" s="2418"/>
      <c r="F31" s="2418"/>
      <c r="G31" s="2418"/>
      <c r="H31" s="2418"/>
      <c r="I31" s="2418"/>
      <c r="J31" s="2418"/>
      <c r="K31" s="2418"/>
      <c r="L31" s="2418"/>
      <c r="M31" s="2418"/>
    </row>
    <row r="32" spans="1:13" ht="28.5" customHeight="1">
      <c r="A32" s="2422" t="s">
        <v>1563</v>
      </c>
      <c r="B32" s="2421" t="s">
        <v>3126</v>
      </c>
      <c r="C32" s="2421"/>
      <c r="D32" s="2421"/>
      <c r="E32" s="2421"/>
      <c r="F32" s="2421"/>
      <c r="G32" s="2421"/>
      <c r="H32" s="2421"/>
      <c r="I32" s="2421"/>
      <c r="J32" s="2421"/>
      <c r="K32" s="2421"/>
      <c r="L32" s="2421"/>
      <c r="M32" s="2421"/>
    </row>
    <row r="33" spans="1:13" ht="3" customHeight="1">
      <c r="A33" s="2418"/>
      <c r="B33" s="2418"/>
      <c r="C33" s="2418"/>
      <c r="D33" s="2418"/>
      <c r="E33" s="2418"/>
      <c r="F33" s="2418"/>
      <c r="G33" s="2418"/>
      <c r="H33" s="2418"/>
      <c r="I33" s="2418"/>
      <c r="J33" s="2418"/>
      <c r="K33" s="2418"/>
      <c r="L33" s="2418"/>
      <c r="M33" s="2418"/>
    </row>
    <row r="34" spans="1:13" ht="43.5" customHeight="1">
      <c r="A34" s="2422" t="s">
        <v>1563</v>
      </c>
      <c r="B34" s="2421" t="s">
        <v>3127</v>
      </c>
      <c r="C34" s="2421"/>
      <c r="D34" s="2421"/>
      <c r="E34" s="2421"/>
      <c r="F34" s="2421"/>
      <c r="G34" s="2421"/>
      <c r="H34" s="2421"/>
      <c r="I34" s="2421"/>
      <c r="J34" s="2421"/>
      <c r="K34" s="2421"/>
      <c r="L34" s="2421"/>
      <c r="M34" s="2421"/>
    </row>
    <row r="35" spans="1:13" ht="3" customHeight="1">
      <c r="A35" s="2418"/>
      <c r="B35" s="2418"/>
      <c r="C35" s="2418"/>
      <c r="D35" s="2418"/>
      <c r="E35" s="2418"/>
      <c r="F35" s="2418"/>
      <c r="G35" s="2418"/>
      <c r="H35" s="2418"/>
      <c r="I35" s="2418"/>
      <c r="J35" s="2418"/>
      <c r="K35" s="2418"/>
      <c r="L35" s="2418"/>
      <c r="M35" s="2418"/>
    </row>
    <row r="36" spans="1:13" ht="72.75" customHeight="1">
      <c r="A36" s="2422" t="s">
        <v>1563</v>
      </c>
      <c r="B36" s="2421" t="s">
        <v>3128</v>
      </c>
      <c r="C36" s="2421"/>
      <c r="D36" s="2421"/>
      <c r="E36" s="2421"/>
      <c r="F36" s="2421"/>
      <c r="G36" s="2421"/>
      <c r="H36" s="2421"/>
      <c r="I36" s="2421"/>
      <c r="J36" s="2421"/>
      <c r="K36" s="2421"/>
      <c r="L36" s="2421"/>
      <c r="M36" s="2421"/>
    </row>
    <row r="37" spans="1:13" ht="9" customHeight="1">
      <c r="A37" s="2418"/>
      <c r="B37" s="2418"/>
      <c r="C37" s="2418"/>
      <c r="D37" s="2418"/>
      <c r="E37" s="2418"/>
      <c r="F37" s="2418"/>
      <c r="G37" s="2418"/>
      <c r="H37" s="2418"/>
      <c r="I37" s="2418"/>
      <c r="J37" s="2418"/>
      <c r="K37" s="2418"/>
      <c r="L37" s="2418"/>
      <c r="M37" s="2418"/>
    </row>
    <row r="38" spans="1:13" ht="29.25" customHeight="1">
      <c r="A38" s="2421" t="s">
        <v>1002</v>
      </c>
      <c r="B38" s="2421"/>
      <c r="C38" s="2421"/>
      <c r="D38" s="2421"/>
      <c r="E38" s="2421"/>
      <c r="F38" s="2421"/>
      <c r="G38" s="2421"/>
      <c r="H38" s="2421"/>
      <c r="I38" s="2421"/>
      <c r="J38" s="2421"/>
      <c r="K38" s="2421"/>
      <c r="L38" s="2421"/>
      <c r="M38" s="2421"/>
    </row>
    <row r="39" spans="1:13" ht="3" customHeight="1">
      <c r="A39" s="2418"/>
      <c r="B39" s="2418"/>
      <c r="C39" s="2418"/>
      <c r="D39" s="2418"/>
      <c r="E39" s="2418"/>
      <c r="F39" s="2418"/>
      <c r="G39" s="2418"/>
      <c r="H39" s="2418"/>
      <c r="I39" s="2418"/>
      <c r="J39" s="2418"/>
      <c r="K39" s="2418"/>
      <c r="L39" s="2418"/>
      <c r="M39" s="2418"/>
    </row>
    <row r="40" spans="1:13" ht="29.25" customHeight="1">
      <c r="A40" s="2421" t="s">
        <v>3129</v>
      </c>
      <c r="B40" s="2421"/>
      <c r="C40" s="2421"/>
      <c r="D40" s="2421"/>
      <c r="E40" s="2421"/>
      <c r="F40" s="2421"/>
      <c r="G40" s="2421"/>
      <c r="H40" s="2421"/>
      <c r="I40" s="2421"/>
      <c r="J40" s="2421"/>
      <c r="K40" s="2421"/>
      <c r="L40" s="2421"/>
      <c r="M40" s="2421"/>
    </row>
    <row r="41" spans="1:13" ht="3" customHeight="1">
      <c r="A41" s="2418"/>
      <c r="B41" s="2418"/>
      <c r="C41" s="2418"/>
      <c r="D41" s="2418"/>
      <c r="E41" s="2418"/>
      <c r="F41" s="2418"/>
      <c r="G41" s="2418"/>
      <c r="H41" s="2418"/>
      <c r="I41" s="2418"/>
      <c r="J41" s="2418"/>
      <c r="K41" s="2418"/>
      <c r="L41" s="2418"/>
      <c r="M41" s="2418"/>
    </row>
    <row r="42" spans="1:13">
      <c r="A42" s="2418" t="s">
        <v>978</v>
      </c>
      <c r="B42" s="2418"/>
      <c r="C42" s="2418"/>
      <c r="D42" s="2418"/>
      <c r="E42" s="2418"/>
      <c r="F42" s="2418"/>
      <c r="G42" s="2418"/>
      <c r="H42" s="2418"/>
      <c r="I42" s="2418"/>
      <c r="J42" s="2418"/>
      <c r="K42" s="2418"/>
      <c r="L42" s="2418"/>
      <c r="M42" s="2418"/>
    </row>
    <row r="43" spans="1:13">
      <c r="A43" s="2423"/>
      <c r="B43" s="2423"/>
      <c r="C43" s="2423"/>
      <c r="D43" s="2423"/>
      <c r="E43" s="2423"/>
      <c r="F43" s="2423"/>
      <c r="G43" s="2423"/>
      <c r="H43" s="2423"/>
      <c r="I43" s="2423"/>
      <c r="J43" s="2423"/>
      <c r="K43" s="2423"/>
      <c r="L43" s="2423"/>
      <c r="M43" s="2423"/>
    </row>
    <row r="44" spans="1:13">
      <c r="A44" s="2424"/>
      <c r="B44" s="2424"/>
      <c r="C44" s="2424"/>
      <c r="D44" s="2424"/>
      <c r="E44" s="2424"/>
      <c r="F44" s="2424"/>
      <c r="G44" s="2425"/>
      <c r="H44" s="2424"/>
      <c r="I44" s="2424"/>
      <c r="J44" s="2424"/>
      <c r="K44" s="2424"/>
      <c r="L44" s="2424"/>
      <c r="M44" s="2424"/>
    </row>
    <row r="45" spans="1:13" ht="12" customHeight="1">
      <c r="A45" s="2426" t="s">
        <v>979</v>
      </c>
      <c r="B45" s="2426"/>
      <c r="C45" s="2426"/>
      <c r="D45" s="2426"/>
      <c r="E45" s="2426"/>
      <c r="F45" s="2426"/>
      <c r="G45" s="2425"/>
      <c r="H45" s="2426" t="s">
        <v>2116</v>
      </c>
      <c r="I45" s="2426"/>
      <c r="J45" s="2426"/>
      <c r="K45" s="2426"/>
      <c r="L45" s="2426"/>
      <c r="M45" s="2426"/>
    </row>
    <row r="46" spans="1:13">
      <c r="A46" s="2425"/>
      <c r="B46" s="2425"/>
      <c r="C46" s="2425"/>
      <c r="D46" s="2425"/>
      <c r="E46" s="2425"/>
      <c r="F46" s="2425"/>
      <c r="G46" s="2425"/>
      <c r="H46" s="2425"/>
      <c r="I46" s="2425"/>
      <c r="J46" s="2425"/>
      <c r="K46" s="2425"/>
      <c r="L46" s="2425"/>
      <c r="M46" s="2425"/>
    </row>
    <row r="47" spans="1:13">
      <c r="A47" s="2424"/>
      <c r="B47" s="2424"/>
      <c r="C47" s="2424"/>
      <c r="D47" s="2424"/>
      <c r="E47" s="2424"/>
      <c r="F47" s="2424"/>
      <c r="G47" s="2425"/>
      <c r="H47" s="2427"/>
      <c r="I47" s="2427"/>
      <c r="J47" s="2427"/>
      <c r="K47" s="2427"/>
      <c r="L47" s="2427"/>
      <c r="M47" s="2427"/>
    </row>
    <row r="48" spans="1:13" ht="12" customHeight="1">
      <c r="A48" s="2426" t="s">
        <v>980</v>
      </c>
      <c r="B48" s="2426"/>
      <c r="C48" s="2426"/>
      <c r="D48" s="2426"/>
      <c r="E48" s="2426"/>
      <c r="F48" s="2426"/>
      <c r="G48" s="2425"/>
      <c r="H48" s="2426" t="s">
        <v>981</v>
      </c>
      <c r="I48" s="2426"/>
      <c r="J48" s="2426"/>
      <c r="K48" s="2426"/>
      <c r="L48" s="2426"/>
      <c r="M48" s="2426"/>
    </row>
    <row r="49" spans="1:13" ht="11.45" customHeight="1">
      <c r="A49" s="2418"/>
      <c r="B49" s="2418"/>
      <c r="C49" s="2418"/>
      <c r="D49" s="2418"/>
      <c r="E49" s="2418"/>
      <c r="F49" s="2418"/>
      <c r="G49" s="2418"/>
      <c r="H49" s="2418"/>
      <c r="I49" s="2418"/>
      <c r="J49" s="2418"/>
      <c r="K49" s="2418"/>
      <c r="L49" s="2418"/>
      <c r="M49" s="2418"/>
    </row>
    <row r="50" spans="1:13" ht="11.45" customHeight="1">
      <c r="A50" s="2415"/>
      <c r="B50" s="2415"/>
      <c r="C50" s="2415"/>
      <c r="D50" s="2415"/>
      <c r="E50" s="2415"/>
      <c r="F50" s="2415"/>
      <c r="G50" s="2415"/>
      <c r="H50" s="2428" t="s">
        <v>982</v>
      </c>
      <c r="I50" s="2428"/>
      <c r="J50" s="2428"/>
      <c r="K50" s="2428"/>
      <c r="L50" s="2428"/>
      <c r="M50" s="2428"/>
    </row>
    <row r="51" spans="1:13" ht="11.45" customHeight="1">
      <c r="A51" s="2415"/>
      <c r="B51" s="2415"/>
      <c r="C51" s="2415"/>
      <c r="D51" s="2415"/>
      <c r="E51" s="2415"/>
      <c r="F51" s="2415"/>
      <c r="G51" s="2415"/>
    </row>
    <row r="52" spans="1:13" ht="11.45" customHeight="1">
      <c r="A52" s="2415"/>
      <c r="B52" s="2415"/>
      <c r="C52" s="2415"/>
      <c r="D52" s="2415"/>
      <c r="E52" s="2415"/>
      <c r="F52" s="2415"/>
      <c r="G52" s="2415"/>
      <c r="H52" s="2415"/>
      <c r="I52" s="2415"/>
      <c r="J52" s="2415"/>
      <c r="K52" s="2415"/>
      <c r="L52" s="2415"/>
      <c r="M52" s="2415"/>
    </row>
    <row r="53" spans="1:13" ht="11.45" customHeight="1">
      <c r="A53" s="2415"/>
      <c r="B53" s="2415"/>
      <c r="C53" s="2415"/>
      <c r="D53" s="2415"/>
      <c r="E53" s="2415"/>
      <c r="F53" s="2415"/>
      <c r="G53" s="2415"/>
      <c r="H53" s="2415"/>
      <c r="I53" s="2415"/>
      <c r="J53" s="2415"/>
      <c r="K53" s="2415"/>
      <c r="L53" s="2415"/>
      <c r="M53" s="2415"/>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68" t="s">
        <v>771</v>
      </c>
      <c r="B2" s="1569"/>
      <c r="C2" s="1569"/>
      <c r="D2" s="1569"/>
      <c r="E2" s="1569"/>
      <c r="F2" s="1569"/>
      <c r="G2" s="1569"/>
      <c r="H2" s="1569"/>
      <c r="I2" s="1569"/>
      <c r="J2" s="1569"/>
      <c r="K2" s="1569"/>
      <c r="L2" s="1569"/>
      <c r="M2" s="1569"/>
      <c r="N2" s="1569"/>
      <c r="O2" s="1569"/>
      <c r="P2" s="1569"/>
      <c r="Q2" s="1569"/>
      <c r="R2" s="1570"/>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3409</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2574</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2542</v>
      </c>
      <c r="K10" s="210"/>
      <c r="L10" s="210"/>
      <c r="M10" s="210"/>
      <c r="N10" s="210"/>
      <c r="O10" s="210"/>
      <c r="P10" s="208"/>
      <c r="Q10" s="338" t="s">
        <v>1855</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2606</v>
      </c>
      <c r="L11" s="342" t="s">
        <v>2607</v>
      </c>
      <c r="M11" s="342" t="s">
        <v>2608</v>
      </c>
      <c r="N11" s="342" t="s">
        <v>2609</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10648053</v>
      </c>
      <c r="S12" s="358"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11712858</v>
      </c>
      <c r="S13" s="358"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2041</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2886</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1571">
        <v>6500</v>
      </c>
      <c r="R26" s="1572"/>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1571">
        <v>5500</v>
      </c>
      <c r="R27" s="1572"/>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1571">
        <v>1000</v>
      </c>
      <c r="R28" s="1572"/>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1571">
        <v>500</v>
      </c>
      <c r="R29" s="1572"/>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1571">
        <v>7000</v>
      </c>
      <c r="R30" s="1572"/>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1571">
        <v>6000</v>
      </c>
      <c r="R31" s="1572"/>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2097</v>
      </c>
      <c r="C33" s="210"/>
      <c r="D33" s="208"/>
      <c r="E33" s="208"/>
      <c r="F33" s="210" t="s">
        <v>1270</v>
      </c>
      <c r="G33" s="210"/>
      <c r="H33" s="208"/>
      <c r="I33" s="208"/>
      <c r="J33" s="210" t="s">
        <v>1028</v>
      </c>
      <c r="K33" s="210"/>
      <c r="L33" s="210"/>
      <c r="M33" s="210"/>
      <c r="N33" s="210"/>
      <c r="O33" s="210"/>
      <c r="P33" s="208"/>
      <c r="Q33" s="1176" t="s">
        <v>1029</v>
      </c>
      <c r="R33" s="1176">
        <v>0.05</v>
      </c>
      <c r="S33" s="348"/>
      <c r="T33" s="348"/>
      <c r="U33" s="348"/>
    </row>
    <row r="34" spans="1:21" s="332" customFormat="1" ht="11.45" customHeight="1">
      <c r="A34" s="210"/>
      <c r="B34" s="210"/>
      <c r="C34" s="210"/>
      <c r="D34" s="208"/>
      <c r="E34" s="208"/>
      <c r="F34" s="210"/>
      <c r="G34" s="210"/>
      <c r="H34" s="208"/>
      <c r="I34" s="208"/>
      <c r="J34" s="210" t="s">
        <v>2169</v>
      </c>
      <c r="K34" s="210"/>
      <c r="L34" s="210"/>
      <c r="M34" s="210"/>
      <c r="N34" s="210"/>
      <c r="O34" s="210"/>
      <c r="P34" s="208"/>
      <c r="Q34" s="1176"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1176" t="s">
        <v>1029</v>
      </c>
      <c r="R35" s="1176">
        <v>7.0000000000000007E-2</v>
      </c>
      <c r="S35" s="348"/>
      <c r="T35" s="348"/>
      <c r="U35" s="348"/>
    </row>
    <row r="36" spans="1:21" s="332" customFormat="1" ht="11.45" customHeight="1">
      <c r="A36" s="210"/>
      <c r="B36" s="210"/>
      <c r="C36" s="210"/>
      <c r="D36" s="208"/>
      <c r="E36" s="208"/>
      <c r="F36" s="210"/>
      <c r="G36" s="210"/>
      <c r="H36" s="208"/>
      <c r="I36" s="208"/>
      <c r="J36" s="210" t="s">
        <v>2169</v>
      </c>
      <c r="K36" s="210"/>
      <c r="L36" s="210"/>
      <c r="M36" s="210"/>
      <c r="N36" s="210"/>
      <c r="O36" s="210"/>
      <c r="P36" s="208"/>
      <c r="Q36" s="1176" t="s">
        <v>1029</v>
      </c>
      <c r="R36" s="338">
        <v>500000</v>
      </c>
      <c r="S36" s="348"/>
      <c r="T36" s="348"/>
      <c r="U36" s="348"/>
    </row>
    <row r="37" spans="1:21" s="332" customFormat="1" ht="11.45" customHeight="1">
      <c r="A37" s="210"/>
      <c r="B37" s="210" t="s">
        <v>2176</v>
      </c>
      <c r="C37" s="210"/>
      <c r="D37" s="208"/>
      <c r="E37" s="208"/>
      <c r="F37" s="210" t="s">
        <v>1855</v>
      </c>
      <c r="G37" s="210"/>
      <c r="H37" s="208"/>
      <c r="I37" s="208"/>
      <c r="J37" s="210" t="s">
        <v>376</v>
      </c>
      <c r="K37" s="210"/>
      <c r="L37" s="210"/>
      <c r="M37" s="210"/>
      <c r="N37" s="210"/>
      <c r="O37" s="210"/>
      <c r="P37" s="208"/>
      <c r="Q37" s="347" t="s">
        <v>1855</v>
      </c>
      <c r="R37" s="1176">
        <v>0.06</v>
      </c>
      <c r="S37" s="348"/>
      <c r="T37" s="348"/>
      <c r="U37" s="348"/>
    </row>
    <row r="38" spans="1:21" s="332" customFormat="1" ht="11.45" customHeight="1">
      <c r="A38" s="210"/>
      <c r="B38" s="210" t="s">
        <v>2177</v>
      </c>
      <c r="C38" s="210"/>
      <c r="D38" s="208"/>
      <c r="E38" s="208"/>
      <c r="F38" s="210" t="s">
        <v>1855</v>
      </c>
      <c r="G38" s="210"/>
      <c r="H38" s="208"/>
      <c r="I38" s="208"/>
      <c r="J38" s="210" t="s">
        <v>376</v>
      </c>
      <c r="K38" s="210"/>
      <c r="L38" s="210"/>
      <c r="M38" s="210"/>
      <c r="N38" s="210"/>
      <c r="O38" s="210"/>
      <c r="P38" s="208"/>
      <c r="Q38" s="347" t="s">
        <v>1855</v>
      </c>
      <c r="R38" s="1176">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1176">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1567">
        <v>0.08</v>
      </c>
      <c r="R40" s="1567"/>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1567">
        <v>0.08</v>
      </c>
      <c r="R41" s="1567"/>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71">
        <v>2700</v>
      </c>
      <c r="R42" s="157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571">
        <v>1500</v>
      </c>
      <c r="R43" s="1572"/>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2889</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2887</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1571">
        <v>55</v>
      </c>
      <c r="R47" s="1572"/>
      <c r="S47" s="348"/>
      <c r="T47" s="348"/>
      <c r="U47" s="348"/>
    </row>
    <row r="48" spans="1:21" s="332" customFormat="1" ht="11.45" customHeight="1">
      <c r="A48" s="210"/>
      <c r="B48" s="210" t="s">
        <v>1992</v>
      </c>
      <c r="C48" s="210"/>
      <c r="D48" s="208"/>
      <c r="E48" s="208"/>
      <c r="F48" s="210"/>
      <c r="G48" s="210"/>
      <c r="H48" s="210"/>
      <c r="I48" s="208"/>
      <c r="J48" s="210" t="s">
        <v>1852</v>
      </c>
      <c r="K48" s="210"/>
      <c r="L48" s="210"/>
      <c r="M48" s="210"/>
      <c r="N48" s="210"/>
      <c r="O48" s="210"/>
      <c r="P48" s="208"/>
      <c r="Q48" s="1571">
        <v>1800000</v>
      </c>
      <c r="R48" s="1572"/>
      <c r="S48" s="348"/>
      <c r="T48" s="348"/>
      <c r="U48" s="348"/>
    </row>
    <row r="49" spans="1:21" s="332" customFormat="1" ht="11.45" customHeight="1">
      <c r="A49" s="210"/>
      <c r="B49" s="210"/>
      <c r="C49" s="210"/>
      <c r="D49" s="208"/>
      <c r="E49" s="208"/>
      <c r="F49" s="210" t="s">
        <v>1834</v>
      </c>
      <c r="G49" s="210"/>
      <c r="H49" s="210" t="s">
        <v>2446</v>
      </c>
      <c r="I49" s="208"/>
      <c r="J49" s="210" t="s">
        <v>1035</v>
      </c>
      <c r="K49" s="210"/>
      <c r="L49" s="210"/>
      <c r="M49" s="210"/>
      <c r="N49" s="210"/>
      <c r="O49" s="210"/>
      <c r="P49" s="208"/>
      <c r="Q49" s="1567">
        <v>0.15</v>
      </c>
      <c r="R49" s="1567"/>
      <c r="S49" s="348"/>
      <c r="T49" s="348"/>
      <c r="U49" s="348"/>
    </row>
    <row r="50" spans="1:21" s="332" customFormat="1" ht="11.45" customHeight="1">
      <c r="A50" s="210"/>
      <c r="B50" s="465"/>
      <c r="C50" s="210"/>
      <c r="D50" s="208"/>
      <c r="E50" s="208"/>
      <c r="F50" s="210"/>
      <c r="G50" s="210"/>
      <c r="H50" s="210" t="s">
        <v>1031</v>
      </c>
      <c r="I50" s="210" t="s">
        <v>1032</v>
      </c>
      <c r="J50" s="210" t="s">
        <v>1034</v>
      </c>
      <c r="K50" s="210"/>
      <c r="L50" s="210"/>
      <c r="M50" s="210"/>
      <c r="N50" s="210"/>
      <c r="O50" s="210"/>
      <c r="P50" s="208"/>
      <c r="Q50" s="1567">
        <v>0.15</v>
      </c>
      <c r="R50" s="1567"/>
      <c r="S50" s="348"/>
      <c r="T50" s="348"/>
      <c r="U50" s="348"/>
    </row>
    <row r="51" spans="1:21" s="332" customFormat="1" ht="11.45" customHeight="1">
      <c r="A51" s="210"/>
      <c r="B51" s="465"/>
      <c r="C51" s="210"/>
      <c r="D51" s="208"/>
      <c r="E51" s="208"/>
      <c r="F51" s="210"/>
      <c r="G51" s="210"/>
      <c r="H51" s="210"/>
      <c r="I51" s="210" t="s">
        <v>1033</v>
      </c>
      <c r="J51" s="210" t="s">
        <v>1036</v>
      </c>
      <c r="K51" s="210"/>
      <c r="L51" s="210"/>
      <c r="M51" s="210"/>
      <c r="N51" s="210"/>
      <c r="O51" s="210"/>
      <c r="P51" s="208"/>
      <c r="Q51" s="1567">
        <v>0.15</v>
      </c>
      <c r="R51" s="1567"/>
      <c r="S51" s="348"/>
      <c r="T51" s="348"/>
      <c r="U51" s="348"/>
    </row>
    <row r="52" spans="1:21" s="332" customFormat="1" ht="11.45" customHeight="1">
      <c r="A52" s="210"/>
      <c r="B52" s="465"/>
      <c r="C52" s="210"/>
      <c r="D52" s="208"/>
      <c r="E52" s="208"/>
      <c r="F52" s="210"/>
      <c r="G52" s="210"/>
      <c r="H52" s="210" t="s">
        <v>1030</v>
      </c>
      <c r="I52" s="208"/>
      <c r="J52" s="210" t="s">
        <v>1036</v>
      </c>
      <c r="K52" s="210"/>
      <c r="L52" s="210"/>
      <c r="M52" s="210"/>
      <c r="N52" s="210"/>
      <c r="O52" s="210"/>
      <c r="P52" s="208"/>
      <c r="Q52" s="1567">
        <v>0.15</v>
      </c>
      <c r="R52" s="1567"/>
      <c r="S52" s="348"/>
      <c r="T52" s="348"/>
      <c r="U52" s="348"/>
    </row>
    <row r="53" spans="1:21" s="332" customFormat="1" ht="11.45" customHeight="1">
      <c r="A53" s="210"/>
      <c r="B53" s="465"/>
      <c r="C53" s="210"/>
      <c r="D53" s="208"/>
      <c r="E53" s="208"/>
      <c r="F53" s="210"/>
      <c r="G53" s="210"/>
      <c r="H53" s="210"/>
      <c r="I53" s="210" t="s">
        <v>1037</v>
      </c>
      <c r="J53" s="210" t="s">
        <v>1038</v>
      </c>
      <c r="K53" s="210"/>
      <c r="L53" s="210"/>
      <c r="M53" s="210"/>
      <c r="N53" s="210"/>
      <c r="O53" s="210"/>
      <c r="P53" s="208"/>
      <c r="Q53" s="1567">
        <v>0.15</v>
      </c>
      <c r="R53" s="1567"/>
      <c r="S53" s="348"/>
      <c r="T53" s="348"/>
      <c r="U53" s="348"/>
    </row>
    <row r="54" spans="1:21" s="332" customFormat="1" ht="11.45" customHeight="1">
      <c r="A54" s="210"/>
      <c r="B54" s="465"/>
      <c r="C54" s="210"/>
      <c r="D54" s="208"/>
      <c r="E54" s="208"/>
      <c r="F54" s="210" t="s">
        <v>1882</v>
      </c>
      <c r="G54" s="210"/>
      <c r="H54" s="210"/>
      <c r="I54" s="208"/>
      <c r="J54" s="210" t="s">
        <v>2529</v>
      </c>
      <c r="K54" s="210"/>
      <c r="L54" s="210"/>
      <c r="M54" s="210"/>
      <c r="N54" s="210"/>
      <c r="O54" s="210"/>
      <c r="P54" s="208"/>
      <c r="Q54" s="1567">
        <v>0.15</v>
      </c>
      <c r="R54" s="1567"/>
      <c r="S54" s="348"/>
      <c r="T54" s="348"/>
      <c r="U54" s="348"/>
    </row>
    <row r="55" spans="1:21" s="332" customFormat="1" ht="11.45" customHeight="1">
      <c r="A55" s="210"/>
      <c r="B55" s="465"/>
      <c r="C55" s="210"/>
      <c r="D55" s="208"/>
      <c r="E55" s="208"/>
      <c r="G55" s="210"/>
      <c r="H55" s="210"/>
      <c r="I55" s="208"/>
      <c r="J55" s="210" t="s">
        <v>2530</v>
      </c>
      <c r="K55" s="210"/>
      <c r="L55" s="210"/>
      <c r="M55" s="210"/>
      <c r="N55" s="210"/>
      <c r="O55" s="210"/>
      <c r="P55" s="208"/>
      <c r="Q55" s="1567" t="s">
        <v>2531</v>
      </c>
      <c r="R55" s="1567"/>
      <c r="S55" s="348"/>
      <c r="T55" s="348"/>
      <c r="U55" s="348"/>
    </row>
    <row r="56" spans="1:21" s="332" customFormat="1" ht="11.45" customHeight="1">
      <c r="A56" s="210"/>
      <c r="B56" s="465"/>
      <c r="C56" s="210"/>
      <c r="D56" s="208"/>
      <c r="E56" s="208"/>
      <c r="F56" s="210" t="s">
        <v>2171</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2170</v>
      </c>
      <c r="G57" s="210"/>
      <c r="I57" s="208"/>
      <c r="J57" s="210"/>
      <c r="K57" s="210"/>
      <c r="L57" s="210"/>
      <c r="M57" s="210"/>
      <c r="N57" s="210"/>
      <c r="O57" s="210"/>
      <c r="P57" s="208"/>
      <c r="Q57" s="1176">
        <v>0</v>
      </c>
      <c r="R57" s="1176">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0">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0">
        <v>6</v>
      </c>
      <c r="R59" s="347" t="s">
        <v>1855</v>
      </c>
      <c r="S59" s="348"/>
      <c r="T59" s="348"/>
      <c r="U59" s="348"/>
    </row>
    <row r="60" spans="1:21" s="332" customFormat="1" ht="11.45" customHeight="1">
      <c r="A60" s="210"/>
      <c r="B60" s="468" t="s">
        <v>2172</v>
      </c>
      <c r="C60" s="210"/>
      <c r="D60" s="208"/>
      <c r="E60" s="208"/>
      <c r="F60" s="210"/>
      <c r="G60" s="210"/>
      <c r="I60" s="208"/>
      <c r="J60" s="210" t="s">
        <v>2173</v>
      </c>
      <c r="K60" s="210"/>
      <c r="L60" s="210"/>
      <c r="M60" s="210"/>
      <c r="N60" s="210"/>
      <c r="O60" s="210"/>
      <c r="P60" s="208"/>
      <c r="Q60" s="350">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1571">
        <v>3000</v>
      </c>
      <c r="R61" s="157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2576</v>
      </c>
      <c r="C64" s="1172"/>
      <c r="D64" s="1172"/>
      <c r="E64" s="1172"/>
      <c r="F64" s="1172"/>
      <c r="G64" s="1172"/>
      <c r="J64" s="352">
        <v>1</v>
      </c>
      <c r="K64" s="352">
        <v>2</v>
      </c>
      <c r="L64" s="352">
        <v>3</v>
      </c>
      <c r="M64" s="352">
        <v>4</v>
      </c>
      <c r="N64" s="352">
        <v>5</v>
      </c>
      <c r="O64" s="352">
        <v>6</v>
      </c>
      <c r="P64" s="352">
        <v>7</v>
      </c>
      <c r="Q64" s="352">
        <v>8</v>
      </c>
    </row>
    <row r="65" spans="1:26" ht="10.9" customHeight="1">
      <c r="B65" s="1172"/>
      <c r="C65" s="1172"/>
      <c r="D65" s="1172"/>
      <c r="E65" s="1172"/>
      <c r="F65" s="1172"/>
      <c r="G65" s="1172"/>
      <c r="J65" s="353">
        <v>0.7</v>
      </c>
      <c r="K65" s="353">
        <v>0.8</v>
      </c>
      <c r="L65" s="353">
        <v>0.9</v>
      </c>
      <c r="M65" s="352" t="s">
        <v>140</v>
      </c>
      <c r="N65" s="353">
        <v>1.08</v>
      </c>
      <c r="O65" s="353">
        <v>1.1599999999999999</v>
      </c>
      <c r="P65" s="353">
        <v>1.24</v>
      </c>
      <c r="Q65" s="353">
        <v>1.32</v>
      </c>
    </row>
    <row r="66" spans="1:26" s="348" customFormat="1" ht="11.45" customHeight="1">
      <c r="A66" s="210"/>
      <c r="B66" s="210" t="s">
        <v>1889</v>
      </c>
      <c r="C66" s="210"/>
      <c r="D66" s="210"/>
      <c r="E66" s="210"/>
      <c r="F66" s="210"/>
      <c r="G66" s="210"/>
      <c r="H66" s="210"/>
      <c r="J66" s="210" t="s">
        <v>1890</v>
      </c>
      <c r="K66" s="210"/>
      <c r="L66" s="210"/>
      <c r="M66" s="210"/>
      <c r="N66" s="210"/>
      <c r="O66" s="210"/>
      <c r="Q66" s="1567">
        <v>0.02</v>
      </c>
      <c r="R66" s="1567"/>
    </row>
    <row r="67" spans="1:26" s="348" customFormat="1" ht="11.45" customHeight="1">
      <c r="A67" s="210"/>
      <c r="B67" s="210" t="s">
        <v>1891</v>
      </c>
      <c r="C67" s="210"/>
      <c r="D67" s="210"/>
      <c r="E67" s="210"/>
      <c r="F67" s="210"/>
      <c r="G67" s="210"/>
      <c r="H67" s="210"/>
      <c r="J67" s="210" t="s">
        <v>1890</v>
      </c>
      <c r="K67" s="210"/>
      <c r="L67" s="210"/>
      <c r="M67" s="210"/>
      <c r="N67" s="210"/>
      <c r="O67" s="210"/>
      <c r="Q67" s="1567">
        <v>7.0000000000000007E-2</v>
      </c>
      <c r="R67" s="1567"/>
    </row>
    <row r="68" spans="1:26" s="348" customFormat="1" ht="11.45" customHeight="1">
      <c r="A68" s="210"/>
      <c r="B68" s="210" t="s">
        <v>1892</v>
      </c>
      <c r="C68" s="210"/>
      <c r="D68" s="210"/>
      <c r="E68" s="210"/>
      <c r="F68" s="210"/>
      <c r="G68" s="210"/>
      <c r="H68" s="210"/>
      <c r="J68" s="210" t="s">
        <v>1890</v>
      </c>
      <c r="K68" s="210"/>
      <c r="L68" s="210"/>
      <c r="M68" s="210"/>
      <c r="N68" s="210"/>
      <c r="O68" s="210"/>
      <c r="Q68" s="1567">
        <v>7.0000000000000007E-2</v>
      </c>
      <c r="R68" s="1567"/>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1567">
        <v>0.03</v>
      </c>
      <c r="R69" s="1567"/>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1567">
        <v>0.03</v>
      </c>
      <c r="R70" s="1567"/>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1567">
        <v>0</v>
      </c>
      <c r="R71" s="156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2882</v>
      </c>
      <c r="B73" s="210"/>
      <c r="C73" s="210"/>
      <c r="D73" s="208"/>
      <c r="E73" s="208"/>
      <c r="F73" s="210" t="s">
        <v>2784</v>
      </c>
      <c r="G73" s="210"/>
      <c r="H73" s="208"/>
      <c r="I73" s="208"/>
      <c r="J73" s="210" t="s">
        <v>2884</v>
      </c>
      <c r="K73" s="210"/>
      <c r="L73" s="210"/>
      <c r="M73" s="210"/>
      <c r="N73" s="210"/>
      <c r="O73" s="210"/>
      <c r="P73" s="208"/>
      <c r="Q73" s="1567">
        <v>0.1</v>
      </c>
      <c r="R73" s="1567"/>
      <c r="S73" s="208"/>
      <c r="T73" s="208"/>
      <c r="U73" s="208"/>
      <c r="V73" s="339"/>
      <c r="W73" s="339"/>
      <c r="X73" s="211"/>
    </row>
    <row r="74" spans="1:26" s="332" customFormat="1" ht="11.45" customHeight="1">
      <c r="A74" s="210"/>
      <c r="B74" s="210"/>
      <c r="C74" s="210"/>
      <c r="D74" s="208"/>
      <c r="E74" s="208"/>
      <c r="F74" s="210" t="s">
        <v>2883</v>
      </c>
      <c r="G74" s="210"/>
      <c r="H74" s="208"/>
      <c r="I74" s="208"/>
      <c r="J74" s="210" t="s">
        <v>2885</v>
      </c>
      <c r="K74" s="210"/>
      <c r="L74" s="210"/>
      <c r="M74" s="210"/>
      <c r="N74" s="210"/>
      <c r="O74" s="210"/>
      <c r="P74" s="208"/>
      <c r="Q74" s="1567">
        <v>0.15</v>
      </c>
      <c r="R74" s="1567"/>
      <c r="S74" s="340"/>
      <c r="T74" s="340"/>
      <c r="U74" s="208"/>
      <c r="V74" s="341"/>
      <c r="W74" s="341"/>
      <c r="X74" s="341"/>
    </row>
    <row r="75" spans="1:26" ht="4.5" customHeight="1"/>
    <row r="76" spans="1:26">
      <c r="A76" s="337" t="s">
        <v>3293</v>
      </c>
      <c r="F76" s="210" t="s">
        <v>2783</v>
      </c>
      <c r="G76" s="210"/>
      <c r="H76" s="208"/>
      <c r="I76" s="208"/>
      <c r="J76" s="210" t="s">
        <v>2884</v>
      </c>
      <c r="K76" s="210"/>
      <c r="L76" s="210"/>
      <c r="M76" s="210"/>
      <c r="N76" s="210"/>
      <c r="O76" s="210"/>
      <c r="P76" s="208"/>
      <c r="Q76" s="1567">
        <v>0.35</v>
      </c>
      <c r="R76" s="1567"/>
    </row>
    <row r="77" spans="1:26" s="332" customFormat="1" ht="12.75" customHeight="1">
      <c r="A77" s="337"/>
      <c r="B77" s="210"/>
      <c r="C77" s="210"/>
      <c r="D77" s="208"/>
      <c r="E77" s="208"/>
      <c r="F77" s="210" t="s">
        <v>3294</v>
      </c>
      <c r="G77" s="210"/>
      <c r="H77" s="208"/>
      <c r="I77" s="208"/>
      <c r="J77" s="210" t="s">
        <v>2884</v>
      </c>
      <c r="K77" s="210"/>
      <c r="L77" s="210"/>
      <c r="M77" s="210"/>
      <c r="N77" s="210"/>
      <c r="O77" s="210"/>
      <c r="P77" s="208"/>
      <c r="Q77" s="1567" t="s">
        <v>3295</v>
      </c>
      <c r="R77" s="1567"/>
      <c r="S77" s="208"/>
      <c r="T77" s="208"/>
      <c r="U77" s="208"/>
      <c r="V77" s="339"/>
      <c r="W77" s="339"/>
      <c r="X77" s="211"/>
    </row>
    <row r="78" spans="1:26" ht="13.15" customHeight="1">
      <c r="C78" s="354"/>
      <c r="D78" s="354"/>
      <c r="E78" s="354"/>
      <c r="F78" s="354"/>
      <c r="G78" s="354"/>
      <c r="H78" s="354"/>
      <c r="I78" s="354"/>
    </row>
    <row r="80" spans="1:26" ht="13.5">
      <c r="D80" s="486">
        <v>2014</v>
      </c>
      <c r="J80" s="462" t="s">
        <v>858</v>
      </c>
      <c r="K80" s="462"/>
      <c r="L80" s="330"/>
    </row>
    <row r="81" spans="3:12" ht="13.5">
      <c r="C81" s="638" t="s">
        <v>1359</v>
      </c>
      <c r="D81" s="461" t="s">
        <v>1097</v>
      </c>
      <c r="J81" s="463" t="s">
        <v>861</v>
      </c>
      <c r="K81" s="463" t="s">
        <v>859</v>
      </c>
      <c r="L81" s="464" t="s">
        <v>860</v>
      </c>
    </row>
    <row r="82" spans="3:12" ht="10.5" customHeight="1">
      <c r="C82" s="459" t="s">
        <v>1906</v>
      </c>
      <c r="D82" s="559">
        <v>41500</v>
      </c>
      <c r="E82" s="348"/>
      <c r="F82" s="348"/>
      <c r="J82" s="487">
        <v>0</v>
      </c>
      <c r="K82" s="487">
        <v>0.7</v>
      </c>
      <c r="L82" s="487">
        <v>1</v>
      </c>
    </row>
    <row r="83" spans="3:12" ht="10.5" customHeight="1">
      <c r="C83" s="459" t="s">
        <v>1289</v>
      </c>
      <c r="D83" s="559">
        <v>43700</v>
      </c>
      <c r="E83" s="348"/>
      <c r="F83" s="348"/>
      <c r="J83" s="487">
        <v>1</v>
      </c>
      <c r="K83" s="487">
        <v>0.75</v>
      </c>
      <c r="L83" s="487">
        <v>1.5</v>
      </c>
    </row>
    <row r="84" spans="3:12" ht="10.5" customHeight="1">
      <c r="C84" s="459" t="s">
        <v>1098</v>
      </c>
      <c r="D84" s="559">
        <v>55500</v>
      </c>
      <c r="E84" s="348"/>
      <c r="F84" s="348"/>
      <c r="J84" s="487">
        <v>2</v>
      </c>
      <c r="K84" s="487">
        <v>0.9</v>
      </c>
      <c r="L84" s="487">
        <v>3</v>
      </c>
    </row>
    <row r="85" spans="3:12" ht="10.5" customHeight="1">
      <c r="C85" s="459" t="s">
        <v>1902</v>
      </c>
      <c r="D85" s="559">
        <v>36700</v>
      </c>
      <c r="E85" s="348"/>
      <c r="F85" s="348"/>
      <c r="J85" s="487">
        <v>3</v>
      </c>
      <c r="K85" s="487">
        <v>1.04</v>
      </c>
      <c r="L85" s="487">
        <v>4.5</v>
      </c>
    </row>
    <row r="86" spans="3:12" ht="10.5" customHeight="1">
      <c r="C86" s="459" t="s">
        <v>815</v>
      </c>
      <c r="D86" s="559">
        <v>64400</v>
      </c>
      <c r="E86" s="348"/>
      <c r="F86" s="348"/>
      <c r="J86" s="487">
        <v>4</v>
      </c>
      <c r="K86" s="487">
        <v>1.1599999999999999</v>
      </c>
      <c r="L86" s="487">
        <v>6</v>
      </c>
    </row>
    <row r="87" spans="3:12" ht="10.5" customHeight="1">
      <c r="C87" s="459" t="s">
        <v>816</v>
      </c>
      <c r="D87" s="559">
        <v>55900</v>
      </c>
      <c r="E87" s="348"/>
      <c r="F87" s="348"/>
      <c r="J87" s="487">
        <v>5</v>
      </c>
      <c r="K87" s="487">
        <v>1.28</v>
      </c>
      <c r="L87" s="487">
        <v>7.5</v>
      </c>
    </row>
    <row r="88" spans="3:12" ht="10.5" customHeight="1">
      <c r="C88" s="459" t="s">
        <v>1904</v>
      </c>
      <c r="D88" s="559">
        <v>44500</v>
      </c>
      <c r="E88" s="348"/>
      <c r="F88" s="348"/>
    </row>
    <row r="89" spans="3:12" ht="10.5" customHeight="1">
      <c r="C89" s="459" t="s">
        <v>163</v>
      </c>
      <c r="D89" s="559">
        <v>51300</v>
      </c>
      <c r="E89" s="348"/>
      <c r="F89" s="348"/>
    </row>
    <row r="90" spans="3:12" ht="10.5" customHeight="1">
      <c r="C90" s="459" t="s">
        <v>1398</v>
      </c>
      <c r="D90" s="559">
        <v>51300</v>
      </c>
      <c r="E90" s="348"/>
      <c r="F90" s="348"/>
    </row>
    <row r="91" spans="3:12" ht="10.5" customHeight="1">
      <c r="C91" s="460" t="s">
        <v>1101</v>
      </c>
      <c r="D91" s="559">
        <v>39800</v>
      </c>
      <c r="E91" s="348"/>
      <c r="F91" s="348"/>
    </row>
    <row r="92" spans="3:12" ht="10.5" customHeight="1">
      <c r="C92" s="460" t="s">
        <v>1404</v>
      </c>
      <c r="D92" s="559">
        <v>43200</v>
      </c>
      <c r="E92" s="348"/>
      <c r="F92" s="348"/>
    </row>
    <row r="93" spans="3:12" ht="10.5" customHeight="1">
      <c r="C93" s="460" t="s">
        <v>1408</v>
      </c>
      <c r="D93" s="559">
        <v>53700</v>
      </c>
      <c r="E93" s="348"/>
      <c r="F93" s="348"/>
    </row>
    <row r="94" spans="3:12" ht="10.5" customHeight="1">
      <c r="C94" s="459" t="s">
        <v>12</v>
      </c>
      <c r="D94" s="559">
        <v>54800</v>
      </c>
      <c r="E94" s="348"/>
      <c r="F94" s="348"/>
    </row>
    <row r="95" spans="3:12" ht="10.5" customHeight="1">
      <c r="C95" s="460" t="s">
        <v>1414</v>
      </c>
      <c r="D95" s="559">
        <v>52700</v>
      </c>
      <c r="E95" s="348"/>
      <c r="F95" s="348"/>
    </row>
    <row r="96" spans="3:12" ht="10.5" customHeight="1">
      <c r="C96" s="459" t="s">
        <v>1099</v>
      </c>
      <c r="D96" s="559">
        <v>63500</v>
      </c>
      <c r="E96" s="348"/>
      <c r="F96" s="348"/>
    </row>
    <row r="97" spans="3:6" ht="10.5" customHeight="1">
      <c r="C97" s="460" t="s">
        <v>1419</v>
      </c>
      <c r="D97" s="559">
        <v>47300</v>
      </c>
      <c r="E97" s="348"/>
      <c r="F97" s="348"/>
    </row>
    <row r="98" spans="3:6" ht="10.5" customHeight="1">
      <c r="C98" s="460" t="s">
        <v>780</v>
      </c>
      <c r="D98" s="559">
        <v>62400</v>
      </c>
      <c r="E98" s="348"/>
      <c r="F98" s="348"/>
    </row>
    <row r="99" spans="3:6" ht="10.5" customHeight="1">
      <c r="C99" s="460" t="s">
        <v>782</v>
      </c>
      <c r="D99" s="559">
        <v>43100</v>
      </c>
      <c r="E99" s="348"/>
      <c r="F99" s="348"/>
    </row>
    <row r="100" spans="3:6" ht="10.5" customHeight="1">
      <c r="C100" s="459" t="s">
        <v>165</v>
      </c>
      <c r="D100" s="559">
        <v>50700</v>
      </c>
      <c r="E100" s="348"/>
      <c r="F100" s="348"/>
    </row>
    <row r="101" spans="3:6" ht="10.5" customHeight="1">
      <c r="C101" s="459" t="s">
        <v>1627</v>
      </c>
      <c r="D101" s="559">
        <v>54200</v>
      </c>
      <c r="E101" s="348"/>
      <c r="F101" s="348"/>
    </row>
    <row r="102" spans="3:6" ht="10.5" customHeight="1">
      <c r="C102" s="459" t="s">
        <v>170</v>
      </c>
      <c r="D102" s="559">
        <v>40700</v>
      </c>
      <c r="E102" s="348"/>
      <c r="F102" s="348"/>
    </row>
    <row r="103" spans="3:6" ht="10.5" customHeight="1">
      <c r="C103" s="459" t="s">
        <v>2652</v>
      </c>
      <c r="D103" s="559">
        <v>32600</v>
      </c>
      <c r="E103" s="348"/>
      <c r="F103" s="348"/>
    </row>
    <row r="104" spans="3:6" ht="10.5" customHeight="1">
      <c r="C104" s="460" t="s">
        <v>2655</v>
      </c>
      <c r="D104" s="559">
        <v>45300</v>
      </c>
      <c r="E104" s="348"/>
      <c r="F104" s="348"/>
    </row>
    <row r="105" spans="3:6" ht="10.5" customHeight="1">
      <c r="C105" s="460" t="s">
        <v>2658</v>
      </c>
      <c r="D105" s="559">
        <v>40800</v>
      </c>
      <c r="E105" s="348"/>
      <c r="F105" s="348"/>
    </row>
    <row r="106" spans="3:6" ht="10.5" customHeight="1">
      <c r="C106" s="460" t="s">
        <v>2702</v>
      </c>
      <c r="D106" s="559">
        <v>42600</v>
      </c>
      <c r="E106" s="348"/>
      <c r="F106" s="348"/>
    </row>
    <row r="107" spans="3:6" ht="10.5" customHeight="1">
      <c r="C107" s="459" t="s">
        <v>168</v>
      </c>
      <c r="D107" s="559">
        <v>51000</v>
      </c>
      <c r="E107" s="348"/>
      <c r="F107" s="348"/>
    </row>
    <row r="108" spans="3:6" ht="10.5" customHeight="1">
      <c r="C108" s="460" t="s">
        <v>2705</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1009</v>
      </c>
      <c r="D112" s="559">
        <v>46300</v>
      </c>
      <c r="E112" s="348"/>
      <c r="F112" s="348"/>
    </row>
    <row r="113" spans="3:6" ht="10.5" customHeight="1">
      <c r="C113" s="460" t="s">
        <v>1011</v>
      </c>
      <c r="D113" s="559">
        <v>44400</v>
      </c>
      <c r="E113" s="348"/>
      <c r="F113" s="348"/>
    </row>
    <row r="114" spans="3:6" ht="10.5" customHeight="1">
      <c r="C114" s="459" t="s">
        <v>930</v>
      </c>
      <c r="D114" s="559">
        <v>42600</v>
      </c>
      <c r="E114" s="348"/>
      <c r="F114" s="348"/>
    </row>
    <row r="115" spans="3:6" ht="10.5" customHeight="1">
      <c r="C115" s="460" t="s">
        <v>934</v>
      </c>
      <c r="D115" s="559">
        <v>38900</v>
      </c>
      <c r="E115" s="348"/>
      <c r="F115" s="348"/>
    </row>
    <row r="116" spans="3:6" ht="10.5" customHeight="1">
      <c r="C116" s="460" t="s">
        <v>2393</v>
      </c>
      <c r="D116" s="559">
        <v>38700</v>
      </c>
      <c r="E116" s="348"/>
      <c r="F116" s="348"/>
    </row>
    <row r="117" spans="3:6" ht="10.5" customHeight="1">
      <c r="C117" s="460" t="s">
        <v>700</v>
      </c>
      <c r="D117" s="559">
        <v>46700</v>
      </c>
      <c r="E117" s="348"/>
      <c r="F117" s="348"/>
    </row>
    <row r="118" spans="3:6" ht="10.5" customHeight="1">
      <c r="C118" s="460" t="s">
        <v>702</v>
      </c>
      <c r="D118" s="559">
        <v>43700</v>
      </c>
      <c r="E118" s="348"/>
      <c r="F118" s="348"/>
    </row>
    <row r="119" spans="3:6" ht="10.5" customHeight="1">
      <c r="C119" s="460" t="s">
        <v>707</v>
      </c>
      <c r="D119" s="559">
        <v>45600</v>
      </c>
      <c r="E119" s="348"/>
      <c r="F119" s="348"/>
    </row>
    <row r="120" spans="3:6" ht="10.5" customHeight="1">
      <c r="C120" s="460" t="s">
        <v>1298</v>
      </c>
      <c r="D120" s="559">
        <v>56100</v>
      </c>
      <c r="E120" s="348"/>
      <c r="F120" s="348"/>
    </row>
    <row r="121" spans="3:6" ht="10.5" customHeight="1">
      <c r="C121" s="460" t="s">
        <v>709</v>
      </c>
      <c r="D121" s="559">
        <v>46200</v>
      </c>
      <c r="E121" s="348"/>
      <c r="F121" s="348"/>
    </row>
    <row r="122" spans="3:6" ht="10.5" customHeight="1">
      <c r="C122" s="460" t="s">
        <v>711</v>
      </c>
      <c r="D122" s="559">
        <v>50100</v>
      </c>
      <c r="E122" s="348"/>
      <c r="F122" s="348"/>
    </row>
    <row r="123" spans="3:6" ht="10.5" customHeight="1">
      <c r="C123" s="460" t="s">
        <v>714</v>
      </c>
      <c r="D123" s="559">
        <v>52000</v>
      </c>
      <c r="E123" s="348"/>
      <c r="F123" s="348"/>
    </row>
    <row r="124" spans="3:6" ht="10.5" customHeight="1">
      <c r="C124" s="460" t="s">
        <v>716</v>
      </c>
      <c r="D124" s="559">
        <v>42900</v>
      </c>
      <c r="E124" s="348"/>
      <c r="F124" s="348"/>
    </row>
    <row r="125" spans="3:6" ht="10.5" customHeight="1">
      <c r="C125" s="460" t="s">
        <v>718</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817</v>
      </c>
      <c r="D128" s="559">
        <v>46300</v>
      </c>
      <c r="E128" s="348"/>
      <c r="F128" s="348"/>
    </row>
    <row r="129" spans="3:6" ht="10.5" customHeight="1">
      <c r="C129" s="460" t="s">
        <v>335</v>
      </c>
      <c r="D129" s="559">
        <v>48900</v>
      </c>
      <c r="E129" s="348"/>
      <c r="F129" s="348"/>
    </row>
    <row r="130" spans="3:6" ht="10.5" customHeight="1">
      <c r="C130" s="460" t="s">
        <v>1100</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818</v>
      </c>
      <c r="D137" s="559">
        <v>46600</v>
      </c>
      <c r="E137" s="348"/>
      <c r="F137" s="348"/>
    </row>
    <row r="138" spans="3:6" ht="10.5" customHeight="1">
      <c r="C138" s="460" t="s">
        <v>1550</v>
      </c>
      <c r="D138" s="559">
        <v>47400</v>
      </c>
      <c r="E138" s="348"/>
      <c r="F138" s="348"/>
    </row>
    <row r="139" spans="3:6" ht="10.5" customHeight="1">
      <c r="C139" s="460" t="s">
        <v>1554</v>
      </c>
      <c r="D139" s="559">
        <v>46500</v>
      </c>
      <c r="E139" s="348"/>
      <c r="F139" s="348"/>
    </row>
    <row r="140" spans="3:6" ht="10.5" customHeight="1">
      <c r="C140" s="460" t="s">
        <v>1556</v>
      </c>
      <c r="D140" s="559">
        <v>49700</v>
      </c>
      <c r="E140" s="348"/>
      <c r="F140" s="348"/>
    </row>
    <row r="141" spans="3:6" ht="10.5" customHeight="1">
      <c r="C141" s="460" t="s">
        <v>184</v>
      </c>
      <c r="D141" s="559">
        <v>55200</v>
      </c>
      <c r="E141" s="348"/>
      <c r="F141" s="348"/>
    </row>
    <row r="142" spans="3:6" ht="10.5" customHeight="1">
      <c r="C142" s="460" t="s">
        <v>1406</v>
      </c>
      <c r="D142" s="559">
        <v>49800</v>
      </c>
      <c r="E142" s="348"/>
      <c r="F142" s="348"/>
    </row>
    <row r="143" spans="3:6" ht="10.5" customHeight="1">
      <c r="C143" s="460" t="s">
        <v>185</v>
      </c>
      <c r="D143" s="559">
        <v>38100</v>
      </c>
      <c r="E143" s="348"/>
      <c r="F143" s="348"/>
    </row>
    <row r="144" spans="3:6" ht="10.5" customHeight="1">
      <c r="C144" s="460" t="s">
        <v>820</v>
      </c>
      <c r="D144" s="559">
        <v>47500</v>
      </c>
      <c r="E144" s="348"/>
      <c r="F144" s="348"/>
    </row>
    <row r="145" spans="3:6" ht="10.5" customHeight="1">
      <c r="C145" s="460" t="s">
        <v>1743</v>
      </c>
      <c r="D145" s="559">
        <v>42800</v>
      </c>
      <c r="E145" s="348"/>
      <c r="F145" s="348"/>
    </row>
    <row r="146" spans="3:6" ht="10.5" customHeight="1">
      <c r="C146" s="460" t="s">
        <v>1745</v>
      </c>
      <c r="D146" s="559">
        <v>47700</v>
      </c>
      <c r="E146" s="348"/>
      <c r="F146" s="348"/>
    </row>
    <row r="147" spans="3:6" ht="10.5" customHeight="1">
      <c r="C147" s="460" t="s">
        <v>2181</v>
      </c>
      <c r="D147" s="559">
        <v>63200</v>
      </c>
      <c r="E147" s="348"/>
      <c r="F147" s="348"/>
    </row>
    <row r="148" spans="3:6" ht="10.5" customHeight="1">
      <c r="C148" s="460" t="s">
        <v>192</v>
      </c>
      <c r="D148" s="559">
        <v>46200</v>
      </c>
      <c r="E148" s="348"/>
      <c r="F148" s="348"/>
    </row>
    <row r="149" spans="3:6" ht="10.5" customHeight="1">
      <c r="C149" s="459" t="s">
        <v>2769</v>
      </c>
      <c r="D149" s="559">
        <v>62400</v>
      </c>
      <c r="E149" s="348"/>
      <c r="F149" s="348"/>
    </row>
    <row r="150" spans="3:6" ht="10.5" customHeight="1">
      <c r="C150" s="460" t="s">
        <v>2771</v>
      </c>
      <c r="D150" s="559">
        <v>44200</v>
      </c>
      <c r="E150" s="348"/>
      <c r="F150" s="348"/>
    </row>
    <row r="151" spans="3:6" ht="10.5" customHeight="1">
      <c r="C151" s="460" t="s">
        <v>1157</v>
      </c>
      <c r="D151" s="559">
        <v>55600</v>
      </c>
      <c r="E151" s="348"/>
      <c r="F151" s="348"/>
    </row>
    <row r="152" spans="3:6" ht="10.5" customHeight="1">
      <c r="C152" s="460" t="s">
        <v>1160</v>
      </c>
      <c r="D152" s="559">
        <v>48700</v>
      </c>
      <c r="E152" s="348"/>
      <c r="F152" s="348"/>
    </row>
    <row r="153" spans="3:6" ht="10.5" customHeight="1">
      <c r="C153" s="460" t="s">
        <v>1163</v>
      </c>
      <c r="D153" s="559">
        <v>49100</v>
      </c>
      <c r="E153" s="348"/>
      <c r="F153" s="348"/>
    </row>
    <row r="154" spans="3:6" ht="10.5" customHeight="1">
      <c r="C154" s="459" t="s">
        <v>1165</v>
      </c>
      <c r="D154" s="559">
        <v>47500</v>
      </c>
      <c r="E154" s="348"/>
      <c r="F154" s="348"/>
    </row>
    <row r="155" spans="3:6" ht="10.5" customHeight="1">
      <c r="C155" s="460" t="s">
        <v>1167</v>
      </c>
      <c r="D155" s="559">
        <v>51100</v>
      </c>
      <c r="E155" s="348"/>
      <c r="F155" s="348"/>
    </row>
    <row r="156" spans="3:6" ht="10.5" customHeight="1">
      <c r="C156" s="460" t="s">
        <v>1169</v>
      </c>
      <c r="D156" s="559">
        <v>38300</v>
      </c>
      <c r="E156" s="348"/>
      <c r="F156" s="348"/>
    </row>
    <row r="157" spans="3:6" ht="10.5" customHeight="1">
      <c r="C157" s="460" t="s">
        <v>1171</v>
      </c>
      <c r="D157" s="559">
        <v>52300</v>
      </c>
      <c r="E157" s="348"/>
      <c r="F157" s="348"/>
    </row>
    <row r="158" spans="3:6" ht="10.5" customHeight="1">
      <c r="C158" s="459" t="s">
        <v>1173</v>
      </c>
      <c r="D158" s="559">
        <v>36600</v>
      </c>
      <c r="E158" s="348"/>
      <c r="F158" s="348"/>
    </row>
    <row r="159" spans="3:6" ht="10.5" customHeight="1">
      <c r="C159" s="459" t="s">
        <v>2418</v>
      </c>
      <c r="D159" s="559">
        <v>52300</v>
      </c>
      <c r="E159" s="348"/>
      <c r="F159" s="348"/>
    </row>
    <row r="160" spans="3:6" ht="10.5" customHeight="1">
      <c r="C160" s="460" t="s">
        <v>1412</v>
      </c>
      <c r="D160" s="559">
        <v>58500</v>
      </c>
      <c r="E160" s="348"/>
      <c r="F160" s="348"/>
    </row>
    <row r="161" spans="3:6" ht="10.5" customHeight="1">
      <c r="C161" s="460" t="s">
        <v>2309</v>
      </c>
      <c r="D161" s="559">
        <v>51500</v>
      </c>
      <c r="E161" s="348"/>
      <c r="F161" s="348"/>
    </row>
    <row r="162" spans="3:6" ht="10.5" customHeight="1">
      <c r="C162" s="460" t="s">
        <v>2311</v>
      </c>
      <c r="D162" s="559">
        <v>46700</v>
      </c>
      <c r="E162" s="348"/>
      <c r="F162" s="348"/>
    </row>
    <row r="163" spans="3:6" ht="10.5" customHeight="1">
      <c r="C163" s="460" t="s">
        <v>2313</v>
      </c>
      <c r="D163" s="559">
        <v>40400</v>
      </c>
      <c r="E163" s="348"/>
      <c r="F163" s="348"/>
    </row>
    <row r="164" spans="3:6" ht="10.5" customHeight="1">
      <c r="C164" s="460" t="s">
        <v>2316</v>
      </c>
      <c r="D164" s="559">
        <v>49300</v>
      </c>
      <c r="E164" s="348"/>
      <c r="F164" s="348"/>
    </row>
    <row r="165" spans="3:6" ht="10.5" customHeight="1">
      <c r="C165" s="459" t="s">
        <v>2318</v>
      </c>
      <c r="D165" s="559">
        <v>41100</v>
      </c>
      <c r="E165" s="348"/>
      <c r="F165" s="348"/>
    </row>
    <row r="166" spans="3:6" ht="10.5" customHeight="1">
      <c r="C166" s="459" t="s">
        <v>2320</v>
      </c>
      <c r="D166" s="559">
        <v>45200</v>
      </c>
      <c r="E166" s="348"/>
      <c r="F166" s="348"/>
    </row>
    <row r="167" spans="3:6" ht="10.5" customHeight="1">
      <c r="C167" s="460" t="s">
        <v>2322</v>
      </c>
      <c r="D167" s="559">
        <v>46100</v>
      </c>
      <c r="E167" s="348"/>
      <c r="F167" s="348"/>
    </row>
    <row r="168" spans="3:6" ht="10.5" customHeight="1">
      <c r="C168" s="460" t="s">
        <v>2324</v>
      </c>
      <c r="D168" s="559">
        <v>32300</v>
      </c>
      <c r="E168" s="348"/>
      <c r="F168" s="348"/>
    </row>
    <row r="169" spans="3:6" ht="10.5" customHeight="1">
      <c r="C169" s="460" t="s">
        <v>2326</v>
      </c>
      <c r="D169" s="559">
        <v>46900</v>
      </c>
      <c r="E169" s="348"/>
      <c r="F169" s="348"/>
    </row>
    <row r="170" spans="3:6" ht="10.5" customHeight="1">
      <c r="C170" s="460" t="s">
        <v>925</v>
      </c>
      <c r="D170" s="559">
        <v>40400</v>
      </c>
      <c r="E170" s="348"/>
      <c r="F170" s="348"/>
    </row>
    <row r="171" spans="3:6" ht="10.5" customHeight="1">
      <c r="C171" s="460" t="s">
        <v>927</v>
      </c>
      <c r="D171" s="559">
        <v>32900</v>
      </c>
      <c r="E171" s="348"/>
      <c r="F171" s="348"/>
    </row>
    <row r="172" spans="3:6" ht="10.5" customHeight="1">
      <c r="C172" s="460" t="s">
        <v>1780</v>
      </c>
      <c r="D172" s="559">
        <v>47100</v>
      </c>
      <c r="E172" s="348"/>
      <c r="F172" s="348"/>
    </row>
    <row r="173" spans="3:6" ht="10.5" customHeight="1">
      <c r="C173" s="460" t="s">
        <v>2043</v>
      </c>
      <c r="D173" s="559">
        <v>48800</v>
      </c>
      <c r="E173" s="348"/>
      <c r="F173" s="348"/>
    </row>
    <row r="174" spans="3:6" ht="10.5" customHeight="1">
      <c r="C174" s="459" t="s">
        <v>2045</v>
      </c>
      <c r="D174" s="559">
        <v>47500</v>
      </c>
      <c r="E174" s="348"/>
      <c r="F174" s="348"/>
    </row>
    <row r="175" spans="3:6" ht="10.5" customHeight="1">
      <c r="C175" s="459" t="s">
        <v>2047</v>
      </c>
      <c r="D175" s="559">
        <v>51400</v>
      </c>
      <c r="E175" s="348"/>
      <c r="F175" s="348"/>
    </row>
    <row r="176" spans="3:6" ht="10.5" customHeight="1">
      <c r="C176" s="459" t="s">
        <v>2049</v>
      </c>
      <c r="D176" s="559">
        <v>46100</v>
      </c>
      <c r="E176" s="348"/>
      <c r="F176" s="348"/>
    </row>
    <row r="177" spans="3:6" ht="10.5" customHeight="1">
      <c r="C177" s="459" t="s">
        <v>2051</v>
      </c>
      <c r="D177" s="559">
        <v>49000</v>
      </c>
      <c r="E177" s="348"/>
      <c r="F177" s="348"/>
    </row>
    <row r="178" spans="3:6" ht="10.5" customHeight="1">
      <c r="C178" s="459" t="s">
        <v>2053</v>
      </c>
      <c r="D178" s="559">
        <v>43600</v>
      </c>
      <c r="E178" s="348"/>
      <c r="F178" s="348"/>
    </row>
    <row r="179" spans="3:6" ht="10.5" customHeight="1">
      <c r="C179" s="460" t="s">
        <v>2056</v>
      </c>
      <c r="D179" s="559">
        <v>52800</v>
      </c>
      <c r="E179" s="348"/>
      <c r="F179" s="348"/>
    </row>
    <row r="180" spans="3:6" ht="10.5" customHeight="1">
      <c r="C180" s="459" t="s">
        <v>2143</v>
      </c>
      <c r="D180" s="559">
        <v>44600</v>
      </c>
      <c r="E180" s="348"/>
      <c r="F180" s="348"/>
    </row>
    <row r="181" spans="3:6" ht="10.5" customHeight="1">
      <c r="C181" s="459" t="s">
        <v>1815</v>
      </c>
      <c r="D181" s="559">
        <v>45200</v>
      </c>
      <c r="E181" s="348"/>
      <c r="F181" s="348"/>
    </row>
    <row r="182" spans="3:6" ht="10.5" customHeight="1">
      <c r="C182" s="460" t="s">
        <v>106</v>
      </c>
      <c r="D182" s="559">
        <v>48900</v>
      </c>
      <c r="E182" s="348"/>
      <c r="F182" s="348"/>
    </row>
    <row r="183" spans="3:6" ht="10.5" customHeight="1">
      <c r="C183" s="459" t="s">
        <v>1828</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2557</v>
      </c>
      <c r="D190" s="559">
        <v>40900</v>
      </c>
      <c r="E190" s="348"/>
      <c r="F190" s="348"/>
    </row>
    <row r="191" spans="3:6" ht="10.5" customHeight="1">
      <c r="C191" s="459" t="s">
        <v>2559</v>
      </c>
      <c r="D191" s="559">
        <v>38900</v>
      </c>
      <c r="E191" s="348"/>
      <c r="F191" s="348"/>
    </row>
    <row r="192" spans="3:6" ht="10.5" customHeight="1">
      <c r="C192" s="459" t="s">
        <v>2561</v>
      </c>
      <c r="D192" s="559">
        <v>46700</v>
      </c>
      <c r="E192" s="348"/>
      <c r="F192" s="348"/>
    </row>
  </sheetData>
  <sheetProtection password="B388"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activeCell="B2" sqref="B2"/>
    </sheetView>
  </sheetViews>
  <sheetFormatPr defaultRowHeight="12.75"/>
  <cols>
    <col min="1" max="16384" width="9.140625" style="1070"/>
  </cols>
  <sheetData>
    <row r="1" spans="1:1" ht="15.75">
      <c r="A1" s="1026" t="s">
        <v>1039</v>
      </c>
    </row>
    <row r="2" spans="1:1" ht="16.5">
      <c r="A2" s="1027" t="str">
        <f>'Part I-Project Information'!F23</f>
        <v>Trinity Walk Phase I</v>
      </c>
    </row>
    <row r="3" spans="1:1" ht="16.5">
      <c r="A3" s="1027" t="str">
        <f>CONCATENATE('Part I-Project Information'!F27,", ", 'Part I-Project Information'!J28," County")</f>
        <v>Decatur, DeKalb County</v>
      </c>
    </row>
    <row r="5" spans="1:1">
      <c r="A5" s="1708" t="str">
        <f>'Project Narrative'!A5</f>
        <v xml:space="preserve">TRINITY WALK II 
Trinity Walk II will consist of 52 family apartments in three distinct contemporary two and three story buildings.  All ground-floor units are visitable and adaptable.  The unit distribution is 26 – one bedroom units, 20 – two bedroom units, and 6 - three bedroom units.
 1 BR 2 BR 3 BR Total
Building 3 4 10 3 17
Building 5 4 10 3 17
Building 7 18   18
Total 26 20 6 52
The standard DCA-required amenities for Trinity Walk Phase II will be completed during the development of Phase I, subject to DCA’s approval for a waiver.  The Community Room, Exterior Gathering Area, and Laundry room will be constructed of more than sufficient size to serve both Phases I and II, thereby creating amenities that are of a benefit to the entire community in a consolidated facility.  
Additional Amenities from DCA Optional List
1. Fenced Community Gardens – The master plan includes raised garden beds in the Greenway on-site in Phase II.    
2. Equipped Tot Lot – Within the central Greenway, an equipped playground for younger children will be constructed using the required ground cover and fencing.  Age-appropriate equipment will serve the younger children of the community.  
RESIDENT CONSULTATION
DHA respects its residents and has regular Resident Management Meetings each quarter with the residents of Gateway, Oakview, and our other communities.  Within these meetings, DHA reviews overall community issues, revitalization plans, and future community events.  DHA has held several detailed public consultations with its families in Gateway and Oakview in order to review the revitalization plans for the community.  
The first meeting was held on November 19, 2013 at 5:30 PM in the DHA Community Resource Center located at 481 Electric Avenue, Decatur.  DHA provided transportation from the Oakview site to enable elderly residents to participate in the consultation.  There were 58 Gateway and Oakview resident families present.  DHA reviewed a PowerPoint presentation that described in narrative and photo essays the current conditions of the properties, revitalization strategy options, development goals, relocation, and master plan concepts.  Residents were engaged in active discussion of the plans and they provided excellent comments on the development.  In addition, residents asked detailed questions that were answered in open discussion.  
On December 17, 2013, DHA held the second resident consultation meeting with 44 residents present.  DHA reviewed a condensed presentation of the meeting materials from the previous meeting and added enhanced site plans and unit plans for resident input and consideration.  At the conclusion of the meeting, DHA conducted an abbreviated relocation survey to gain more information about resident relocation requirements and needs.   
Additional resident consultation efforts are described in the required tab, XIII. Local Government.  
During all meetings, DHA was frank with residents and the community about the challenges of a revitalization effort, relocation, and the competitive nature of securing financing and low income housing tax credits.   
RELOCATION
DHA understands that the redevelopment of Gateway Manor and Oakview Apartments needs to be implemented in a manner to minimize disruption and relocation of current residents.  During the construction, the current residents will be accommodated in other DHA apartments, provided with HUD-funded housing assistance in private rental housing (similar to Housing Choice Vouchers), or provided DHA-controlled Housing Choice Vouchers under a carefully-monitored relocation plan.  
DHA has applied to HUD to use the housing subsidy provided for each of the Gateway units to create temporary housing assistance.  In this way, families may locate a private housing unit that meets the required standards.  Families may desire to remain in Decatur, or may desire to relocate to other housing of their choice with the HUD housing assistance.  Following an inspection by DHA a contract would be entered into by DHA and the owner.  The family would continue to pay the same affordable rental that they do at Gateway.  HUD would provide to DHA the rental subsidy for the unit, and DHA would pay the subsidy to the owner of the private rental unit.  DHA would also be responsible for the reasonable costs of the relocation effort.  After the temporary relocation, residents would return to the newly constructed units.  If HUD does not allow the temporary use of the housing subsidy as a pass-through, then DHA will provide housing choice vouchers from its resources for the relocation of the families in Phase I. 
DEMOLITION AND RELOCATION
In order to enable as many families to remain on site as possible during the revitalization effort, DHA will retain the 24 units in Building H, I, and K.  The other on-site residents at Gateway will be relocated in accordance with the DCA Relocation Plan using one of the following methods:
• Transfers to vacant units within that portion of Gateway that will not be demolished as a part of Phase I demolition.  (Buildings H, I, and K)
• Transfers to other vacant DHA Housing units in Decatur (with rental assistance) including, 
o 289 Public Housing units, or
o 75 market rate units 
• Federal Housing Assistance
o HUD is reviewing whether to allow DHA to use the Section 8 housing subsidy on the 88 units at Gateway to assist families to rent private market housing of their choice.  As stated above, if HUD does not, then DHA will provide its’ housing choice vouchers.
• Section 8 Housing Assistance
o Families who choose to move permanently from the community will be issued a Housing Choice Voucher
In all cases, families will be provided housing counseling assistance and financial assistance with moving costs as described in the Relocation Plan.  
Demolition is planned for two phases.  As noted previously, DHA will retain the 24 units in Buildings H, I, and K to enable the maximum number of families, especially families with children who attend the City Schools of Decatur, to continue to remain in the community.  
GATEWAY SITE MAP
Scheduled Demolition by Phase
Demolition Phase I will be required to support the development of Trinity Walk.  A total of 64 units will be demolished as shown below to enable the construction of 69 new units.  
Demolition Phase I – 64 Units
Building Building Type Total Units in Building LIST OF UNITS IN BUILDING Sq. Ft./ bldg
A Townhouses 12 A-1 A-2 A-3 A-4 A-5 A-6 A-7 A-8 A-9 A-10 A-11 A-12 11,742
 Number of bedrooms each unit 2 3 1 1 3 2 2 3 1 1 3 2  
B Townhouses 6 B-1 B-2 B-3 B-4 B-5 B-6             5,757
 Number of bedrooms each unit 2 3 1 1 3 2              
C Townhouses 10 C-1 C-2 C-3 C-4 C-5 C-6 C-7 C-8 C-9 C-10     9,747
 Number of bedrooms each unit 2 3 1 2 2 2 2 1 3 2      
D Townhouses 10 D-1 D-2 D-3 D-4 D-5 D-6 D-7 D-8 D-9 D-10     9,633
 Number of bedrooms each unit 2 3 1 2 2 2 2 1 3 2      
E Townhouses 8 E-1 E-2 E-3 E-4 E-5 E-6 E-7 E-8         7,752
 Number of bedrooms each unit 2 3 1 2 2 1 3 2          
F Townhouses 8 F-1 F-2 F-3 F-4 F-5 F-6 F-7 F-8         7,980
 Number of bedrooms each unit 2 3 1 2 2 1 3 2          
G Townhouses 6 G-1 G-2 G-3 G-4 G-5 G-6             6,156
 Number of bedrooms each unit 2 3 1 2 2 2              
L Garden 4 L-1 L-2 L-3 L-4                 3,990
 Number of bedrooms each unit 2 2 2 2                  
After Trinity Walk Phase I is constructed, then families from the 24 units on-site in Buildings H, I, and K will be transferred into the new units.  In addition, families off-site who wish to return to the community will be relocated into the new units.  Finally, some of the families from the Oakview community will be relocated into the 69 new units.  
After the reoccupancy of Phase I of Trinity Walk, the remaining 24 units of Gateway will be removed to allow the construction of Phase II of Trinity Walk.    
Demolition Phase II – 24 Units
Building Building Type Total Units in Building LIST OF UNITS IN BUILDING Sq. Ft./ bldg
H  Townhouses 6 H-1 H-2 H-3 H-4 H-5 H-6             5,928
 Number of bedrooms each unit 2 3 1 1 3 2              
I Townhouses 10 I-1 I-2 I-3 I-4 I-5 I-6 I-7 I-8 I-9 I-10     9,747
 Number of bedrooms each unit 2 3 1 2 2 2 2 1 3 2      
K Garden/Elderly 8 K- 13 K- 14 K-15 K- 16 K-17 K-18 K-19 K-20         4,984
 Number of bedrooms each unit  1-E  1-E   1-E    1-E    1-E  1-E  2-E  2-E          
PROJECT FINANCING
The funding sources for the Trinity Walk Phase I (Family) include:
• Equity from the sale of 9% Low Income Housing Tax Credits (LIHTC), 
• First mortgage debt from DHA using non-Federal sources at AFR.  
CURRENT STATUS OF DHA AND ITS LIHTC PROJECTS
Allen Wilson Phase I (40 family units) was completed in March 2011 and was fully occupied in less than thirty days.  Allen Wilson Phase II (Oliver House 80 elderly units) was completed on August 31, and the community fully occupied in less than thirty days.  Allen Wilson Phase III (71 family units) achieved substantial completion on December 31, 2013 and was fully occupied by January 31, 2014 (less than thirty days).  Final punch list work is being completed on-site, and DHA is gathering the required documentation to submit to DCA for the Project Completion.  DHA is pleased to have designed and completed a master-planned community and housing that is sustainable and meets the needs of families and seniors in the 21st century.  
We ask that DCA support our effort to preserve Affordable Housing with the Trinity Walk revitalization effort for the following reasons:
1. DHA is a financially stable and solid entity with demonstrated success in real estate development and the implementation of the low income housing tax credit program.  
2. DHA and its architect, Lord, Aeck, and Sargent have completed project master plan and unit schematic plan.  Full plans and specifications will be available for bidding in late 2014 to support the bidding of the construction contraction.  DHA is undertaking this effort using its own resources prior to LIHTC award.
3. As Trinity Walk is an urban site, there is no question about the availability of utilities and services since the site is currently a part of the City of Decatur’s stormwater, sewer, and water lines.  
4. DHA has full site control as it owns the Trinity Walk site with no mortgage or land costs.    
5. DHA will have bid and secured a qualified general contractor, by the fall of 2014, prior to the planned award of low income housing tax credits by DCA.
6. As families want to return to the revitalized Trinity Walk community, there are sufficient applicants to fill the unit.  In addition, there are 449 persons on the DHA waiting list for the community.  DHA will undertake and utilize the same system of prequalification of eligible applicants for Allen Wilson Phases I, II, and III to assure immediate occupancy of all the low income housing tax credit units.    
DHA welcomes the opportunity to discuss with DCA this opportunity to maximize the benefit of the low income housing tax credits to the State of Georgia.                                                                                                                                
</v>
      </c>
    </row>
    <row r="6" spans="1:1">
      <c r="A6" s="1708"/>
    </row>
    <row r="7" spans="1:1">
      <c r="A7" s="1708"/>
    </row>
    <row r="8" spans="1:1">
      <c r="A8" s="1708"/>
    </row>
    <row r="9" spans="1:1">
      <c r="A9" s="1708"/>
    </row>
    <row r="10" spans="1:1">
      <c r="A10" s="1708"/>
    </row>
    <row r="11" spans="1:1">
      <c r="A11" s="1708"/>
    </row>
    <row r="12" spans="1:1">
      <c r="A12" s="1708"/>
    </row>
    <row r="13" spans="1:1">
      <c r="A13" s="1708"/>
    </row>
    <row r="14" spans="1:1">
      <c r="A14" s="1708"/>
    </row>
    <row r="15" spans="1:1">
      <c r="A15" s="1708"/>
    </row>
    <row r="16" spans="1:1">
      <c r="A16" s="1708"/>
    </row>
    <row r="17" spans="1:16">
      <c r="A17" s="1708"/>
    </row>
    <row r="18" spans="1:16">
      <c r="A18" s="1708"/>
    </row>
    <row r="19" spans="1:16">
      <c r="A19" s="1708"/>
    </row>
    <row r="20" spans="1:16">
      <c r="A20" s="1708"/>
    </row>
    <row r="21" spans="1:16">
      <c r="A21" s="1708"/>
    </row>
    <row r="22" spans="1:16">
      <c r="A22" s="1708"/>
    </row>
    <row r="23" spans="1:16">
      <c r="A23" s="1708"/>
    </row>
    <row r="25" spans="1:16">
      <c r="A25" s="1656" t="str">
        <f>CONCATENATE("PART ONE - PROJECT INFORMATION"," - ",$O$4," ",$F$23,", ",'Part I-Project Information'!F51,", ",'Part I-Project Information'!J52," County")</f>
        <v>PART ONE - PROJECT INFORMATION -  , ,  County</v>
      </c>
      <c r="B25" s="1656"/>
      <c r="C25" s="1656"/>
      <c r="D25" s="1656"/>
      <c r="E25" s="1656"/>
      <c r="F25" s="1656"/>
      <c r="G25" s="1656"/>
      <c r="H25" s="1656"/>
      <c r="I25" s="1656"/>
      <c r="J25" s="1656"/>
      <c r="K25" s="1656"/>
      <c r="L25" s="1656"/>
      <c r="M25" s="1656"/>
      <c r="N25" s="1656"/>
      <c r="O25" s="1656"/>
      <c r="P25" s="1656"/>
    </row>
    <row r="26" spans="1:16">
      <c r="A26" s="1084"/>
      <c r="B26" s="1084"/>
      <c r="C26" s="1084"/>
      <c r="D26" s="1084"/>
      <c r="E26" s="1084"/>
      <c r="F26" s="1084"/>
      <c r="G26" s="1084"/>
      <c r="H26" s="1084"/>
      <c r="I26" s="1084"/>
      <c r="J26" s="1084"/>
      <c r="K26" s="1084"/>
      <c r="L26" s="1084"/>
      <c r="M26" s="1084"/>
      <c r="N26" s="1084"/>
      <c r="O26" s="1084"/>
      <c r="P26" s="1084"/>
    </row>
    <row r="27" spans="1:16" ht="13.5">
      <c r="A27" s="1100"/>
      <c r="B27" s="1084"/>
      <c r="C27" s="834" t="s">
        <v>2520</v>
      </c>
      <c r="D27" s="1100"/>
      <c r="E27" s="1100"/>
      <c r="F27" s="1084"/>
      <c r="G27" s="1086" t="s">
        <v>3641</v>
      </c>
      <c r="H27" s="1100"/>
      <c r="I27" s="1100"/>
      <c r="J27" s="1100"/>
      <c r="K27" s="1100"/>
      <c r="L27" s="1084"/>
      <c r="M27" s="1100"/>
      <c r="N27" s="1100"/>
      <c r="O27" s="1656" t="s">
        <v>2894</v>
      </c>
      <c r="P27" s="1656"/>
    </row>
    <row r="28" spans="1:16" ht="13.5">
      <c r="A28" s="1084"/>
      <c r="B28" s="835"/>
      <c r="C28" s="835"/>
      <c r="D28" s="1100"/>
      <c r="E28" s="1100"/>
      <c r="F28" s="1084"/>
      <c r="G28" s="1086" t="s">
        <v>3642</v>
      </c>
      <c r="H28" s="1087"/>
      <c r="I28" s="1087"/>
      <c r="J28" s="1087"/>
      <c r="K28" s="1100"/>
      <c r="L28" s="1100"/>
      <c r="M28" s="1100"/>
      <c r="N28" s="1100"/>
      <c r="O28" s="1656" t="str">
        <f>'Part I-Project Information'!O4</f>
        <v>2014-055</v>
      </c>
      <c r="P28" s="1656"/>
    </row>
    <row r="29" spans="1:16">
      <c r="A29" s="1084"/>
      <c r="B29" s="835"/>
      <c r="C29" s="835"/>
      <c r="D29" s="835"/>
      <c r="E29" s="1087"/>
      <c r="F29" s="1100"/>
      <c r="G29" s="1100"/>
      <c r="H29" s="1087"/>
      <c r="I29" s="1087"/>
      <c r="J29" s="1087"/>
      <c r="K29" s="834"/>
      <c r="L29" s="1100"/>
      <c r="M29" s="1087"/>
      <c r="N29" s="1100"/>
      <c r="O29" s="1100"/>
      <c r="P29" s="1100"/>
    </row>
    <row r="30" spans="1:16">
      <c r="A30" s="835" t="s">
        <v>657</v>
      </c>
      <c r="B30" s="835" t="s">
        <v>2533</v>
      </c>
      <c r="C30" s="1100"/>
      <c r="D30" s="1095"/>
      <c r="E30" s="836"/>
      <c r="F30" s="1085" t="s">
        <v>1836</v>
      </c>
      <c r="G30" s="1100"/>
      <c r="H30" s="1100"/>
      <c r="I30" s="1100"/>
      <c r="J30" s="1709">
        <f>'Part IV-Uses of Funds'!J197</f>
        <v>0</v>
      </c>
      <c r="K30" s="1709"/>
      <c r="L30" s="1100"/>
      <c r="M30" s="1087"/>
      <c r="N30" s="1100"/>
      <c r="O30" s="1100"/>
      <c r="P30" s="1100"/>
    </row>
    <row r="31" spans="1:16">
      <c r="A31" s="584"/>
      <c r="B31" s="584"/>
      <c r="C31" s="581"/>
      <c r="E31" s="837"/>
      <c r="F31" s="1100" t="s">
        <v>1369</v>
      </c>
      <c r="G31" s="581"/>
      <c r="H31" s="581"/>
      <c r="I31" s="581"/>
      <c r="J31" s="1710">
        <f>'Part III-Sources of Funds'!P28</f>
        <v>0</v>
      </c>
      <c r="K31" s="1710"/>
      <c r="L31" s="1100"/>
      <c r="M31" s="1087"/>
      <c r="N31" s="1100"/>
      <c r="O31" s="1100"/>
      <c r="P31" s="1100"/>
    </row>
    <row r="32" spans="1:16">
      <c r="A32" s="835"/>
      <c r="B32" s="835"/>
      <c r="C32" s="1100"/>
      <c r="D32" s="1095"/>
      <c r="E32" s="836"/>
      <c r="F32" s="836"/>
      <c r="G32" s="1100"/>
      <c r="H32" s="1100"/>
      <c r="I32" s="834"/>
      <c r="J32" s="1100"/>
      <c r="K32" s="1100"/>
      <c r="L32" s="1100"/>
      <c r="M32" s="1100"/>
      <c r="N32" s="838"/>
      <c r="O32" s="1100"/>
      <c r="P32" s="1100"/>
    </row>
    <row r="33" spans="1:16" ht="13.5">
      <c r="A33" s="834" t="s">
        <v>790</v>
      </c>
      <c r="B33" s="835" t="s">
        <v>2179</v>
      </c>
      <c r="C33" s="1100"/>
      <c r="D33" s="1100"/>
      <c r="E33" s="1100"/>
      <c r="F33" s="1700" t="str">
        <f>'Part I-Project Information'!F9</f>
        <v>Competitive Round</v>
      </c>
      <c r="G33" s="1700"/>
      <c r="H33" s="1700"/>
      <c r="I33" s="1090"/>
      <c r="J33" s="835" t="s">
        <v>3643</v>
      </c>
      <c r="K33" s="835"/>
      <c r="L33" s="1087"/>
      <c r="M33" s="1100"/>
      <c r="N33" s="1100"/>
      <c r="O33" s="1638" t="str">
        <f>'Part I-Project Information'!O9</f>
        <v>2014PA-25</v>
      </c>
      <c r="P33" s="1638"/>
    </row>
    <row r="34" spans="1:16">
      <c r="A34" s="1084"/>
      <c r="B34" s="1100"/>
      <c r="C34" s="1100"/>
      <c r="D34" s="1100"/>
      <c r="E34" s="1100"/>
      <c r="F34" s="1100"/>
      <c r="G34" s="1100"/>
      <c r="H34" s="1087"/>
      <c r="I34" s="1100"/>
      <c r="J34" s="1085" t="s">
        <v>3000</v>
      </c>
      <c r="K34" s="834"/>
      <c r="L34" s="1100"/>
      <c r="M34" s="1087"/>
      <c r="N34" s="1100"/>
      <c r="O34" s="1638" t="str">
        <f>'Part I-Project Information'!O10</f>
        <v>No</v>
      </c>
      <c r="P34" s="1638"/>
    </row>
    <row r="35" spans="1:16">
      <c r="A35" s="1100"/>
      <c r="B35" s="1100"/>
      <c r="C35" s="1100"/>
      <c r="D35" s="1100"/>
      <c r="E35" s="1100"/>
      <c r="F35" s="1100"/>
      <c r="G35" s="1100"/>
      <c r="H35" s="1100"/>
      <c r="I35" s="1095"/>
      <c r="J35" s="1095"/>
      <c r="K35" s="1095"/>
      <c r="L35" s="1095"/>
      <c r="M35" s="1095"/>
      <c r="N35" s="1095"/>
      <c r="O35" s="1095"/>
      <c r="P35" s="1095"/>
    </row>
    <row r="36" spans="1:16">
      <c r="A36" s="834" t="s">
        <v>792</v>
      </c>
      <c r="B36" s="835" t="s">
        <v>1571</v>
      </c>
      <c r="C36" s="1100"/>
      <c r="D36" s="1085"/>
      <c r="E36" s="836"/>
      <c r="F36" s="1100"/>
      <c r="G36" s="836"/>
      <c r="H36" s="836"/>
      <c r="I36" s="836"/>
      <c r="J36" s="1100"/>
      <c r="K36" s="838"/>
      <c r="L36" s="838"/>
      <c r="M36" s="1100"/>
      <c r="N36" s="1100"/>
      <c r="O36" s="1100"/>
      <c r="P36" s="1100"/>
    </row>
    <row r="37" spans="1:16">
      <c r="A37" s="834"/>
      <c r="B37" s="836"/>
      <c r="C37" s="835"/>
      <c r="D37" s="1085"/>
      <c r="E37" s="836"/>
      <c r="F37" s="1100"/>
      <c r="G37" s="836"/>
      <c r="H37" s="836"/>
      <c r="I37" s="836"/>
      <c r="J37" s="1100"/>
      <c r="K37" s="838"/>
      <c r="L37" s="838"/>
      <c r="M37" s="1100"/>
      <c r="N37" s="1100"/>
      <c r="O37" s="1084"/>
      <c r="P37" s="1100"/>
    </row>
    <row r="38" spans="1:16">
      <c r="A38" s="1100"/>
      <c r="B38" s="1100" t="s">
        <v>2452</v>
      </c>
      <c r="C38" s="1100"/>
      <c r="D38" s="1100"/>
      <c r="E38" s="1100"/>
      <c r="F38" s="1649" t="str">
        <f>'Part I-Project Information'!F14</f>
        <v>Douglas S. Faust</v>
      </c>
      <c r="G38" s="1649"/>
      <c r="H38" s="1649"/>
      <c r="I38" s="1649"/>
      <c r="J38" s="1649"/>
      <c r="K38" s="1649"/>
      <c r="L38" s="1649"/>
      <c r="M38" s="1085" t="s">
        <v>2116</v>
      </c>
      <c r="N38" s="1649" t="str">
        <f>'Part I-Project Information'!N14</f>
        <v>Executive Director</v>
      </c>
      <c r="O38" s="1649"/>
      <c r="P38" s="1649"/>
    </row>
    <row r="39" spans="1:16">
      <c r="A39" s="1100"/>
      <c r="B39" s="1085" t="s">
        <v>2117</v>
      </c>
      <c r="C39" s="1100"/>
      <c r="D39" s="1100"/>
      <c r="E39" s="1100"/>
      <c r="F39" s="1649" t="str">
        <f>'Part I-Project Information'!F15</f>
        <v>750 Commerce Drive Suite 110</v>
      </c>
      <c r="G39" s="1649"/>
      <c r="H39" s="1649"/>
      <c r="I39" s="1649"/>
      <c r="J39" s="1649"/>
      <c r="K39" s="1649"/>
      <c r="L39" s="1649"/>
      <c r="M39" s="1085" t="s">
        <v>1842</v>
      </c>
      <c r="N39" s="1100"/>
      <c r="O39" s="1683">
        <f>'Part I-Project Information'!O15</f>
        <v>4042702101</v>
      </c>
      <c r="P39" s="1683"/>
    </row>
    <row r="40" spans="1:16">
      <c r="A40" s="1100"/>
      <c r="B40" s="1085" t="s">
        <v>659</v>
      </c>
      <c r="C40" s="1100"/>
      <c r="D40" s="1100"/>
      <c r="E40" s="1100"/>
      <c r="F40" s="1649" t="str">
        <f>'Part I-Project Information'!F16</f>
        <v>Decatur</v>
      </c>
      <c r="G40" s="1649"/>
      <c r="H40" s="1649"/>
      <c r="I40" s="1100"/>
      <c r="J40" s="1100"/>
      <c r="K40" s="1100"/>
      <c r="L40" s="1100"/>
      <c r="M40" s="1085" t="s">
        <v>1926</v>
      </c>
      <c r="N40" s="1100"/>
      <c r="O40" s="1683">
        <f>'Part I-Project Information'!O16</f>
        <v>4042702123</v>
      </c>
      <c r="P40" s="1683"/>
    </row>
    <row r="41" spans="1:16">
      <c r="A41" s="1100"/>
      <c r="B41" s="1085" t="s">
        <v>1923</v>
      </c>
      <c r="C41" s="1100"/>
      <c r="D41" s="1100"/>
      <c r="E41" s="1100"/>
      <c r="F41" s="1092" t="str">
        <f>'Part I-Project Information'!F17</f>
        <v>GA</v>
      </c>
      <c r="G41" s="1100"/>
      <c r="H41" s="1100"/>
      <c r="I41" s="1087" t="s">
        <v>2377</v>
      </c>
      <c r="J41" s="1693">
        <f>'Part I-Project Information'!J17</f>
        <v>300302612</v>
      </c>
      <c r="K41" s="1693"/>
      <c r="L41" s="1100"/>
      <c r="M41" s="1085" t="s">
        <v>2115</v>
      </c>
      <c r="N41" s="1100"/>
      <c r="O41" s="1683">
        <f>'Part I-Project Information'!O17</f>
        <v>4049155811</v>
      </c>
      <c r="P41" s="1683"/>
    </row>
    <row r="42" spans="1:16">
      <c r="A42" s="1100"/>
      <c r="B42" s="1085" t="s">
        <v>1841</v>
      </c>
      <c r="C42" s="1100"/>
      <c r="D42" s="1100"/>
      <c r="E42" s="1100"/>
      <c r="F42" s="1683">
        <f>'Part I-Project Information'!F18</f>
        <v>4042702101</v>
      </c>
      <c r="G42" s="1683"/>
      <c r="H42" s="1683"/>
      <c r="I42" s="1087" t="s">
        <v>1840</v>
      </c>
      <c r="J42" s="1087">
        <f>'Part I-Project Information'!J18</f>
        <v>0</v>
      </c>
      <c r="K42" s="1087" t="s">
        <v>2120</v>
      </c>
      <c r="L42" s="1649" t="str">
        <f>'Part I-Project Information'!L18</f>
        <v>dsf@decaturha.org</v>
      </c>
      <c r="M42" s="1649"/>
      <c r="N42" s="1649"/>
      <c r="O42" s="1649"/>
      <c r="P42" s="1649"/>
    </row>
    <row r="43" spans="1:16" ht="13.5">
      <c r="A43" s="835"/>
      <c r="B43" s="1086" t="s">
        <v>699</v>
      </c>
      <c r="C43" s="1100"/>
      <c r="D43" s="836"/>
      <c r="E43" s="1100"/>
      <c r="F43" s="1100"/>
      <c r="G43" s="836"/>
      <c r="H43" s="836"/>
      <c r="I43" s="836"/>
      <c r="J43" s="1100"/>
      <c r="K43" s="1100"/>
      <c r="L43" s="1100"/>
      <c r="M43" s="1100"/>
      <c r="N43" s="1100"/>
      <c r="O43" s="1100"/>
      <c r="P43" s="1100"/>
    </row>
    <row r="44" spans="1:16">
      <c r="A44" s="1084"/>
      <c r="B44" s="1084"/>
      <c r="C44" s="1095"/>
      <c r="D44" s="1100"/>
      <c r="E44" s="1100"/>
      <c r="F44" s="1100"/>
      <c r="G44" s="1100"/>
      <c r="H44" s="1087"/>
      <c r="I44" s="1100"/>
      <c r="J44" s="1095"/>
      <c r="K44" s="1100"/>
      <c r="L44" s="1100"/>
      <c r="M44" s="1100"/>
      <c r="N44" s="1100"/>
      <c r="O44" s="1100"/>
      <c r="P44" s="1097"/>
    </row>
    <row r="45" spans="1:16">
      <c r="A45" s="834" t="s">
        <v>1916</v>
      </c>
      <c r="B45" s="835" t="s">
        <v>1572</v>
      </c>
      <c r="C45" s="1100"/>
      <c r="D45" s="1095"/>
      <c r="E45" s="836"/>
      <c r="F45" s="836"/>
      <c r="G45" s="1085"/>
      <c r="H45" s="836"/>
      <c r="I45" s="836"/>
      <c r="J45" s="836"/>
      <c r="K45" s="1100"/>
      <c r="L45" s="838"/>
      <c r="M45" s="838"/>
      <c r="N45" s="1100"/>
      <c r="O45" s="1100"/>
      <c r="P45" s="1100"/>
    </row>
    <row r="46" spans="1:16">
      <c r="A46" s="834"/>
      <c r="B46" s="835"/>
      <c r="C46" s="1100"/>
      <c r="D46" s="1095"/>
      <c r="E46" s="836"/>
      <c r="F46" s="836"/>
      <c r="G46" s="1085"/>
      <c r="H46" s="836"/>
      <c r="I46" s="836"/>
      <c r="J46" s="836"/>
      <c r="K46" s="1100"/>
      <c r="L46" s="838"/>
      <c r="M46" s="1100"/>
      <c r="N46" s="1100"/>
      <c r="O46" s="1100"/>
      <c r="P46" s="1100"/>
    </row>
    <row r="47" spans="1:16">
      <c r="A47" s="835"/>
      <c r="B47" s="1100" t="s">
        <v>658</v>
      </c>
      <c r="C47" s="1100"/>
      <c r="D47" s="835"/>
      <c r="E47" s="1100"/>
      <c r="F47" s="1649" t="str">
        <f>'Part I-Project Information'!F23</f>
        <v>Trinity Walk Phase I</v>
      </c>
      <c r="G47" s="1649"/>
      <c r="H47" s="1649"/>
      <c r="I47" s="1649"/>
      <c r="J47" s="1649"/>
      <c r="K47" s="1649"/>
      <c r="L47" s="1649"/>
      <c r="M47" s="1085" t="s">
        <v>2334</v>
      </c>
      <c r="N47" s="1100"/>
      <c r="O47" s="1649" t="str">
        <f>'Part I-Project Information'!O23</f>
        <v>Yes- w/Master Plan</v>
      </c>
      <c r="P47" s="1649"/>
    </row>
    <row r="48" spans="1:16">
      <c r="A48" s="839"/>
      <c r="B48" s="1100" t="s">
        <v>2932</v>
      </c>
      <c r="C48" s="1100"/>
      <c r="D48" s="838"/>
      <c r="E48" s="1100"/>
      <c r="F48" s="1649" t="str">
        <f>'Part I-Project Information'!F24</f>
        <v>421 W. Trinity Place</v>
      </c>
      <c r="G48" s="1649"/>
      <c r="H48" s="1649"/>
      <c r="I48" s="1649"/>
      <c r="J48" s="1649"/>
      <c r="K48" s="1649"/>
      <c r="L48" s="1649"/>
      <c r="M48" s="1085" t="s">
        <v>2189</v>
      </c>
      <c r="N48" s="1100"/>
      <c r="O48" s="1649" t="str">
        <f>'Part I-Project Information'!O24</f>
        <v>No</v>
      </c>
      <c r="P48" s="1649"/>
    </row>
    <row r="49" spans="1:16">
      <c r="A49" s="839"/>
      <c r="B49" s="1100" t="s">
        <v>3644</v>
      </c>
      <c r="C49" s="1100"/>
      <c r="D49" s="838"/>
      <c r="E49" s="1100"/>
      <c r="F49" s="1649" t="str">
        <f>'Part I-Project Information'!F25</f>
        <v>Same</v>
      </c>
      <c r="G49" s="1649"/>
      <c r="H49" s="1649"/>
      <c r="I49" s="1649"/>
      <c r="J49" s="1649"/>
      <c r="K49" s="1649"/>
      <c r="L49" s="1649"/>
      <c r="M49" s="1085" t="s">
        <v>3006</v>
      </c>
      <c r="N49" s="1100"/>
      <c r="O49" s="1711">
        <f>'Part I-Project Information'!O25</f>
        <v>0</v>
      </c>
      <c r="P49" s="1711"/>
    </row>
    <row r="50" spans="1:16">
      <c r="A50" s="839"/>
      <c r="B50" s="1100" t="s">
        <v>3234</v>
      </c>
      <c r="C50" s="1100"/>
      <c r="D50" s="838"/>
      <c r="E50" s="1100"/>
      <c r="F50" s="1649" t="str">
        <f>'Part I-Project Information'!F26</f>
        <v>Latitude: 33.774555; Longitude: -84.302486</v>
      </c>
      <c r="G50" s="1649"/>
      <c r="H50" s="1649"/>
      <c r="I50" s="1649"/>
      <c r="J50" s="1649"/>
      <c r="K50" s="1649"/>
      <c r="L50" s="1649"/>
      <c r="M50" s="1085" t="s">
        <v>2433</v>
      </c>
      <c r="N50" s="1100"/>
      <c r="O50" s="1707">
        <f>'Part I-Project Information'!O26</f>
        <v>3.66</v>
      </c>
      <c r="P50" s="1707"/>
    </row>
    <row r="51" spans="1:16" ht="16.5">
      <c r="A51" s="1084"/>
      <c r="B51" s="1100" t="s">
        <v>659</v>
      </c>
      <c r="C51" s="1100"/>
      <c r="D51" s="1100"/>
      <c r="E51" s="1100"/>
      <c r="F51" s="1649" t="str">
        <f>'Part I-Project Information'!F27</f>
        <v>Decatur</v>
      </c>
      <c r="G51" s="1649"/>
      <c r="H51" s="1649"/>
      <c r="I51" s="1090" t="s">
        <v>3645</v>
      </c>
      <c r="J51" s="1693">
        <f>'Part I-Project Information'!J27</f>
        <v>300303022</v>
      </c>
      <c r="K51" s="1693"/>
      <c r="L51" s="835" t="str">
        <f>IF(AND(NOT(F47=""),NOT(F51="Select from list"),J51=""),"Enter Zip!","")</f>
        <v/>
      </c>
      <c r="M51" s="1091" t="s">
        <v>2445</v>
      </c>
      <c r="N51" s="1100"/>
      <c r="O51" s="1649" t="str">
        <f>'Part I-Project Information'!O27</f>
        <v>0225.00</v>
      </c>
      <c r="P51" s="1649"/>
    </row>
    <row r="52" spans="1:16">
      <c r="A52" s="1084"/>
      <c r="B52" s="1100" t="s">
        <v>3209</v>
      </c>
      <c r="C52" s="1100"/>
      <c r="D52" s="1100"/>
      <c r="E52" s="1100"/>
      <c r="F52" s="1649" t="str">
        <f>'Part I-Project Information'!F28</f>
        <v>Within City Limits</v>
      </c>
      <c r="G52" s="1649"/>
      <c r="H52" s="1649"/>
      <c r="I52" s="840" t="s">
        <v>660</v>
      </c>
      <c r="J52" s="1685" t="str">
        <f>'Part I-Project Information'!J28</f>
        <v>DeKalb</v>
      </c>
      <c r="K52" s="1685"/>
      <c r="L52" s="1100"/>
      <c r="M52" s="1085" t="s">
        <v>475</v>
      </c>
      <c r="N52" s="874" t="str">
        <f>'Part I-Project Information'!N28</f>
        <v>No</v>
      </c>
      <c r="O52" s="838" t="s">
        <v>476</v>
      </c>
      <c r="P52" s="874" t="str">
        <f>'Part I-Project Information'!P28</f>
        <v>No</v>
      </c>
    </row>
    <row r="53" spans="1:16">
      <c r="A53" s="1084"/>
      <c r="B53" s="835"/>
      <c r="C53" s="1100" t="s">
        <v>1666</v>
      </c>
      <c r="D53" s="1100"/>
      <c r="E53" s="1100"/>
      <c r="F53" s="1085" t="str">
        <f>'Part I-Project Information'!F29</f>
        <v>No</v>
      </c>
      <c r="G53" s="1638" t="s">
        <v>3235</v>
      </c>
      <c r="H53" s="1638"/>
      <c r="I53" s="1087">
        <f>'Part I-Project Information'!I2</f>
        <v>0</v>
      </c>
      <c r="J53" s="1087" t="s">
        <v>3259</v>
      </c>
      <c r="K53" s="1087" t="str">
        <f>IF(OR(F53="Yes",I53="Yes"),"Rural","Urban")</f>
        <v>Urban</v>
      </c>
      <c r="L53" s="1100"/>
      <c r="M53" s="1085" t="s">
        <v>2796</v>
      </c>
      <c r="N53" s="1084" t="str">
        <f>'Part I-Project Information'!N29</f>
        <v>MSA</v>
      </c>
      <c r="O53" s="1649" t="str">
        <f>'Part I-Project Information'!O29</f>
        <v>Atlanta-Sandy Springs-Marietta</v>
      </c>
      <c r="P53" s="1649"/>
    </row>
    <row r="54" spans="1:16">
      <c r="A54" s="1084"/>
      <c r="B54" s="835"/>
      <c r="C54" s="835"/>
      <c r="D54" s="1100"/>
      <c r="E54" s="1100"/>
      <c r="F54" s="1100"/>
      <c r="G54" s="1100"/>
      <c r="H54" s="1100"/>
      <c r="I54" s="1085"/>
      <c r="J54" s="1100"/>
      <c r="K54" s="1100"/>
      <c r="L54" s="1108"/>
      <c r="M54" s="1108"/>
      <c r="N54" s="1108"/>
      <c r="O54" s="1108"/>
      <c r="P54" s="1108"/>
    </row>
    <row r="55" spans="1:16" ht="13.5">
      <c r="A55" s="1084"/>
      <c r="B55" s="1100"/>
      <c r="C55" s="1100" t="s">
        <v>3646</v>
      </c>
      <c r="D55" s="1100"/>
      <c r="E55" s="1100"/>
      <c r="F55" s="1694" t="s">
        <v>3152</v>
      </c>
      <c r="G55" s="1694"/>
      <c r="H55" s="1638" t="s">
        <v>786</v>
      </c>
      <c r="I55" s="1638"/>
      <c r="J55" s="1638" t="s">
        <v>787</v>
      </c>
      <c r="K55" s="1638"/>
      <c r="L55" s="841" t="s">
        <v>3633</v>
      </c>
      <c r="M55" s="1100"/>
      <c r="N55" s="1100"/>
      <c r="O55" s="1100"/>
      <c r="P55" s="1100"/>
    </row>
    <row r="56" spans="1:16">
      <c r="A56" s="1084"/>
      <c r="B56" s="1100" t="s">
        <v>3647</v>
      </c>
      <c r="C56" s="1100"/>
      <c r="D56" s="835"/>
      <c r="E56" s="1100"/>
      <c r="F56" s="1704">
        <f>'Part I-Project Information'!F32</f>
        <v>4</v>
      </c>
      <c r="G56" s="1704"/>
      <c r="H56" s="1704">
        <f>'Part I-Project Information'!H32</f>
        <v>42</v>
      </c>
      <c r="I56" s="1704"/>
      <c r="J56" s="1704">
        <f>'Part I-Project Information'!J32</f>
        <v>85</v>
      </c>
      <c r="K56" s="1704"/>
      <c r="L56" s="842" t="s">
        <v>1364</v>
      </c>
      <c r="M56" s="1100"/>
      <c r="N56" s="1706" t="s">
        <v>1365</v>
      </c>
      <c r="O56" s="1706"/>
      <c r="P56" s="1706"/>
    </row>
    <row r="57" spans="1:16">
      <c r="A57" s="1084"/>
      <c r="B57" s="1085" t="s">
        <v>788</v>
      </c>
      <c r="C57" s="1100"/>
      <c r="D57" s="1100"/>
      <c r="E57" s="1100"/>
      <c r="F57" s="1704">
        <f>'Part I-Project Information'!F33</f>
        <v>0</v>
      </c>
      <c r="G57" s="1704"/>
      <c r="H57" s="1704">
        <f>'Part I-Project Information'!H33</f>
        <v>0</v>
      </c>
      <c r="I57" s="1704"/>
      <c r="J57" s="1704">
        <f>'Part I-Project Information'!J33</f>
        <v>0</v>
      </c>
      <c r="K57" s="1704"/>
      <c r="L57" s="842" t="s">
        <v>3150</v>
      </c>
      <c r="M57" s="1100"/>
      <c r="N57" s="1705" t="s">
        <v>3149</v>
      </c>
      <c r="O57" s="1705"/>
      <c r="P57" s="1100"/>
    </row>
    <row r="58" spans="1:16">
      <c r="A58" s="1084"/>
      <c r="B58" s="1100"/>
      <c r="C58" s="1100"/>
      <c r="D58" s="1100"/>
      <c r="E58" s="1100"/>
      <c r="F58" s="1100"/>
      <c r="G58" s="1100"/>
      <c r="H58" s="1100"/>
      <c r="I58" s="1108"/>
      <c r="J58" s="1108"/>
      <c r="K58" s="1108"/>
      <c r="L58" s="1100"/>
      <c r="M58" s="1100"/>
      <c r="N58" s="1100"/>
      <c r="O58" s="1100"/>
      <c r="P58" s="1100"/>
    </row>
    <row r="59" spans="1:16">
      <c r="A59" s="1084"/>
      <c r="B59" s="835" t="s">
        <v>678</v>
      </c>
      <c r="C59" s="1100"/>
      <c r="D59" s="1100"/>
      <c r="E59" s="1100"/>
      <c r="F59" s="1703" t="str">
        <f>'Part I-Project Information'!F35</f>
        <v>City of Decatur</v>
      </c>
      <c r="G59" s="1703"/>
      <c r="H59" s="1703"/>
      <c r="I59" s="1703"/>
      <c r="J59" s="1703"/>
      <c r="K59" s="1703"/>
      <c r="L59" s="1100"/>
      <c r="M59" s="1089" t="s">
        <v>2945</v>
      </c>
      <c r="N59" s="1649" t="str">
        <f>'Part I-Project Information'!N35</f>
        <v>www.decaturga.com</v>
      </c>
      <c r="O59" s="1649"/>
      <c r="P59" s="1649"/>
    </row>
    <row r="60" spans="1:16">
      <c r="A60" s="1084"/>
      <c r="B60" s="1100" t="s">
        <v>679</v>
      </c>
      <c r="C60" s="1100"/>
      <c r="D60" s="1100"/>
      <c r="E60" s="1100"/>
      <c r="F60" s="1649" t="str">
        <f>'Part I-Project Information'!F36</f>
        <v>Jim Baskett</v>
      </c>
      <c r="G60" s="1649"/>
      <c r="H60" s="1649"/>
      <c r="I60" s="1087" t="s">
        <v>2116</v>
      </c>
      <c r="J60" s="1649" t="str">
        <f>'Part I-Project Information'!J36</f>
        <v>Mayor</v>
      </c>
      <c r="K60" s="1649"/>
      <c r="L60" s="1649"/>
      <c r="M60" s="1085" t="s">
        <v>1924</v>
      </c>
      <c r="N60" s="1649" t="str">
        <f>'Part I-Project Information'!N36</f>
        <v>jim.baskett@decaturga.com</v>
      </c>
      <c r="O60" s="1649"/>
      <c r="P60" s="1649"/>
    </row>
    <row r="61" spans="1:16">
      <c r="A61" s="1084"/>
      <c r="B61" s="1100" t="s">
        <v>2117</v>
      </c>
      <c r="C61" s="1100"/>
      <c r="D61" s="1100"/>
      <c r="E61" s="1100"/>
      <c r="F61" s="1703" t="str">
        <f>'Part I-Project Information'!F37</f>
        <v>P.O. Box 220</v>
      </c>
      <c r="G61" s="1703"/>
      <c r="H61" s="1703"/>
      <c r="I61" s="1703"/>
      <c r="J61" s="1703"/>
      <c r="K61" s="1703"/>
      <c r="L61" s="1100"/>
      <c r="M61" s="1085" t="s">
        <v>659</v>
      </c>
      <c r="N61" s="1649" t="str">
        <f>'Part I-Project Information'!N37</f>
        <v>Decatur</v>
      </c>
      <c r="O61" s="1649"/>
      <c r="P61" s="1649"/>
    </row>
    <row r="62" spans="1:16">
      <c r="A62" s="1084"/>
      <c r="B62" s="1085" t="s">
        <v>2377</v>
      </c>
      <c r="C62" s="1100"/>
      <c r="D62" s="1100"/>
      <c r="E62" s="1100"/>
      <c r="F62" s="1693">
        <f>'Part I-Project Information'!F38</f>
        <v>300300220</v>
      </c>
      <c r="G62" s="1693"/>
      <c r="H62" s="1087" t="s">
        <v>2118</v>
      </c>
      <c r="I62" s="1684">
        <f>'Part I-Project Information'!I38</f>
        <v>4043704100</v>
      </c>
      <c r="J62" s="1684"/>
      <c r="K62" s="1684"/>
      <c r="L62" s="1100"/>
      <c r="M62" s="1085" t="s">
        <v>1926</v>
      </c>
      <c r="N62" s="1683">
        <f>'Part I-Project Information'!N38</f>
        <v>4043702678</v>
      </c>
      <c r="O62" s="1683"/>
      <c r="P62" s="1100"/>
    </row>
    <row r="63" spans="1:16">
      <c r="A63" s="1084"/>
      <c r="B63" s="1084"/>
      <c r="C63" s="843"/>
      <c r="D63" s="1090"/>
      <c r="E63" s="1090"/>
      <c r="F63" s="1087"/>
      <c r="G63" s="1087"/>
      <c r="H63" s="1087"/>
      <c r="I63" s="1087"/>
      <c r="J63" s="1090"/>
      <c r="K63" s="1087"/>
      <c r="L63" s="1087"/>
      <c r="M63" s="1100"/>
      <c r="N63" s="1100"/>
      <c r="O63" s="1100"/>
      <c r="P63" s="1097"/>
    </row>
    <row r="64" spans="1:16">
      <c r="A64" s="834" t="s">
        <v>1918</v>
      </c>
      <c r="B64" s="835" t="s">
        <v>1573</v>
      </c>
      <c r="C64" s="1100"/>
      <c r="D64" s="1100"/>
      <c r="E64" s="1100"/>
      <c r="F64" s="844"/>
      <c r="G64" s="1100"/>
      <c r="H64" s="1100"/>
      <c r="I64" s="1085"/>
      <c r="J64" s="1100"/>
      <c r="K64" s="1100"/>
      <c r="L64" s="1100"/>
      <c r="M64" s="1100"/>
      <c r="N64" s="1100"/>
      <c r="O64" s="1100"/>
      <c r="P64" s="1100"/>
    </row>
    <row r="65" spans="1:16">
      <c r="A65" s="1084"/>
      <c r="B65" s="835"/>
      <c r="C65" s="835"/>
      <c r="D65" s="1100"/>
      <c r="E65" s="1100"/>
      <c r="F65" s="1100"/>
      <c r="G65" s="1100"/>
      <c r="H65" s="1100"/>
      <c r="I65" s="1085"/>
      <c r="J65" s="1100"/>
      <c r="K65" s="1100"/>
      <c r="L65" s="1100"/>
      <c r="M65" s="1100"/>
      <c r="N65" s="1100"/>
      <c r="O65" s="1100"/>
      <c r="P65" s="1100"/>
    </row>
    <row r="66" spans="1:16">
      <c r="A66" s="1084"/>
      <c r="B66" s="1084" t="s">
        <v>2119</v>
      </c>
      <c r="C66" s="835" t="s">
        <v>3648</v>
      </c>
      <c r="D66" s="1100"/>
      <c r="E66" s="1100"/>
      <c r="F66" s="1100"/>
      <c r="G66" s="1100"/>
      <c r="H66" s="1100"/>
      <c r="I66" s="1100"/>
      <c r="J66" s="1100"/>
      <c r="K66" s="842"/>
      <c r="L66" s="1100"/>
      <c r="M66" s="845"/>
      <c r="N66" s="845"/>
      <c r="O66" s="845"/>
      <c r="P66" s="845"/>
    </row>
    <row r="67" spans="1:16">
      <c r="A67" s="1095"/>
      <c r="B67" s="1084"/>
      <c r="C67" s="1100" t="s">
        <v>2446</v>
      </c>
      <c r="D67" s="1100"/>
      <c r="E67" s="1100"/>
      <c r="F67" s="1101">
        <f>'Part I-Project Information'!F43</f>
        <v>69</v>
      </c>
      <c r="G67" s="1095"/>
      <c r="H67" s="1085" t="s">
        <v>384</v>
      </c>
      <c r="I67" s="1095"/>
      <c r="J67" s="1100"/>
      <c r="K67" s="1095"/>
      <c r="L67" s="1095"/>
      <c r="M67" s="1088">
        <f>'Part VI-Revenues &amp; Expenses'!$M$81</f>
        <v>0</v>
      </c>
      <c r="N67" s="1095"/>
      <c r="O67" s="1095"/>
      <c r="P67" s="1095"/>
    </row>
    <row r="68" spans="1:16">
      <c r="A68" s="1084"/>
      <c r="B68" s="1084"/>
      <c r="C68" s="846" t="s">
        <v>365</v>
      </c>
      <c r="D68" s="1100"/>
      <c r="E68" s="1100"/>
      <c r="F68" s="1088">
        <f>'Part VI-Revenues &amp; Expenses'!$M$80</f>
        <v>0</v>
      </c>
      <c r="G68" s="1100"/>
      <c r="H68" s="846" t="s">
        <v>385</v>
      </c>
      <c r="I68" s="1100"/>
      <c r="J68" s="1100"/>
      <c r="K68" s="1100"/>
      <c r="L68" s="1100"/>
      <c r="M68" s="1088">
        <f>'Part VI-Revenues &amp; Expenses'!$M$82</f>
        <v>0</v>
      </c>
      <c r="N68" s="1100"/>
      <c r="O68" s="1100"/>
      <c r="P68" s="1100"/>
    </row>
    <row r="69" spans="1:16">
      <c r="A69" s="1100"/>
      <c r="B69" s="1084"/>
      <c r="C69" s="1085" t="s">
        <v>364</v>
      </c>
      <c r="D69" s="1100"/>
      <c r="E69" s="1100"/>
      <c r="F69" s="1088">
        <f>'Part VI-Revenues &amp; Expenses'!$M$77</f>
        <v>0</v>
      </c>
      <c r="G69" s="847" t="s">
        <v>3002</v>
      </c>
      <c r="H69" s="1100" t="s">
        <v>366</v>
      </c>
      <c r="I69" s="1100"/>
      <c r="J69" s="1100"/>
      <c r="K69" s="1100"/>
      <c r="L69" s="1100"/>
      <c r="M69" s="1028">
        <f>'Part I-Project Information'!M45</f>
        <v>0</v>
      </c>
      <c r="N69" s="1100"/>
      <c r="O69" s="1100"/>
      <c r="P69" s="1100"/>
    </row>
    <row r="70" spans="1:16">
      <c r="A70" s="1084"/>
      <c r="B70" s="1100"/>
      <c r="C70" s="1100"/>
      <c r="D70" s="1100"/>
      <c r="E70" s="1100"/>
      <c r="F70" s="1100"/>
      <c r="G70" s="1100"/>
      <c r="H70" s="1100"/>
      <c r="I70" s="1100"/>
      <c r="J70" s="1100"/>
      <c r="K70" s="1100"/>
      <c r="L70" s="1100"/>
      <c r="M70" s="1100"/>
      <c r="N70" s="1100"/>
      <c r="O70" s="1100"/>
      <c r="P70" s="1100"/>
    </row>
    <row r="71" spans="1:16">
      <c r="A71" s="1084"/>
      <c r="B71" s="1084" t="s">
        <v>2122</v>
      </c>
      <c r="C71" s="835" t="s">
        <v>2447</v>
      </c>
      <c r="D71" s="1100"/>
      <c r="E71" s="1100"/>
      <c r="F71" s="1087">
        <f>'Part I-Project Information'!F47</f>
        <v>0</v>
      </c>
      <c r="G71" s="1100"/>
      <c r="H71" s="1100"/>
      <c r="I71" s="1100"/>
      <c r="J71" s="1100"/>
      <c r="K71" s="1100"/>
      <c r="L71" s="1100"/>
      <c r="M71" s="845"/>
      <c r="N71" s="845"/>
      <c r="O71" s="845"/>
      <c r="P71" s="842"/>
    </row>
    <row r="72" spans="1:16">
      <c r="A72" s="1084"/>
      <c r="B72" s="1100"/>
      <c r="C72" s="1100"/>
      <c r="D72" s="1100"/>
      <c r="E72" s="1100"/>
      <c r="F72" s="1100"/>
      <c r="G72" s="1100"/>
      <c r="H72" s="1100"/>
      <c r="I72" s="1100"/>
      <c r="J72" s="842"/>
      <c r="K72" s="848"/>
      <c r="L72" s="842"/>
      <c r="M72" s="848"/>
      <c r="N72" s="848"/>
      <c r="O72" s="848"/>
      <c r="P72" s="848"/>
    </row>
    <row r="73" spans="1:16">
      <c r="A73" s="1084"/>
      <c r="B73" s="839" t="s">
        <v>799</v>
      </c>
      <c r="C73" s="835" t="s">
        <v>2426</v>
      </c>
      <c r="D73" s="1100"/>
      <c r="E73" s="1100"/>
      <c r="F73" s="1100"/>
      <c r="G73" s="1100"/>
      <c r="H73" s="1100"/>
      <c r="I73" s="1674" t="s">
        <v>1511</v>
      </c>
      <c r="J73" s="839" t="s">
        <v>2254</v>
      </c>
      <c r="K73" s="849" t="s">
        <v>2453</v>
      </c>
      <c r="L73" s="1100"/>
      <c r="M73" s="1100"/>
      <c r="N73" s="1100"/>
      <c r="O73" s="1100"/>
      <c r="P73" s="1087"/>
    </row>
    <row r="74" spans="1:16">
      <c r="A74" s="1084"/>
      <c r="B74" s="1092"/>
      <c r="C74" s="1095" t="s">
        <v>2427</v>
      </c>
      <c r="D74" s="1100"/>
      <c r="E74" s="1100"/>
      <c r="F74" s="1100"/>
      <c r="G74" s="1100"/>
      <c r="H74" s="1101">
        <f>SUM(H75:H76)</f>
        <v>69</v>
      </c>
      <c r="I74" s="1702"/>
      <c r="J74" s="1084"/>
      <c r="K74" s="1095" t="s">
        <v>3224</v>
      </c>
      <c r="L74" s="1100"/>
      <c r="M74" s="1100"/>
      <c r="N74" s="1100"/>
      <c r="O74" s="1100"/>
      <c r="P74" s="1101">
        <f>'Part VI-Revenues &amp; Expenses'!$M$96</f>
        <v>65565</v>
      </c>
    </row>
    <row r="75" spans="1:16">
      <c r="A75" s="1084"/>
      <c r="B75" s="1095"/>
      <c r="C75" s="1100"/>
      <c r="D75" s="850" t="s">
        <v>404</v>
      </c>
      <c r="E75" s="1100"/>
      <c r="F75" s="1100"/>
      <c r="G75" s="1100"/>
      <c r="H75" s="1101">
        <f>'Part VI-Revenues &amp; Expenses'!$M$57</f>
        <v>15</v>
      </c>
      <c r="I75" s="1101">
        <f>'Part VI-Revenues &amp; Expenses'!$M$65</f>
        <v>15</v>
      </c>
      <c r="J75" s="1100"/>
      <c r="K75" s="1095" t="s">
        <v>3225</v>
      </c>
      <c r="L75" s="1100"/>
      <c r="M75" s="1100"/>
      <c r="N75" s="1100"/>
      <c r="O75" s="1100"/>
      <c r="P75" s="1101">
        <f>'Part VI-Revenues &amp; Expenses'!$M$97</f>
        <v>0</v>
      </c>
    </row>
    <row r="76" spans="1:16">
      <c r="A76" s="1084"/>
      <c r="B76" s="1100"/>
      <c r="C76" s="1100"/>
      <c r="D76" s="850" t="s">
        <v>1949</v>
      </c>
      <c r="E76" s="850"/>
      <c r="F76" s="1100"/>
      <c r="G76" s="1100"/>
      <c r="H76" s="1101">
        <f>'Part VI-Revenues &amp; Expenses'!$M$56</f>
        <v>54</v>
      </c>
      <c r="I76" s="1101">
        <f>'Part VI-Revenues &amp; Expenses'!$M$64</f>
        <v>54</v>
      </c>
      <c r="J76" s="1100"/>
      <c r="K76" s="1095" t="s">
        <v>3226</v>
      </c>
      <c r="L76" s="1100"/>
      <c r="M76" s="1100"/>
      <c r="N76" s="1100"/>
      <c r="O76" s="1100"/>
      <c r="P76" s="1101">
        <f>+P74+P75</f>
        <v>65565</v>
      </c>
    </row>
    <row r="77" spans="1:16">
      <c r="A77" s="1084"/>
      <c r="B77" s="1100"/>
      <c r="C77" s="1095" t="s">
        <v>266</v>
      </c>
      <c r="D77" s="1100"/>
      <c r="E77" s="1100"/>
      <c r="F77" s="1100"/>
      <c r="G77" s="1100"/>
      <c r="H77" s="1101">
        <f>'Part VI-Revenues &amp; Expenses'!$M$59</f>
        <v>0</v>
      </c>
      <c r="I77" s="1100"/>
      <c r="J77" s="1084"/>
      <c r="K77" s="1095" t="s">
        <v>3227</v>
      </c>
      <c r="L77" s="1100"/>
      <c r="M77" s="1100"/>
      <c r="N77" s="1100"/>
      <c r="O77" s="1100"/>
      <c r="P77" s="1101">
        <f>'Part VI-Revenues &amp; Expenses'!$M$99</f>
        <v>0</v>
      </c>
    </row>
    <row r="78" spans="1:16">
      <c r="A78" s="1084"/>
      <c r="B78" s="1100"/>
      <c r="C78" s="1095" t="s">
        <v>2572</v>
      </c>
      <c r="D78" s="1100"/>
      <c r="E78" s="1100"/>
      <c r="F78" s="1100"/>
      <c r="G78" s="1100"/>
      <c r="H78" s="1101">
        <f>+H74+H77</f>
        <v>69</v>
      </c>
      <c r="I78" s="1100"/>
      <c r="J78" s="1084"/>
      <c r="K78" s="1095" t="s">
        <v>1513</v>
      </c>
      <c r="L78" s="1100"/>
      <c r="M78" s="1100"/>
      <c r="N78" s="1100"/>
      <c r="O78" s="1100"/>
      <c r="P78" s="1101">
        <f>+P76+P77</f>
        <v>65565</v>
      </c>
    </row>
    <row r="79" spans="1:16">
      <c r="A79" s="1084"/>
      <c r="B79" s="1100"/>
      <c r="C79" s="1095" t="s">
        <v>2573</v>
      </c>
      <c r="D79" s="1100"/>
      <c r="E79" s="1100"/>
      <c r="F79" s="1100"/>
      <c r="G79" s="1100"/>
      <c r="H79" s="1101">
        <f>'Part VI-Revenues &amp; Expenses'!$M$61</f>
        <v>0</v>
      </c>
      <c r="I79" s="1100"/>
      <c r="J79" s="1084"/>
      <c r="K79" s="1100"/>
      <c r="L79" s="1100"/>
      <c r="M79" s="1100"/>
      <c r="N79" s="1100"/>
      <c r="O79" s="1100"/>
      <c r="P79" s="1100"/>
    </row>
    <row r="80" spans="1:16">
      <c r="A80" s="1084"/>
      <c r="B80" s="1100"/>
      <c r="C80" s="1095" t="s">
        <v>1917</v>
      </c>
      <c r="D80" s="1100"/>
      <c r="E80" s="1100"/>
      <c r="F80" s="1100"/>
      <c r="G80" s="1100"/>
      <c r="H80" s="1101">
        <f>+H78+H79</f>
        <v>69</v>
      </c>
      <c r="I80" s="1100"/>
      <c r="J80" s="1100"/>
      <c r="K80" s="1100"/>
      <c r="L80" s="1100"/>
      <c r="M80" s="1100"/>
      <c r="N80" s="1100"/>
      <c r="O80" s="1100"/>
      <c r="P80" s="1100"/>
    </row>
    <row r="81" spans="1:16">
      <c r="A81" s="1084"/>
      <c r="B81" s="1100"/>
      <c r="C81" s="1100"/>
      <c r="D81" s="1100"/>
      <c r="E81" s="1100"/>
      <c r="F81" s="1100"/>
      <c r="G81" s="1100"/>
      <c r="H81" s="1100"/>
      <c r="I81" s="1087"/>
      <c r="J81" s="1100"/>
      <c r="K81" s="1100"/>
      <c r="L81" s="1087"/>
      <c r="M81" s="1087"/>
      <c r="N81" s="1100"/>
      <c r="O81" s="1100"/>
      <c r="P81" s="1097"/>
    </row>
    <row r="82" spans="1:16">
      <c r="A82" s="1084"/>
      <c r="B82" s="1084" t="s">
        <v>1857</v>
      </c>
      <c r="C82" s="835" t="s">
        <v>2448</v>
      </c>
      <c r="D82" s="850" t="s">
        <v>2133</v>
      </c>
      <c r="E82" s="1100"/>
      <c r="F82" s="1100"/>
      <c r="G82" s="1100"/>
      <c r="H82" s="1101">
        <f>'Part I-Project Information'!H58</f>
        <v>4</v>
      </c>
      <c r="I82" s="1100"/>
      <c r="J82" s="1100"/>
      <c r="K82" s="1095" t="s">
        <v>1192</v>
      </c>
      <c r="L82" s="1100"/>
      <c r="M82" s="1100"/>
      <c r="N82" s="1100"/>
      <c r="O82" s="1100"/>
      <c r="P82" s="1101">
        <f>'Part I-Project Information'!P58</f>
        <v>3300</v>
      </c>
    </row>
    <row r="83" spans="1:16">
      <c r="A83" s="1084"/>
      <c r="B83" s="1084"/>
      <c r="C83" s="1100"/>
      <c r="D83" s="1092" t="s">
        <v>2134</v>
      </c>
      <c r="E83" s="1100"/>
      <c r="F83" s="1100"/>
      <c r="G83" s="1100"/>
      <c r="H83" s="1101">
        <f>'Part I-Project Information'!H59</f>
        <v>0</v>
      </c>
      <c r="I83" s="1100"/>
      <c r="J83" s="1100"/>
      <c r="K83" s="1095" t="s">
        <v>265</v>
      </c>
      <c r="L83" s="1100"/>
      <c r="M83" s="1100"/>
      <c r="N83" s="1100"/>
      <c r="O83" s="1100"/>
      <c r="P83" s="1101">
        <f>+P78+P82</f>
        <v>68865</v>
      </c>
    </row>
    <row r="84" spans="1:16">
      <c r="A84" s="1084"/>
      <c r="B84" s="1084"/>
      <c r="C84" s="1100"/>
      <c r="D84" s="1092" t="s">
        <v>2135</v>
      </c>
      <c r="E84" s="1100"/>
      <c r="F84" s="1100"/>
      <c r="G84" s="1100"/>
      <c r="H84" s="1101">
        <f>+H82+H83</f>
        <v>4</v>
      </c>
      <c r="I84" s="1100"/>
      <c r="J84" s="1100"/>
      <c r="K84" s="1100"/>
      <c r="L84" s="1100"/>
      <c r="M84" s="1100"/>
      <c r="N84" s="1100"/>
      <c r="O84" s="1100"/>
      <c r="P84" s="1100"/>
    </row>
    <row r="85" spans="1:16">
      <c r="A85" s="1084"/>
      <c r="B85" s="1084"/>
      <c r="C85" s="1100"/>
      <c r="D85" s="1100"/>
      <c r="E85" s="1100"/>
      <c r="F85" s="1100"/>
      <c r="G85" s="1087"/>
      <c r="H85" s="1100"/>
      <c r="I85" s="1095"/>
      <c r="J85" s="1100"/>
      <c r="K85" s="1100"/>
      <c r="L85" s="1100"/>
      <c r="M85" s="1100"/>
      <c r="N85" s="1100"/>
      <c r="O85" s="1100"/>
      <c r="P85" s="1097"/>
    </row>
    <row r="86" spans="1:16">
      <c r="A86" s="1084"/>
      <c r="B86" s="1084" t="s">
        <v>1858</v>
      </c>
      <c r="C86" s="835" t="s">
        <v>3393</v>
      </c>
      <c r="D86" s="1100"/>
      <c r="E86" s="1100"/>
      <c r="F86" s="1100"/>
      <c r="G86" s="1100"/>
      <c r="H86" s="1101">
        <f>'Part I-Project Information'!H62</f>
        <v>73</v>
      </c>
      <c r="I86" s="1100"/>
      <c r="J86" s="1100"/>
      <c r="K86" s="1100" t="s">
        <v>3400</v>
      </c>
      <c r="L86" s="1100"/>
      <c r="M86" s="1100"/>
      <c r="N86" s="1100"/>
      <c r="O86" s="1100"/>
      <c r="P86" s="1100"/>
    </row>
    <row r="87" spans="1:16">
      <c r="A87" s="1084"/>
      <c r="B87" s="1084"/>
      <c r="C87" s="1095"/>
      <c r="D87" s="1100"/>
      <c r="E87" s="1100"/>
      <c r="F87" s="1100"/>
      <c r="G87" s="1087"/>
      <c r="H87" s="1100"/>
      <c r="I87" s="1095"/>
      <c r="J87" s="1095"/>
      <c r="K87" s="1100"/>
      <c r="L87" s="1100"/>
      <c r="M87" s="1100"/>
      <c r="N87" s="1100"/>
      <c r="O87" s="1100"/>
      <c r="P87" s="1097"/>
    </row>
    <row r="88" spans="1:16">
      <c r="A88" s="1084" t="s">
        <v>563</v>
      </c>
      <c r="B88" s="851" t="s">
        <v>1262</v>
      </c>
      <c r="C88" s="1100"/>
      <c r="D88" s="851"/>
      <c r="E88" s="851"/>
      <c r="F88" s="1100"/>
      <c r="G88" s="1087"/>
      <c r="H88" s="1100"/>
      <c r="I88" s="1100"/>
      <c r="J88" s="1100"/>
      <c r="K88" s="1100"/>
      <c r="L88" s="1100"/>
      <c r="M88" s="1100"/>
      <c r="N88" s="1100"/>
      <c r="O88" s="1100"/>
      <c r="P88" s="1097"/>
    </row>
    <row r="89" spans="1:16">
      <c r="A89" s="1084"/>
      <c r="B89" s="1100"/>
      <c r="C89" s="1096"/>
      <c r="D89" s="1096"/>
      <c r="E89" s="1096"/>
      <c r="F89" s="1100"/>
      <c r="G89" s="1087"/>
      <c r="H89" s="1100"/>
      <c r="I89" s="1100"/>
      <c r="J89" s="1100"/>
      <c r="K89" s="1100"/>
      <c r="L89" s="1100"/>
      <c r="M89" s="1100"/>
      <c r="N89" s="1100"/>
      <c r="O89" s="1100"/>
      <c r="P89" s="1097"/>
    </row>
    <row r="90" spans="1:16">
      <c r="A90" s="1084"/>
      <c r="B90" s="1084" t="s">
        <v>2119</v>
      </c>
      <c r="C90" s="834" t="s">
        <v>3649</v>
      </c>
      <c r="D90" s="1096"/>
      <c r="E90" s="1096"/>
      <c r="F90" s="1100"/>
      <c r="G90" s="1087"/>
      <c r="H90" s="1699" t="str">
        <f>'Part I-Project Information'!H66</f>
        <v>Family</v>
      </c>
      <c r="I90" s="1699"/>
      <c r="J90" s="1100"/>
      <c r="K90" s="1649" t="s">
        <v>1896</v>
      </c>
      <c r="L90" s="1649"/>
      <c r="M90" s="1100"/>
      <c r="N90" s="1649">
        <f>'Part I-Project Information'!N66</f>
        <v>0</v>
      </c>
      <c r="O90" s="1649"/>
      <c r="P90" s="1649"/>
    </row>
    <row r="91" spans="1:16">
      <c r="A91" s="1084"/>
      <c r="B91" s="1084"/>
      <c r="C91" s="1100"/>
      <c r="D91" s="1092"/>
      <c r="E91" s="1092"/>
      <c r="F91" s="1092"/>
      <c r="G91" s="1092"/>
      <c r="H91" s="1100"/>
      <c r="I91" s="1087"/>
      <c r="J91" s="1100"/>
      <c r="K91" s="1085"/>
      <c r="L91" s="1085"/>
      <c r="M91" s="1087"/>
      <c r="N91" s="1100"/>
      <c r="O91" s="1100"/>
      <c r="P91" s="1097"/>
    </row>
    <row r="92" spans="1:16">
      <c r="A92" s="1084"/>
      <c r="B92" s="1084" t="s">
        <v>2122</v>
      </c>
      <c r="C92" s="835" t="s">
        <v>1503</v>
      </c>
      <c r="D92" s="1100"/>
      <c r="E92" s="850"/>
      <c r="F92" s="1092" t="s">
        <v>850</v>
      </c>
      <c r="G92" s="1100"/>
      <c r="H92" s="1101">
        <f>'Part I-Project Information'!H68</f>
        <v>20</v>
      </c>
      <c r="I92" s="1100"/>
      <c r="J92" s="1100"/>
      <c r="K92" s="1649" t="s">
        <v>553</v>
      </c>
      <c r="L92" s="1649"/>
      <c r="M92" s="1100"/>
      <c r="N92" s="1100"/>
      <c r="O92" s="1100"/>
      <c r="P92" s="852">
        <f>IF('Part VI-Revenues &amp; Expenses'!$M$62=0,0,H92/'Part VI-Revenues &amp; Expenses'!$M$62)</f>
        <v>0.28985507246376813</v>
      </c>
    </row>
    <row r="93" spans="1:16">
      <c r="A93" s="1084"/>
      <c r="B93" s="1084"/>
      <c r="C93" s="1100"/>
      <c r="D93" s="1092" t="s">
        <v>3391</v>
      </c>
      <c r="E93" s="1092"/>
      <c r="F93" s="1092" t="s">
        <v>850</v>
      </c>
      <c r="G93" s="1100"/>
      <c r="H93" s="1101">
        <f>'Part I-Project Information'!H69</f>
        <v>20</v>
      </c>
      <c r="I93" s="1100"/>
      <c r="J93" s="1100"/>
      <c r="K93" s="1100" t="s">
        <v>3392</v>
      </c>
      <c r="L93" s="1100"/>
      <c r="M93" s="1100"/>
      <c r="N93" s="1100"/>
      <c r="O93" s="1100"/>
      <c r="P93" s="852">
        <f>IF(H92=0,0,H93/H92)</f>
        <v>1</v>
      </c>
    </row>
    <row r="94" spans="1:16">
      <c r="A94" s="1084"/>
      <c r="B94" s="1084"/>
      <c r="C94" s="1100"/>
      <c r="D94" s="1092"/>
      <c r="E94" s="1092"/>
      <c r="F94" s="1092"/>
      <c r="G94" s="1100"/>
      <c r="H94" s="1100"/>
      <c r="I94" s="1087"/>
      <c r="J94" s="1100"/>
      <c r="K94" s="1085"/>
      <c r="L94" s="1085"/>
      <c r="M94" s="1087"/>
      <c r="N94" s="1100"/>
      <c r="O94" s="1100"/>
      <c r="P94" s="1087"/>
    </row>
    <row r="95" spans="1:16">
      <c r="A95" s="1084"/>
      <c r="B95" s="1084" t="s">
        <v>799</v>
      </c>
      <c r="C95" s="835" t="s">
        <v>1973</v>
      </c>
      <c r="D95" s="850"/>
      <c r="E95" s="850"/>
      <c r="F95" s="1092" t="s">
        <v>850</v>
      </c>
      <c r="G95" s="1100"/>
      <c r="H95" s="1101">
        <f>'Part I-Project Information'!H71</f>
        <v>2</v>
      </c>
      <c r="I95" s="1100"/>
      <c r="J95" s="1100"/>
      <c r="K95" s="1649" t="s">
        <v>553</v>
      </c>
      <c r="L95" s="1649"/>
      <c r="M95" s="1100"/>
      <c r="N95" s="1100"/>
      <c r="O95" s="1100"/>
      <c r="P95" s="852">
        <f>IF('Part VI-Revenues &amp; Expenses'!$M$62=0,0,H95/'Part VI-Revenues &amp; Expenses'!$M$62)</f>
        <v>2.8985507246376812E-2</v>
      </c>
    </row>
    <row r="96" spans="1:16">
      <c r="A96" s="1084"/>
      <c r="B96" s="1084"/>
      <c r="C96" s="1100"/>
      <c r="D96" s="1092"/>
      <c r="E96" s="1092"/>
      <c r="F96" s="1092"/>
      <c r="G96" s="1092"/>
      <c r="H96" s="1100"/>
      <c r="I96" s="1087"/>
      <c r="J96" s="1087"/>
      <c r="K96" s="1087"/>
      <c r="L96" s="1087"/>
      <c r="M96" s="1087"/>
      <c r="N96" s="1100"/>
      <c r="O96" s="1100"/>
      <c r="P96" s="1097"/>
    </row>
    <row r="97" spans="1:16">
      <c r="A97" s="849" t="s">
        <v>823</v>
      </c>
      <c r="B97" s="1096" t="s">
        <v>2535</v>
      </c>
      <c r="C97" s="1100"/>
      <c r="D97" s="1092"/>
      <c r="E97" s="1092"/>
      <c r="F97" s="1092"/>
      <c r="G97" s="1092"/>
      <c r="H97" s="1092"/>
      <c r="I97" s="1087"/>
      <c r="J97" s="1100"/>
      <c r="K97" s="1100"/>
      <c r="L97" s="1100"/>
      <c r="M97" s="1087"/>
      <c r="N97" s="1100"/>
      <c r="O97" s="1100"/>
      <c r="P97" s="1097"/>
    </row>
    <row r="98" spans="1:16">
      <c r="A98" s="1084"/>
      <c r="B98" s="1084"/>
      <c r="C98" s="1096"/>
      <c r="D98" s="1092"/>
      <c r="E98" s="1092"/>
      <c r="F98" s="1092"/>
      <c r="G98" s="1100"/>
      <c r="H98" s="1100"/>
      <c r="I98" s="1100"/>
      <c r="J98" s="1100"/>
      <c r="K98" s="1100"/>
      <c r="L98" s="1087"/>
      <c r="M98" s="1087"/>
      <c r="N98" s="1100"/>
      <c r="O98" s="1100"/>
      <c r="P98" s="1097"/>
    </row>
    <row r="99" spans="1:16">
      <c r="A99" s="1084"/>
      <c r="B99" s="1084" t="s">
        <v>2119</v>
      </c>
      <c r="C99" s="834" t="s">
        <v>2534</v>
      </c>
      <c r="D99" s="1092"/>
      <c r="E99" s="1092"/>
      <c r="F99" s="1092"/>
      <c r="G99" s="1100"/>
      <c r="H99" s="1699" t="s">
        <v>924</v>
      </c>
      <c r="I99" s="1699"/>
      <c r="J99" s="1699"/>
      <c r="K99" s="1100"/>
      <c r="L99" s="1100"/>
      <c r="M99" s="1087"/>
      <c r="N99" s="1100"/>
      <c r="O99" s="1100"/>
      <c r="P99" s="1097"/>
    </row>
    <row r="100" spans="1:16">
      <c r="A100" s="1084"/>
      <c r="B100" s="1084"/>
      <c r="C100" s="1100"/>
      <c r="D100" s="1092"/>
      <c r="E100" s="1092"/>
      <c r="F100" s="1092"/>
      <c r="G100" s="1092"/>
      <c r="H100" s="1100"/>
      <c r="I100" s="1087"/>
      <c r="J100" s="1087"/>
      <c r="K100" s="1087"/>
      <c r="L100" s="1087"/>
      <c r="M100" s="1087"/>
      <c r="N100" s="1100"/>
      <c r="O100" s="1100"/>
      <c r="P100" s="1097"/>
    </row>
    <row r="101" spans="1:16">
      <c r="A101" s="1100"/>
      <c r="B101" s="1084" t="s">
        <v>2122</v>
      </c>
      <c r="C101" s="835" t="s">
        <v>1640</v>
      </c>
      <c r="D101" s="1100"/>
      <c r="E101" s="1100"/>
      <c r="F101" s="1100"/>
      <c r="G101" s="1100"/>
      <c r="H101" s="1100"/>
      <c r="I101" s="1100"/>
      <c r="J101" s="1100"/>
      <c r="K101" s="1085" t="s">
        <v>923</v>
      </c>
      <c r="L101" s="1100"/>
      <c r="M101" s="1100"/>
      <c r="N101" s="853"/>
      <c r="O101" s="1100"/>
      <c r="P101" s="1087">
        <f>'Part I-Project Information'!P77</f>
        <v>0</v>
      </c>
    </row>
    <row r="102" spans="1:16">
      <c r="A102" s="1084"/>
      <c r="B102" s="1084"/>
      <c r="C102" s="835"/>
      <c r="D102" s="1092"/>
      <c r="E102" s="1092"/>
      <c r="F102" s="1092"/>
      <c r="G102" s="1092"/>
      <c r="H102" s="1100"/>
      <c r="I102" s="1087"/>
      <c r="J102" s="1087"/>
      <c r="K102" s="1087"/>
      <c r="L102" s="1087"/>
      <c r="M102" s="1087"/>
      <c r="N102" s="1100"/>
      <c r="O102" s="1100"/>
      <c r="P102" s="1097"/>
    </row>
    <row r="103" spans="1:16">
      <c r="A103" s="849" t="s">
        <v>308</v>
      </c>
      <c r="B103" s="1096" t="s">
        <v>2180</v>
      </c>
      <c r="C103" s="1100"/>
      <c r="D103" s="1092"/>
      <c r="E103" s="1100"/>
      <c r="F103" s="1100"/>
      <c r="G103" s="1100"/>
      <c r="H103" s="1100"/>
      <c r="I103" s="1100"/>
      <c r="J103" s="1100"/>
      <c r="K103" s="1100"/>
      <c r="L103" s="1100"/>
      <c r="M103" s="1100"/>
      <c r="N103" s="1100"/>
      <c r="O103" s="1100"/>
      <c r="P103" s="1100"/>
    </row>
    <row r="104" spans="1:16">
      <c r="A104" s="1084"/>
      <c r="B104" s="1084"/>
      <c r="C104" s="1100"/>
      <c r="D104" s="1092"/>
      <c r="E104" s="1100"/>
      <c r="F104" s="1100"/>
      <c r="G104" s="1100"/>
      <c r="H104" s="1100"/>
      <c r="I104" s="1100"/>
      <c r="J104" s="1100"/>
      <c r="K104" s="1100"/>
      <c r="L104" s="1100"/>
      <c r="M104" s="1100"/>
      <c r="N104" s="1100"/>
      <c r="O104" s="1100"/>
      <c r="P104" s="1097"/>
    </row>
    <row r="105" spans="1:16">
      <c r="A105" s="849"/>
      <c r="B105" s="1084" t="s">
        <v>2119</v>
      </c>
      <c r="C105" s="835" t="s">
        <v>2951</v>
      </c>
      <c r="D105" s="1100"/>
      <c r="E105" s="1100"/>
      <c r="F105" s="850" t="s">
        <v>2784</v>
      </c>
      <c r="G105" s="1100"/>
      <c r="H105" s="1087" t="str">
        <f>'Part I-Project Information'!H81</f>
        <v>Yes</v>
      </c>
      <c r="I105" s="1100"/>
      <c r="J105" s="1100"/>
      <c r="K105" s="1100"/>
      <c r="L105" s="1100"/>
      <c r="M105" s="1100"/>
      <c r="N105" s="1100"/>
      <c r="O105" s="1100"/>
      <c r="P105" s="1100"/>
    </row>
    <row r="106" spans="1:16">
      <c r="A106" s="1084"/>
      <c r="B106" s="1084"/>
      <c r="C106" s="1096"/>
      <c r="D106" s="1100"/>
      <c r="E106" s="1100"/>
      <c r="F106" s="1092"/>
      <c r="G106" s="1100"/>
      <c r="H106" s="1092"/>
      <c r="I106" s="1100"/>
      <c r="J106" s="1087"/>
      <c r="K106" s="1087"/>
      <c r="L106" s="1087"/>
      <c r="M106" s="1087"/>
      <c r="N106" s="1087"/>
      <c r="O106" s="1100"/>
      <c r="P106" s="1097"/>
    </row>
    <row r="107" spans="1:16">
      <c r="A107" s="849"/>
      <c r="B107" s="1084" t="s">
        <v>2122</v>
      </c>
      <c r="C107" s="835" t="s">
        <v>2952</v>
      </c>
      <c r="D107" s="1100"/>
      <c r="E107" s="1100"/>
      <c r="F107" s="1085" t="s">
        <v>2883</v>
      </c>
      <c r="G107" s="1100"/>
      <c r="H107" s="1087" t="str">
        <f>'Part I-Project Information'!H83</f>
        <v>No</v>
      </c>
      <c r="I107" s="854" t="s">
        <v>2953</v>
      </c>
      <c r="J107" s="1087"/>
      <c r="K107" s="1087"/>
      <c r="L107" s="1087"/>
      <c r="M107" s="1087"/>
      <c r="N107" s="1087"/>
      <c r="O107" s="1087"/>
      <c r="P107" s="1100"/>
    </row>
    <row r="108" spans="1:16">
      <c r="A108" s="1084"/>
      <c r="B108" s="1084"/>
      <c r="C108" s="835"/>
      <c r="D108" s="1092"/>
      <c r="E108" s="1092"/>
      <c r="F108" s="1092"/>
      <c r="G108" s="1092"/>
      <c r="H108" s="1100"/>
      <c r="I108" s="1087"/>
      <c r="J108" s="1087"/>
      <c r="K108" s="1087"/>
      <c r="L108" s="1087"/>
      <c r="M108" s="1087"/>
      <c r="N108" s="1100"/>
      <c r="O108" s="1100"/>
      <c r="P108" s="1097"/>
    </row>
    <row r="109" spans="1:16">
      <c r="A109" s="849" t="s">
        <v>445</v>
      </c>
      <c r="B109" s="1096" t="s">
        <v>3237</v>
      </c>
      <c r="C109" s="1100"/>
      <c r="D109" s="1092"/>
      <c r="E109" s="1100"/>
      <c r="F109" s="1100"/>
      <c r="G109" s="1100"/>
      <c r="H109" s="1649" t="str">
        <f>'Part I-Project Information'!H85</f>
        <v>Flexible</v>
      </c>
      <c r="I109" s="1649"/>
      <c r="J109" s="1087"/>
      <c r="K109" s="1100"/>
      <c r="L109" s="1100"/>
      <c r="M109" s="1100"/>
      <c r="N109" s="1100"/>
      <c r="O109" s="1100"/>
      <c r="P109" s="1100"/>
    </row>
    <row r="110" spans="1:16">
      <c r="A110" s="1084"/>
      <c r="B110" s="1100"/>
      <c r="C110" s="1100"/>
      <c r="D110" s="1090"/>
      <c r="E110" s="1100"/>
      <c r="F110" s="1100"/>
      <c r="G110" s="1100"/>
      <c r="H110" s="1100"/>
      <c r="I110" s="1090"/>
      <c r="J110" s="1095"/>
      <c r="K110" s="1100"/>
      <c r="L110" s="1100"/>
      <c r="M110" s="1100"/>
      <c r="N110" s="1100"/>
      <c r="O110" s="1100"/>
      <c r="P110" s="1097"/>
    </row>
    <row r="111" spans="1:16">
      <c r="A111" s="849" t="s">
        <v>381</v>
      </c>
      <c r="B111" s="849" t="s">
        <v>1260</v>
      </c>
      <c r="C111" s="1100"/>
      <c r="D111" s="1100"/>
      <c r="E111" s="1100"/>
      <c r="F111" s="1100"/>
      <c r="G111" s="1100"/>
      <c r="H111" s="1100"/>
      <c r="I111" s="1090"/>
      <c r="J111" s="1095"/>
      <c r="K111" s="1100"/>
      <c r="L111" s="1100"/>
      <c r="M111" s="1100"/>
      <c r="N111" s="1100"/>
      <c r="O111" s="1100"/>
      <c r="P111" s="1097"/>
    </row>
    <row r="112" spans="1:16">
      <c r="A112" s="849"/>
      <c r="B112" s="1084"/>
      <c r="C112" s="849"/>
      <c r="D112" s="1100"/>
      <c r="E112" s="1100"/>
      <c r="F112" s="1100"/>
      <c r="G112" s="1100"/>
      <c r="H112" s="1100"/>
      <c r="I112" s="1090"/>
      <c r="J112" s="1095"/>
      <c r="K112" s="1100"/>
      <c r="L112" s="1100"/>
      <c r="M112" s="1100"/>
      <c r="N112" s="1100"/>
      <c r="O112" s="1100"/>
      <c r="P112" s="1100"/>
    </row>
    <row r="113" spans="1:16">
      <c r="A113" s="1084"/>
      <c r="B113" s="1084"/>
      <c r="C113" s="1095" t="s">
        <v>585</v>
      </c>
      <c r="D113" s="1100"/>
      <c r="E113" s="1649">
        <f>'Part I-Project Information'!E89</f>
        <v>0</v>
      </c>
      <c r="F113" s="1649"/>
      <c r="G113" s="1649"/>
      <c r="H113" s="1649"/>
      <c r="I113" s="1649"/>
      <c r="J113" s="1649"/>
      <c r="K113" s="1649"/>
      <c r="L113" s="1649"/>
      <c r="M113" s="1699" t="s">
        <v>586</v>
      </c>
      <c r="N113" s="1699"/>
      <c r="O113" s="1695">
        <f>'Part I-Project Information'!O89</f>
        <v>0</v>
      </c>
      <c r="P113" s="1695"/>
    </row>
    <row r="114" spans="1:16">
      <c r="A114" s="1100"/>
      <c r="B114" s="1100"/>
      <c r="C114" s="1085" t="s">
        <v>1083</v>
      </c>
      <c r="D114" s="838"/>
      <c r="E114" s="1649">
        <f>'Part I-Project Information'!E90</f>
        <v>0</v>
      </c>
      <c r="F114" s="1649"/>
      <c r="G114" s="1649"/>
      <c r="H114" s="1649"/>
      <c r="I114" s="1649"/>
      <c r="J114" s="1649"/>
      <c r="K114" s="1649"/>
      <c r="L114" s="1649"/>
      <c r="M114" s="1699" t="s">
        <v>862</v>
      </c>
      <c r="N114" s="1699"/>
      <c r="O114" s="1685">
        <f>'Part I-Project Information'!O90</f>
        <v>0</v>
      </c>
      <c r="P114" s="1685"/>
    </row>
    <row r="115" spans="1:16">
      <c r="A115" s="1100"/>
      <c r="B115" s="1100"/>
      <c r="C115" s="1085" t="s">
        <v>659</v>
      </c>
      <c r="D115" s="1100"/>
      <c r="E115" s="1649">
        <f>'Part I-Project Information'!E91</f>
        <v>0</v>
      </c>
      <c r="F115" s="1649"/>
      <c r="G115" s="1649"/>
      <c r="H115" s="1087" t="s">
        <v>1923</v>
      </c>
      <c r="I115" s="1087">
        <f>'Part I-Project Information'!I91</f>
        <v>0</v>
      </c>
      <c r="J115" s="1087" t="s">
        <v>2377</v>
      </c>
      <c r="K115" s="1693">
        <f>'Part I-Project Information'!K91</f>
        <v>0</v>
      </c>
      <c r="L115" s="1693"/>
      <c r="M115" s="1095"/>
      <c r="N115" s="1095"/>
      <c r="O115" s="1095"/>
      <c r="P115" s="1095"/>
    </row>
    <row r="116" spans="1:16">
      <c r="A116" s="1100"/>
      <c r="B116" s="1100"/>
      <c r="C116" s="1100" t="s">
        <v>2336</v>
      </c>
      <c r="D116" s="1100"/>
      <c r="E116" s="1649">
        <f>'Part I-Project Information'!E92</f>
        <v>0</v>
      </c>
      <c r="F116" s="1649"/>
      <c r="G116" s="1649"/>
      <c r="H116" s="1087" t="s">
        <v>2116</v>
      </c>
      <c r="I116" s="1649">
        <f>'Part I-Project Information'!I92</f>
        <v>0</v>
      </c>
      <c r="J116" s="1662"/>
      <c r="K116" s="1662"/>
      <c r="L116" s="1087" t="s">
        <v>2120</v>
      </c>
      <c r="M116" s="1649">
        <f>'Part I-Project Information'!M92</f>
        <v>0</v>
      </c>
      <c r="N116" s="1662"/>
      <c r="O116" s="1662"/>
      <c r="P116" s="1662"/>
    </row>
    <row r="117" spans="1:16">
      <c r="A117" s="1100"/>
      <c r="B117" s="1100"/>
      <c r="C117" s="1085" t="s">
        <v>2335</v>
      </c>
      <c r="D117" s="1100"/>
      <c r="E117" s="1683">
        <f>'Part I-Project Information'!E93</f>
        <v>0</v>
      </c>
      <c r="F117" s="1683"/>
      <c r="G117" s="1683"/>
      <c r="H117" s="1087" t="s">
        <v>1926</v>
      </c>
      <c r="I117" s="1683">
        <f>'Part I-Project Information'!I93</f>
        <v>0</v>
      </c>
      <c r="J117" s="1683"/>
      <c r="K117" s="1087" t="s">
        <v>1927</v>
      </c>
      <c r="L117" s="1683">
        <f>'Part I-Project Information'!L93</f>
        <v>0</v>
      </c>
      <c r="M117" s="1683"/>
      <c r="N117" s="1087" t="s">
        <v>2115</v>
      </c>
      <c r="O117" s="1683">
        <f>'Part I-Project Information'!O93</f>
        <v>0</v>
      </c>
      <c r="P117" s="1683"/>
    </row>
    <row r="118" spans="1:16">
      <c r="A118" s="1084"/>
      <c r="B118" s="1084"/>
      <c r="C118" s="1100"/>
      <c r="D118" s="1100"/>
      <c r="E118" s="1100"/>
      <c r="F118" s="1100"/>
      <c r="G118" s="1090"/>
      <c r="H118" s="1087"/>
      <c r="I118" s="1087"/>
      <c r="J118" s="1100"/>
      <c r="K118" s="1100"/>
      <c r="L118" s="1100"/>
      <c r="M118" s="1097"/>
      <c r="N118" s="1100"/>
      <c r="O118" s="1100"/>
      <c r="P118" s="1100"/>
    </row>
    <row r="119" spans="1:16">
      <c r="A119" s="849" t="s">
        <v>382</v>
      </c>
      <c r="B119" s="1096" t="s">
        <v>1782</v>
      </c>
      <c r="C119" s="1100"/>
      <c r="D119" s="1090"/>
      <c r="E119" s="1090"/>
      <c r="F119" s="1087"/>
      <c r="G119" s="1087"/>
      <c r="H119" s="1087"/>
      <c r="I119" s="1087"/>
      <c r="J119" s="1090"/>
      <c r="K119" s="1087"/>
      <c r="L119" s="1087"/>
      <c r="M119" s="1100"/>
      <c r="N119" s="1100"/>
      <c r="O119" s="1100"/>
      <c r="P119" s="1097"/>
    </row>
    <row r="120" spans="1:16">
      <c r="A120" s="849"/>
      <c r="B120" s="1096"/>
      <c r="C120" s="1100"/>
      <c r="D120" s="1090"/>
      <c r="E120" s="1090"/>
      <c r="F120" s="1087"/>
      <c r="G120" s="1087"/>
      <c r="H120" s="1087"/>
      <c r="I120" s="1087"/>
      <c r="J120" s="1090"/>
      <c r="K120" s="1087"/>
      <c r="L120" s="1087"/>
      <c r="M120" s="1100"/>
      <c r="N120" s="1100"/>
      <c r="O120" s="1100"/>
      <c r="P120" s="1097"/>
    </row>
    <row r="121" spans="1:16">
      <c r="A121" s="1100"/>
      <c r="B121" s="850" t="s">
        <v>2293</v>
      </c>
      <c r="C121" s="1100"/>
      <c r="D121" s="1093"/>
      <c r="E121" s="1093"/>
      <c r="F121" s="1093"/>
      <c r="G121" s="1093"/>
      <c r="H121" s="1093"/>
      <c r="I121" s="1093"/>
      <c r="J121" s="1093"/>
      <c r="K121" s="1093"/>
      <c r="L121" s="1093"/>
      <c r="M121" s="1093"/>
      <c r="N121" s="1093"/>
      <c r="O121" s="1093"/>
      <c r="P121" s="1093"/>
    </row>
    <row r="122" spans="1:16">
      <c r="A122" s="1084"/>
      <c r="B122" s="1084"/>
      <c r="C122" s="1102"/>
      <c r="D122" s="1102"/>
      <c r="E122" s="1102"/>
      <c r="F122" s="1102"/>
      <c r="G122" s="1102"/>
      <c r="H122" s="1102"/>
      <c r="I122" s="1102"/>
      <c r="J122" s="1102"/>
      <c r="K122" s="1102"/>
      <c r="L122" s="1102"/>
      <c r="M122" s="1102"/>
      <c r="N122" s="1102"/>
      <c r="O122" s="1102"/>
      <c r="P122" s="1102"/>
    </row>
    <row r="123" spans="1:16">
      <c r="A123" s="1084"/>
      <c r="B123" s="1084" t="s">
        <v>2119</v>
      </c>
      <c r="C123" s="1096" t="s">
        <v>1504</v>
      </c>
      <c r="D123" s="1092"/>
      <c r="E123" s="1092"/>
      <c r="F123" s="1087"/>
      <c r="G123" s="1087"/>
      <c r="H123" s="1101">
        <f>'Part I-Project Information'!H99</f>
        <v>1</v>
      </c>
      <c r="I123" s="1100"/>
      <c r="J123" s="1100"/>
      <c r="K123" s="1100"/>
      <c r="L123" s="1100"/>
      <c r="M123" s="1100"/>
      <c r="N123" s="1100"/>
      <c r="O123" s="1100"/>
      <c r="P123" s="1100"/>
    </row>
    <row r="124" spans="1:16">
      <c r="A124" s="1084"/>
      <c r="B124" s="1084"/>
      <c r="C124" s="1102"/>
      <c r="D124" s="1102"/>
      <c r="E124" s="1102"/>
      <c r="F124" s="1102"/>
      <c r="G124" s="1102"/>
      <c r="H124" s="1102"/>
      <c r="I124" s="1100"/>
      <c r="J124" s="1102"/>
      <c r="K124" s="1100"/>
      <c r="L124" s="1100"/>
      <c r="M124" s="1102"/>
      <c r="N124" s="1102"/>
      <c r="O124" s="1102"/>
      <c r="P124" s="1100"/>
    </row>
    <row r="125" spans="1:16">
      <c r="A125" s="1084"/>
      <c r="B125" s="1084" t="s">
        <v>2122</v>
      </c>
      <c r="C125" s="1096" t="s">
        <v>435</v>
      </c>
      <c r="D125" s="1092"/>
      <c r="E125" s="1092"/>
      <c r="F125" s="1087"/>
      <c r="G125" s="1087"/>
      <c r="H125" s="1101">
        <f>'Part I-Project Information'!H101</f>
        <v>720461</v>
      </c>
      <c r="I125" s="1100"/>
      <c r="J125" s="1090"/>
      <c r="K125" s="1085"/>
      <c r="L125" s="1100"/>
      <c r="M125" s="1100"/>
      <c r="N125" s="1100"/>
      <c r="O125" s="1100"/>
      <c r="P125" s="1100"/>
    </row>
    <row r="126" spans="1:16">
      <c r="A126" s="1084"/>
      <c r="B126" s="1084"/>
      <c r="C126" s="1102"/>
      <c r="D126" s="1102"/>
      <c r="E126" s="1102"/>
      <c r="F126" s="1102"/>
      <c r="G126" s="1102"/>
      <c r="H126" s="1102"/>
      <c r="I126" s="1102"/>
      <c r="J126" s="1102"/>
      <c r="K126" s="1102"/>
      <c r="L126" s="1100"/>
      <c r="M126" s="1102"/>
      <c r="N126" s="1102"/>
      <c r="O126" s="1102"/>
      <c r="P126" s="1102"/>
    </row>
    <row r="127" spans="1:16">
      <c r="A127" s="1100"/>
      <c r="B127" s="1084" t="s">
        <v>799</v>
      </c>
      <c r="C127" s="1096" t="s">
        <v>318</v>
      </c>
      <c r="D127" s="1092"/>
      <c r="E127" s="1092"/>
      <c r="F127" s="1087"/>
      <c r="G127" s="1087"/>
      <c r="H127" s="1087"/>
      <c r="I127" s="1087"/>
      <c r="J127" s="1090"/>
      <c r="K127" s="1087"/>
      <c r="L127" s="1087"/>
      <c r="M127" s="1100"/>
      <c r="N127" s="1100"/>
      <c r="O127" s="1100"/>
      <c r="P127" s="1100"/>
    </row>
    <row r="128" spans="1:16">
      <c r="A128" s="1100"/>
      <c r="B128" s="1084"/>
      <c r="C128" s="1092" t="s">
        <v>2275</v>
      </c>
      <c r="D128" s="1092"/>
      <c r="E128" s="1100"/>
      <c r="F128" s="1092" t="s">
        <v>1202</v>
      </c>
      <c r="G128" s="1087"/>
      <c r="H128" s="1087"/>
      <c r="I128" s="1087"/>
      <c r="J128" s="1092" t="s">
        <v>2275</v>
      </c>
      <c r="K128" s="1092"/>
      <c r="L128" s="1100"/>
      <c r="M128" s="1092" t="s">
        <v>1202</v>
      </c>
      <c r="N128" s="1087"/>
      <c r="O128" s="1087"/>
      <c r="P128" s="1087"/>
    </row>
    <row r="129" spans="1:16" ht="13.5">
      <c r="A129" s="1084"/>
      <c r="B129" s="1084"/>
      <c r="C129" s="1700" t="str">
        <f>'Part I-Project Information'!C105</f>
        <v>1 Decatur Housing Authority</v>
      </c>
      <c r="D129" s="1700"/>
      <c r="E129" s="1700"/>
      <c r="F129" s="1700" t="str">
        <f>'Part I-Project Information'!F105</f>
        <v>Trinity Walk Phase I</v>
      </c>
      <c r="G129" s="1700"/>
      <c r="H129" s="1700"/>
      <c r="I129" s="1700"/>
      <c r="J129" s="1700">
        <f>'Part I-Project Information'!J105</f>
        <v>6</v>
      </c>
      <c r="K129" s="1700"/>
      <c r="L129" s="1700"/>
      <c r="M129" s="1700">
        <f>'Part I-Project Information'!M105</f>
        <v>0</v>
      </c>
      <c r="N129" s="1700"/>
      <c r="O129" s="1700"/>
      <c r="P129" s="1700"/>
    </row>
    <row r="130" spans="1:16" ht="13.5">
      <c r="A130" s="1084"/>
      <c r="B130" s="1084"/>
      <c r="C130" s="1700">
        <f>'Part I-Project Information'!C106</f>
        <v>2</v>
      </c>
      <c r="D130" s="1700"/>
      <c r="E130" s="1700"/>
      <c r="F130" s="1700">
        <f>'Part I-Project Information'!F106</f>
        <v>0</v>
      </c>
      <c r="G130" s="1700"/>
      <c r="H130" s="1700"/>
      <c r="I130" s="1700"/>
      <c r="J130" s="1700">
        <f>'Part I-Project Information'!J106</f>
        <v>7</v>
      </c>
      <c r="K130" s="1700"/>
      <c r="L130" s="1700"/>
      <c r="M130" s="1700">
        <f>'Part I-Project Information'!M106</f>
        <v>0</v>
      </c>
      <c r="N130" s="1700"/>
      <c r="O130" s="1700"/>
      <c r="P130" s="1700"/>
    </row>
    <row r="131" spans="1:16" ht="13.5">
      <c r="A131" s="1084"/>
      <c r="B131" s="1084"/>
      <c r="C131" s="1700">
        <f>'Part I-Project Information'!C107</f>
        <v>3</v>
      </c>
      <c r="D131" s="1700"/>
      <c r="E131" s="1700"/>
      <c r="F131" s="1700">
        <f>'Part I-Project Information'!F107</f>
        <v>0</v>
      </c>
      <c r="G131" s="1700"/>
      <c r="H131" s="1700"/>
      <c r="I131" s="1700"/>
      <c r="J131" s="1700">
        <f>'Part I-Project Information'!J107</f>
        <v>8</v>
      </c>
      <c r="K131" s="1700"/>
      <c r="L131" s="1700"/>
      <c r="M131" s="1700">
        <f>'Part I-Project Information'!M107</f>
        <v>0</v>
      </c>
      <c r="N131" s="1700"/>
      <c r="O131" s="1700"/>
      <c r="P131" s="1700"/>
    </row>
    <row r="132" spans="1:16" ht="13.5">
      <c r="A132" s="1084"/>
      <c r="B132" s="1084"/>
      <c r="C132" s="1700">
        <f>'Part I-Project Information'!C108</f>
        <v>4</v>
      </c>
      <c r="D132" s="1700"/>
      <c r="E132" s="1700"/>
      <c r="F132" s="1700">
        <f>'Part I-Project Information'!F108</f>
        <v>0</v>
      </c>
      <c r="G132" s="1700"/>
      <c r="H132" s="1700"/>
      <c r="I132" s="1700"/>
      <c r="J132" s="1700">
        <f>'Part I-Project Information'!J108</f>
        <v>9</v>
      </c>
      <c r="K132" s="1700"/>
      <c r="L132" s="1700"/>
      <c r="M132" s="1700">
        <f>'Part I-Project Information'!M108</f>
        <v>0</v>
      </c>
      <c r="N132" s="1700"/>
      <c r="O132" s="1700"/>
      <c r="P132" s="1700"/>
    </row>
    <row r="133" spans="1:16" ht="13.5">
      <c r="A133" s="1084"/>
      <c r="B133" s="1084"/>
      <c r="C133" s="1700">
        <f>'Part I-Project Information'!C109</f>
        <v>5</v>
      </c>
      <c r="D133" s="1700"/>
      <c r="E133" s="1700"/>
      <c r="F133" s="1700">
        <f>'Part I-Project Information'!F109</f>
        <v>0</v>
      </c>
      <c r="G133" s="1700"/>
      <c r="H133" s="1700"/>
      <c r="I133" s="1700"/>
      <c r="J133" s="1700">
        <f>'Part I-Project Information'!J109</f>
        <v>10</v>
      </c>
      <c r="K133" s="1700"/>
      <c r="L133" s="1700"/>
      <c r="M133" s="1700">
        <f>'Part I-Project Information'!M109</f>
        <v>0</v>
      </c>
      <c r="N133" s="1700"/>
      <c r="O133" s="1700"/>
      <c r="P133" s="1700"/>
    </row>
    <row r="134" spans="1:16">
      <c r="A134" s="1084"/>
      <c r="B134" s="1084"/>
      <c r="C134" s="1102"/>
      <c r="D134" s="1102"/>
      <c r="E134" s="1102"/>
      <c r="F134" s="1102"/>
      <c r="G134" s="1102"/>
      <c r="H134" s="1102"/>
      <c r="I134" s="1102"/>
      <c r="J134" s="1102"/>
      <c r="K134" s="1102"/>
      <c r="L134" s="1102"/>
      <c r="M134" s="1102"/>
      <c r="N134" s="1102"/>
      <c r="O134" s="1102"/>
      <c r="P134" s="1102"/>
    </row>
    <row r="135" spans="1:16">
      <c r="A135" s="1084"/>
      <c r="B135" s="1084" t="s">
        <v>2254</v>
      </c>
      <c r="C135" s="1701" t="s">
        <v>1977</v>
      </c>
      <c r="D135" s="1701"/>
      <c r="E135" s="1701"/>
      <c r="F135" s="1701"/>
      <c r="G135" s="1701"/>
      <c r="H135" s="1701"/>
      <c r="I135" s="1701"/>
      <c r="J135" s="1701"/>
      <c r="K135" s="1701"/>
      <c r="L135" s="1701"/>
      <c r="M135" s="1701"/>
      <c r="N135" s="1701"/>
      <c r="O135" s="1701"/>
      <c r="P135" s="1701"/>
    </row>
    <row r="136" spans="1:16">
      <c r="A136" s="1084"/>
      <c r="B136" s="1084"/>
      <c r="C136" s="1701"/>
      <c r="D136" s="1701"/>
      <c r="E136" s="1701"/>
      <c r="F136" s="1701"/>
      <c r="G136" s="1701"/>
      <c r="H136" s="1701"/>
      <c r="I136" s="1701"/>
      <c r="J136" s="1701"/>
      <c r="K136" s="1701"/>
      <c r="L136" s="1701"/>
      <c r="M136" s="1701"/>
      <c r="N136" s="1701"/>
      <c r="O136" s="1701"/>
      <c r="P136" s="1701"/>
    </row>
    <row r="137" spans="1:16">
      <c r="A137" s="1100"/>
      <c r="B137" s="1084"/>
      <c r="C137" s="1092" t="s">
        <v>2275</v>
      </c>
      <c r="D137" s="1092"/>
      <c r="E137" s="1100"/>
      <c r="F137" s="1092" t="s">
        <v>1202</v>
      </c>
      <c r="G137" s="1087"/>
      <c r="H137" s="1087"/>
      <c r="I137" s="1087"/>
      <c r="J137" s="1092" t="s">
        <v>2275</v>
      </c>
      <c r="K137" s="1092"/>
      <c r="L137" s="1100"/>
      <c r="M137" s="1092" t="s">
        <v>1202</v>
      </c>
      <c r="N137" s="1087"/>
      <c r="O137" s="1087"/>
      <c r="P137" s="1087"/>
    </row>
    <row r="138" spans="1:16" ht="13.5">
      <c r="A138" s="1084"/>
      <c r="B138" s="1084"/>
      <c r="C138" s="1700">
        <f>'Part I-Project Information'!C114</f>
        <v>1</v>
      </c>
      <c r="D138" s="1700"/>
      <c r="E138" s="1700"/>
      <c r="F138" s="1700">
        <f>'Part I-Project Information'!F114</f>
        <v>0</v>
      </c>
      <c r="G138" s="1700"/>
      <c r="H138" s="1700"/>
      <c r="I138" s="1700"/>
      <c r="J138" s="1700">
        <f>'Part I-Project Information'!J114</f>
        <v>6</v>
      </c>
      <c r="K138" s="1700"/>
      <c r="L138" s="1700"/>
      <c r="M138" s="1700">
        <f>'Part I-Project Information'!M114</f>
        <v>0</v>
      </c>
      <c r="N138" s="1700"/>
      <c r="O138" s="1700"/>
      <c r="P138" s="1700"/>
    </row>
    <row r="139" spans="1:16" ht="13.5">
      <c r="A139" s="1084"/>
      <c r="B139" s="1084"/>
      <c r="C139" s="1700">
        <f>'Part I-Project Information'!C115</f>
        <v>2</v>
      </c>
      <c r="D139" s="1700"/>
      <c r="E139" s="1700"/>
      <c r="F139" s="1700">
        <f>'Part I-Project Information'!F115</f>
        <v>0</v>
      </c>
      <c r="G139" s="1700"/>
      <c r="H139" s="1700"/>
      <c r="I139" s="1700"/>
      <c r="J139" s="1700">
        <f>'Part I-Project Information'!J115</f>
        <v>7</v>
      </c>
      <c r="K139" s="1700"/>
      <c r="L139" s="1700"/>
      <c r="M139" s="1700">
        <f>'Part I-Project Information'!M115</f>
        <v>0</v>
      </c>
      <c r="N139" s="1700"/>
      <c r="O139" s="1700"/>
      <c r="P139" s="1700"/>
    </row>
    <row r="140" spans="1:16" ht="13.5">
      <c r="A140" s="1084"/>
      <c r="B140" s="1084"/>
      <c r="C140" s="1700">
        <f>'Part I-Project Information'!C116</f>
        <v>3</v>
      </c>
      <c r="D140" s="1700"/>
      <c r="E140" s="1700"/>
      <c r="F140" s="1700">
        <f>'Part I-Project Information'!F116</f>
        <v>0</v>
      </c>
      <c r="G140" s="1700"/>
      <c r="H140" s="1700"/>
      <c r="I140" s="1700"/>
      <c r="J140" s="1700">
        <f>'Part I-Project Information'!J116</f>
        <v>8</v>
      </c>
      <c r="K140" s="1700"/>
      <c r="L140" s="1700"/>
      <c r="M140" s="1700">
        <f>'Part I-Project Information'!M116</f>
        <v>0</v>
      </c>
      <c r="N140" s="1700"/>
      <c r="O140" s="1700"/>
      <c r="P140" s="1700"/>
    </row>
    <row r="141" spans="1:16" ht="13.5">
      <c r="A141" s="1084"/>
      <c r="B141" s="1084"/>
      <c r="C141" s="1700">
        <f>'Part I-Project Information'!C117</f>
        <v>4</v>
      </c>
      <c r="D141" s="1700"/>
      <c r="E141" s="1700"/>
      <c r="F141" s="1700">
        <f>'Part I-Project Information'!F117</f>
        <v>0</v>
      </c>
      <c r="G141" s="1700"/>
      <c r="H141" s="1700"/>
      <c r="I141" s="1700"/>
      <c r="J141" s="1700">
        <f>'Part I-Project Information'!J117</f>
        <v>9</v>
      </c>
      <c r="K141" s="1700"/>
      <c r="L141" s="1700"/>
      <c r="M141" s="1700">
        <f>'Part I-Project Information'!M117</f>
        <v>0</v>
      </c>
      <c r="N141" s="1700"/>
      <c r="O141" s="1700"/>
      <c r="P141" s="1700"/>
    </row>
    <row r="142" spans="1:16" ht="13.5">
      <c r="A142" s="1084"/>
      <c r="B142" s="1084"/>
      <c r="C142" s="1700">
        <f>'Part I-Project Information'!C118</f>
        <v>5</v>
      </c>
      <c r="D142" s="1700"/>
      <c r="E142" s="1700"/>
      <c r="F142" s="1700">
        <f>'Part I-Project Information'!F118</f>
        <v>0</v>
      </c>
      <c r="G142" s="1700"/>
      <c r="H142" s="1700"/>
      <c r="I142" s="1700"/>
      <c r="J142" s="1700">
        <f>'Part I-Project Information'!J118</f>
        <v>10</v>
      </c>
      <c r="K142" s="1700"/>
      <c r="L142" s="1700"/>
      <c r="M142" s="1700">
        <f>'Part I-Project Information'!M118</f>
        <v>0</v>
      </c>
      <c r="N142" s="1700"/>
      <c r="O142" s="1700"/>
      <c r="P142" s="1700"/>
    </row>
    <row r="143" spans="1:16">
      <c r="A143" s="1084"/>
      <c r="B143" s="1084"/>
      <c r="C143" s="1092"/>
      <c r="D143" s="1092"/>
      <c r="E143" s="1092"/>
      <c r="F143" s="1087"/>
      <c r="G143" s="1087"/>
      <c r="H143" s="1087"/>
      <c r="I143" s="1087"/>
      <c r="J143" s="1090"/>
      <c r="K143" s="1087"/>
      <c r="L143" s="1087"/>
      <c r="M143" s="1100"/>
      <c r="N143" s="1100"/>
      <c r="O143" s="1100"/>
      <c r="P143" s="1097"/>
    </row>
    <row r="144" spans="1:16">
      <c r="A144" s="849" t="s">
        <v>383</v>
      </c>
      <c r="B144" s="851" t="s">
        <v>2584</v>
      </c>
      <c r="C144" s="1100"/>
      <c r="D144" s="851"/>
      <c r="E144" s="851"/>
      <c r="F144" s="851"/>
      <c r="G144" s="1100"/>
      <c r="H144" s="1087" t="str">
        <f>'Part I-Project Information'!H120</f>
        <v>Yes</v>
      </c>
      <c r="I144" s="1100"/>
      <c r="J144" s="1100"/>
      <c r="K144" s="1100"/>
      <c r="L144" s="1100"/>
      <c r="M144" s="1087"/>
      <c r="N144" s="1100"/>
      <c r="O144" s="1100"/>
      <c r="P144" s="1097"/>
    </row>
    <row r="145" spans="1:16">
      <c r="A145" s="849"/>
      <c r="B145" s="1084"/>
      <c r="C145" s="1096"/>
      <c r="D145" s="1096"/>
      <c r="E145" s="1096"/>
      <c r="F145" s="1096"/>
      <c r="G145" s="1087"/>
      <c r="H145" s="1100"/>
      <c r="I145" s="1100"/>
      <c r="J145" s="1100"/>
      <c r="K145" s="1100"/>
      <c r="L145" s="1100"/>
      <c r="M145" s="1087"/>
      <c r="N145" s="1100"/>
      <c r="O145" s="1100"/>
      <c r="P145" s="1100"/>
    </row>
    <row r="146" spans="1:16">
      <c r="A146" s="1084"/>
      <c r="B146" s="1084" t="s">
        <v>2119</v>
      </c>
      <c r="C146" s="834" t="s">
        <v>1832</v>
      </c>
      <c r="D146" s="1100"/>
      <c r="E146" s="1100"/>
      <c r="F146" s="1100"/>
      <c r="G146" s="1100"/>
      <c r="H146" s="1087">
        <f>'Part I-Project Information'!H122</f>
        <v>0</v>
      </c>
      <c r="I146" s="1100"/>
      <c r="J146" s="1100"/>
      <c r="K146" s="1100"/>
      <c r="L146" s="1100"/>
      <c r="M146" s="1087"/>
      <c r="N146" s="1100"/>
      <c r="O146" s="1100"/>
      <c r="P146" s="1097"/>
    </row>
    <row r="147" spans="1:16">
      <c r="A147" s="1084"/>
      <c r="B147" s="1084"/>
      <c r="C147" s="1092" t="s">
        <v>2586</v>
      </c>
      <c r="D147" s="1092"/>
      <c r="E147" s="1092"/>
      <c r="F147" s="1087"/>
      <c r="G147" s="1100"/>
      <c r="H147" s="1029">
        <f>'Part I-Project Information'!H123</f>
        <v>0</v>
      </c>
      <c r="I147" s="1100"/>
      <c r="J147" s="1100"/>
      <c r="K147" s="1100"/>
      <c r="L147" s="1100"/>
      <c r="M147" s="1100"/>
      <c r="N147" s="1100"/>
      <c r="O147" s="1100"/>
      <c r="P147" s="1097"/>
    </row>
    <row r="148" spans="1:16">
      <c r="A148" s="1084"/>
      <c r="B148" s="1084"/>
      <c r="C148" s="1099" t="s">
        <v>1831</v>
      </c>
      <c r="D148" s="1085"/>
      <c r="E148" s="1100"/>
      <c r="F148" s="1100"/>
      <c r="G148" s="1100"/>
      <c r="H148" s="1649">
        <f>'Part I-Project Information'!H124</f>
        <v>0</v>
      </c>
      <c r="I148" s="1649"/>
      <c r="J148" s="1100"/>
      <c r="K148" s="1100"/>
      <c r="L148" s="1100"/>
      <c r="M148" s="1100"/>
      <c r="N148" s="1100"/>
      <c r="O148" s="1100"/>
      <c r="P148" s="1097"/>
    </row>
    <row r="149" spans="1:16">
      <c r="A149" s="1084"/>
      <c r="B149" s="1084"/>
      <c r="C149" s="1092" t="s">
        <v>2587</v>
      </c>
      <c r="D149" s="1092"/>
      <c r="E149" s="1092"/>
      <c r="F149" s="1087"/>
      <c r="G149" s="1100"/>
      <c r="H149" s="1029">
        <f>'Part I-Project Information'!H125</f>
        <v>0</v>
      </c>
      <c r="I149" s="1100"/>
      <c r="J149" s="1100"/>
      <c r="K149" s="1095" t="s">
        <v>2395</v>
      </c>
      <c r="L149" s="1100"/>
      <c r="M149" s="1100"/>
      <c r="N149" s="1100"/>
      <c r="O149" s="1649" t="str">
        <f>'Part I-Project Information'!O125</f>
        <v>GA-</v>
      </c>
      <c r="P149" s="1649"/>
    </row>
    <row r="150" spans="1:16">
      <c r="A150" s="1084"/>
      <c r="B150" s="1084"/>
      <c r="C150" s="1092" t="s">
        <v>2585</v>
      </c>
      <c r="D150" s="1100"/>
      <c r="E150" s="1100"/>
      <c r="F150" s="1087"/>
      <c r="G150" s="1100"/>
      <c r="H150" s="1090">
        <f>'Part I-Project Information'!H126</f>
        <v>0</v>
      </c>
      <c r="I150" s="1100"/>
      <c r="J150" s="1100"/>
      <c r="K150" s="1095" t="s">
        <v>2396</v>
      </c>
      <c r="L150" s="1100"/>
      <c r="M150" s="1100"/>
      <c r="N150" s="1100"/>
      <c r="O150" s="1649" t="str">
        <f>'Part I-Project Information'!O126</f>
        <v>GA-</v>
      </c>
      <c r="P150" s="1649"/>
    </row>
    <row r="151" spans="1:16">
      <c r="A151" s="1084"/>
      <c r="B151" s="1084"/>
      <c r="C151" s="1092" t="s">
        <v>2307</v>
      </c>
      <c r="D151" s="1092"/>
      <c r="E151" s="1092"/>
      <c r="F151" s="1087"/>
      <c r="G151" s="1100"/>
      <c r="H151" s="1695">
        <f>'Part I-Project Information'!H127</f>
        <v>0</v>
      </c>
      <c r="I151" s="1695"/>
      <c r="J151" s="1100"/>
      <c r="K151" s="1100"/>
      <c r="L151" s="1100"/>
      <c r="M151" s="1100"/>
      <c r="N151" s="1100"/>
      <c r="O151" s="1100"/>
      <c r="P151" s="1097"/>
    </row>
    <row r="152" spans="1:16">
      <c r="A152" s="1084"/>
      <c r="B152" s="1084"/>
      <c r="C152" s="1092"/>
      <c r="D152" s="1092"/>
      <c r="E152" s="1092"/>
      <c r="F152" s="1087"/>
      <c r="G152" s="1100"/>
      <c r="H152" s="1100"/>
      <c r="I152" s="1100"/>
      <c r="J152" s="1100"/>
      <c r="K152" s="1100"/>
      <c r="L152" s="1100"/>
      <c r="M152" s="1100"/>
      <c r="N152" s="1100"/>
      <c r="O152" s="1100"/>
      <c r="P152" s="1097"/>
    </row>
    <row r="153" spans="1:16">
      <c r="A153" s="1084"/>
      <c r="B153" s="1084" t="s">
        <v>2122</v>
      </c>
      <c r="C153" s="1096" t="s">
        <v>2660</v>
      </c>
      <c r="D153" s="1092"/>
      <c r="E153" s="1092"/>
      <c r="F153" s="1087"/>
      <c r="G153" s="1100"/>
      <c r="H153" s="1087" t="str">
        <f>'Part I-Project Information'!H129</f>
        <v>Yes</v>
      </c>
      <c r="I153" s="1100"/>
      <c r="J153" s="1100"/>
      <c r="K153" s="1100"/>
      <c r="L153" s="1100"/>
      <c r="M153" s="1100"/>
      <c r="N153" s="1100"/>
      <c r="O153" s="1100"/>
      <c r="P153" s="1097"/>
    </row>
    <row r="154" spans="1:16">
      <c r="A154" s="1084"/>
      <c r="B154" s="1084"/>
      <c r="C154" s="1092"/>
      <c r="D154" s="1092"/>
      <c r="E154" s="1092"/>
      <c r="F154" s="1087"/>
      <c r="G154" s="1087"/>
      <c r="H154" s="1100"/>
      <c r="I154" s="1100"/>
      <c r="J154" s="1100"/>
      <c r="K154" s="1100"/>
      <c r="L154" s="1100"/>
      <c r="M154" s="1087"/>
      <c r="N154" s="1100"/>
      <c r="O154" s="1100"/>
      <c r="P154" s="1097"/>
    </row>
    <row r="155" spans="1:16">
      <c r="A155" s="1084"/>
      <c r="B155" s="1084" t="s">
        <v>799</v>
      </c>
      <c r="C155" s="1096" t="s">
        <v>2935</v>
      </c>
      <c r="D155" s="1092"/>
      <c r="E155" s="1092"/>
      <c r="F155" s="1087"/>
      <c r="G155" s="1087"/>
      <c r="H155" s="1100"/>
      <c r="I155" s="1100"/>
      <c r="J155" s="1100"/>
      <c r="K155" s="1100"/>
      <c r="L155" s="1100"/>
      <c r="M155" s="1100"/>
      <c r="N155" s="1100"/>
      <c r="O155" s="1100"/>
      <c r="P155" s="1097"/>
    </row>
    <row r="156" spans="1:16">
      <c r="A156" s="1084"/>
      <c r="B156" s="1084"/>
      <c r="C156" s="1092" t="s">
        <v>3650</v>
      </c>
      <c r="D156" s="1092"/>
      <c r="E156" s="1092"/>
      <c r="F156" s="1087"/>
      <c r="G156" s="1087"/>
      <c r="H156" s="1087" t="str">
        <f>'Part I-Project Information'!H132</f>
        <v>Yes</v>
      </c>
      <c r="I156" s="1100"/>
      <c r="J156" s="1100"/>
      <c r="K156" s="1092" t="s">
        <v>1641</v>
      </c>
      <c r="L156" s="1092"/>
      <c r="M156" s="1087"/>
      <c r="N156" s="1087"/>
      <c r="O156" s="1087" t="str">
        <f>'Part I-Project Information'!O132</f>
        <v>No</v>
      </c>
      <c r="P156" s="1097"/>
    </row>
    <row r="157" spans="1:16">
      <c r="A157" s="1084"/>
      <c r="B157" s="1084"/>
      <c r="C157" s="1092"/>
      <c r="D157" s="1092"/>
      <c r="E157" s="1092"/>
      <c r="F157" s="1087"/>
      <c r="G157" s="1087"/>
      <c r="H157" s="1087"/>
      <c r="I157" s="1087"/>
      <c r="J157" s="1090"/>
      <c r="K157" s="1087"/>
      <c r="L157" s="1087"/>
      <c r="M157" s="1100"/>
      <c r="N157" s="1100"/>
      <c r="O157" s="1100"/>
      <c r="P157" s="1097"/>
    </row>
    <row r="158" spans="1:16">
      <c r="A158" s="849" t="s">
        <v>1847</v>
      </c>
      <c r="B158" s="851" t="s">
        <v>1261</v>
      </c>
      <c r="C158" s="1100"/>
      <c r="D158" s="851"/>
      <c r="E158" s="851"/>
      <c r="F158" s="851"/>
      <c r="G158" s="1087"/>
      <c r="H158" s="1087"/>
      <c r="I158" s="1087"/>
      <c r="J158" s="1090"/>
      <c r="K158" s="1087"/>
      <c r="L158" s="1087"/>
      <c r="M158" s="1100"/>
      <c r="N158" s="1100"/>
      <c r="O158" s="1100"/>
      <c r="P158" s="1097"/>
    </row>
    <row r="159" spans="1:16">
      <c r="A159" s="849"/>
      <c r="B159" s="1084"/>
      <c r="C159" s="1096"/>
      <c r="D159" s="1096"/>
      <c r="E159" s="1096"/>
      <c r="F159" s="1096"/>
      <c r="G159" s="1087"/>
      <c r="H159" s="1087"/>
      <c r="I159" s="1087"/>
      <c r="J159" s="1090"/>
      <c r="K159" s="1087"/>
      <c r="L159" s="1087"/>
      <c r="M159" s="1100"/>
      <c r="N159" s="1100"/>
      <c r="O159" s="1100"/>
      <c r="P159" s="1100"/>
    </row>
    <row r="160" spans="1:16">
      <c r="A160" s="1084"/>
      <c r="B160" s="1084" t="s">
        <v>2119</v>
      </c>
      <c r="C160" s="843" t="s">
        <v>1950</v>
      </c>
      <c r="D160" s="1100"/>
      <c r="E160" s="1100"/>
      <c r="F160" s="1087"/>
      <c r="G160" s="1087"/>
      <c r="H160" s="1087"/>
      <c r="I160" s="1087"/>
      <c r="J160" s="1090"/>
      <c r="K160" s="1087"/>
      <c r="L160" s="1087"/>
      <c r="M160" s="1100"/>
      <c r="N160" s="1100"/>
      <c r="O160" s="1100"/>
      <c r="P160" s="1097"/>
    </row>
    <row r="161" spans="1:16">
      <c r="A161" s="1084"/>
      <c r="B161" s="1084"/>
      <c r="C161" s="850" t="s">
        <v>1633</v>
      </c>
      <c r="D161" s="1090"/>
      <c r="E161" s="1090"/>
      <c r="F161" s="1087"/>
      <c r="G161" s="1087"/>
      <c r="H161" s="1087"/>
      <c r="I161" s="1087"/>
      <c r="J161" s="1100"/>
      <c r="K161" s="1087" t="str">
        <f>'Part I-Project Information'!K137</f>
        <v>No</v>
      </c>
      <c r="L161" s="1100"/>
      <c r="M161" s="1100"/>
      <c r="N161" s="1100"/>
      <c r="O161" s="1100"/>
      <c r="P161" s="1097"/>
    </row>
    <row r="162" spans="1:16">
      <c r="A162" s="1084"/>
      <c r="B162" s="1084"/>
      <c r="C162" s="1100" t="s">
        <v>656</v>
      </c>
      <c r="D162" s="1100"/>
      <c r="E162" s="1100"/>
      <c r="F162" s="1100"/>
      <c r="G162" s="1100"/>
      <c r="H162" s="1100"/>
      <c r="I162" s="1100"/>
      <c r="J162" s="1100"/>
      <c r="K162" s="1101">
        <f>'Part I-Project Information'!K138</f>
        <v>0</v>
      </c>
      <c r="L162" s="1085" t="s">
        <v>1919</v>
      </c>
      <c r="M162" s="1100"/>
      <c r="N162" s="1100"/>
      <c r="O162" s="1100"/>
      <c r="P162" s="855">
        <f>IF('Part VI-Revenues &amp; Expenses'!$M$60=0,0,K162/'Part VI-Revenues &amp; Expenses'!$M$60)</f>
        <v>0</v>
      </c>
    </row>
    <row r="163" spans="1:16">
      <c r="A163" s="1084"/>
      <c r="B163" s="1084"/>
      <c r="C163" s="1100" t="s">
        <v>2308</v>
      </c>
      <c r="D163" s="1100"/>
      <c r="E163" s="1100"/>
      <c r="F163" s="1100"/>
      <c r="G163" s="1100"/>
      <c r="H163" s="1100"/>
      <c r="I163" s="1100"/>
      <c r="J163" s="1100"/>
      <c r="K163" s="1101">
        <f>'Part I-Project Information'!K139</f>
        <v>0</v>
      </c>
      <c r="L163" s="1085" t="s">
        <v>1919</v>
      </c>
      <c r="M163" s="1100"/>
      <c r="N163" s="1100"/>
      <c r="O163" s="1100"/>
      <c r="P163" s="855">
        <f>IF('Part VI-Revenues &amp; Expenses'!$M$60=0,0,K163/'Part VI-Revenues &amp; Expenses'!$M$60)</f>
        <v>0</v>
      </c>
    </row>
    <row r="164" spans="1:16">
      <c r="A164" s="1084"/>
      <c r="B164" s="1084"/>
      <c r="C164" s="1100" t="s">
        <v>1920</v>
      </c>
      <c r="D164" s="1100"/>
      <c r="E164" s="1649">
        <f>'Part I-Project Information'!E140</f>
        <v>0</v>
      </c>
      <c r="F164" s="1649"/>
      <c r="G164" s="1649"/>
      <c r="H164" s="1649"/>
      <c r="I164" s="1649"/>
      <c r="J164" s="1649"/>
      <c r="K164" s="1649"/>
      <c r="L164" s="1085" t="s">
        <v>1921</v>
      </c>
      <c r="M164" s="1649">
        <f>'Part I-Project Information'!M140</f>
        <v>0</v>
      </c>
      <c r="N164" s="1649"/>
      <c r="O164" s="1649"/>
      <c r="P164" s="1649"/>
    </row>
    <row r="165" spans="1:16">
      <c r="A165" s="1084"/>
      <c r="B165" s="1084"/>
      <c r="C165" s="1085" t="s">
        <v>1922</v>
      </c>
      <c r="D165" s="838"/>
      <c r="E165" s="1649">
        <f>'Part I-Project Information'!E141</f>
        <v>0</v>
      </c>
      <c r="F165" s="1649"/>
      <c r="G165" s="1649"/>
      <c r="H165" s="1649"/>
      <c r="I165" s="1649"/>
      <c r="J165" s="1649"/>
      <c r="K165" s="1649"/>
      <c r="L165" s="1085" t="s">
        <v>1924</v>
      </c>
      <c r="M165" s="1649">
        <f>'Part I-Project Information'!M141</f>
        <v>0</v>
      </c>
      <c r="N165" s="1649"/>
      <c r="O165" s="1649"/>
      <c r="P165" s="1649"/>
    </row>
    <row r="166" spans="1:16">
      <c r="A166" s="1084"/>
      <c r="B166" s="1084"/>
      <c r="C166" s="1085" t="s">
        <v>659</v>
      </c>
      <c r="D166" s="1100"/>
      <c r="E166" s="1649">
        <f>'Part I-Project Information'!E142</f>
        <v>0</v>
      </c>
      <c r="F166" s="1649"/>
      <c r="G166" s="1649"/>
      <c r="H166" s="1649"/>
      <c r="I166" s="1087" t="s">
        <v>2377</v>
      </c>
      <c r="J166" s="1693">
        <f>'Part I-Project Information'!J142</f>
        <v>0</v>
      </c>
      <c r="K166" s="1693"/>
      <c r="L166" s="1085" t="s">
        <v>1927</v>
      </c>
      <c r="M166" s="1683">
        <f>'Part I-Project Information'!M142</f>
        <v>0</v>
      </c>
      <c r="N166" s="1683"/>
      <c r="O166" s="1683"/>
      <c r="P166" s="1100"/>
    </row>
    <row r="167" spans="1:16">
      <c r="A167" s="1084"/>
      <c r="B167" s="1084"/>
      <c r="C167" s="1085" t="s">
        <v>1925</v>
      </c>
      <c r="D167" s="1100"/>
      <c r="E167" s="1683">
        <f>'Part I-Project Information'!E143</f>
        <v>0</v>
      </c>
      <c r="F167" s="1683"/>
      <c r="G167" s="1683"/>
      <c r="H167" s="1087" t="s">
        <v>1926</v>
      </c>
      <c r="I167" s="1683">
        <f>'Part I-Project Information'!I143</f>
        <v>0</v>
      </c>
      <c r="J167" s="1683"/>
      <c r="K167" s="1683"/>
      <c r="L167" s="1085" t="s">
        <v>2115</v>
      </c>
      <c r="M167" s="1683">
        <f>'Part I-Project Information'!M143</f>
        <v>0</v>
      </c>
      <c r="N167" s="1683"/>
      <c r="O167" s="1683"/>
      <c r="P167" s="1100"/>
    </row>
    <row r="168" spans="1:16">
      <c r="A168" s="1084"/>
      <c r="B168" s="1084"/>
      <c r="C168" s="1085"/>
      <c r="D168" s="1100"/>
      <c r="E168" s="1094"/>
      <c r="F168" s="1094"/>
      <c r="G168" s="1094"/>
      <c r="H168" s="1087"/>
      <c r="I168" s="1094"/>
      <c r="J168" s="1094"/>
      <c r="K168" s="1087"/>
      <c r="L168" s="1094"/>
      <c r="M168" s="1094"/>
      <c r="N168" s="1087"/>
      <c r="O168" s="1094"/>
      <c r="P168" s="1094"/>
    </row>
    <row r="169" spans="1:16">
      <c r="A169" s="1084"/>
      <c r="B169" s="1084" t="s">
        <v>2122</v>
      </c>
      <c r="C169" s="1096" t="s">
        <v>2943</v>
      </c>
      <c r="D169" s="1096"/>
      <c r="E169" s="1096"/>
      <c r="F169" s="1096"/>
      <c r="G169" s="1096"/>
      <c r="H169" s="1100"/>
      <c r="I169" s="1087" t="str">
        <f>'Part I-Project Information'!I145</f>
        <v>Yes</v>
      </c>
      <c r="J169" s="1694" t="s">
        <v>812</v>
      </c>
      <c r="K169" s="1694"/>
      <c r="L169" s="1029">
        <f>'Part I-Project Information'!L145</f>
        <v>2016</v>
      </c>
      <c r="M169" s="1638" t="s">
        <v>2477</v>
      </c>
      <c r="N169" s="1638"/>
      <c r="O169" s="1638"/>
      <c r="P169" s="1101">
        <f>'Part I-Project Information'!P145</f>
        <v>2</v>
      </c>
    </row>
    <row r="170" spans="1:16">
      <c r="A170" s="1084"/>
      <c r="B170" s="1084"/>
      <c r="C170" s="1096"/>
      <c r="D170" s="1096"/>
      <c r="E170" s="835"/>
      <c r="F170" s="1096"/>
      <c r="G170" s="1096"/>
      <c r="H170" s="1100"/>
      <c r="I170" s="1100"/>
      <c r="J170" s="1095"/>
      <c r="K170" s="1090"/>
      <c r="L170" s="1100"/>
      <c r="M170" s="1100"/>
      <c r="N170" s="1100"/>
      <c r="O170" s="1087"/>
      <c r="P170" s="1097"/>
    </row>
    <row r="171" spans="1:16">
      <c r="A171" s="1084"/>
      <c r="B171" s="1084"/>
      <c r="C171" s="1096" t="s">
        <v>2944</v>
      </c>
      <c r="D171" s="1096"/>
      <c r="E171" s="1096"/>
      <c r="F171" s="1096"/>
      <c r="G171" s="1096"/>
      <c r="H171" s="1100"/>
      <c r="I171" s="1087">
        <f>'Part I-Project Information'!I147</f>
        <v>0</v>
      </c>
      <c r="J171" s="1694" t="s">
        <v>812</v>
      </c>
      <c r="K171" s="1694"/>
      <c r="L171" s="1029">
        <f>'Part I-Project Information'!L147</f>
        <v>0</v>
      </c>
      <c r="M171" s="1638" t="s">
        <v>2477</v>
      </c>
      <c r="N171" s="1638"/>
      <c r="O171" s="1638"/>
      <c r="P171" s="1101">
        <f>'Part I-Project Information'!P147</f>
        <v>0</v>
      </c>
    </row>
    <row r="172" spans="1:16">
      <c r="A172" s="1084"/>
      <c r="B172" s="1084"/>
      <c r="C172" s="1096"/>
      <c r="D172" s="1096"/>
      <c r="E172" s="835"/>
      <c r="F172" s="1096"/>
      <c r="G172" s="1096"/>
      <c r="H172" s="1100"/>
      <c r="I172" s="1100"/>
      <c r="J172" s="1095"/>
      <c r="K172" s="1090"/>
      <c r="L172" s="1100"/>
      <c r="M172" s="1100"/>
      <c r="N172" s="1100"/>
      <c r="O172" s="1087"/>
      <c r="P172" s="1097"/>
    </row>
    <row r="173" spans="1:16">
      <c r="A173" s="1084"/>
      <c r="B173" s="1084" t="s">
        <v>799</v>
      </c>
      <c r="C173" s="1096" t="s">
        <v>1880</v>
      </c>
      <c r="D173" s="1096"/>
      <c r="E173" s="1096"/>
      <c r="F173" s="1096"/>
      <c r="G173" s="1096"/>
      <c r="H173" s="1100"/>
      <c r="I173" s="1087" t="str">
        <f>'Part I-Project Information'!I149</f>
        <v>No</v>
      </c>
      <c r="J173" s="1100"/>
      <c r="K173" s="1100"/>
      <c r="L173" s="1095"/>
      <c r="M173" s="1095"/>
      <c r="N173" s="1100"/>
      <c r="O173" s="1100"/>
      <c r="P173" s="1097"/>
    </row>
    <row r="174" spans="1:16">
      <c r="A174" s="1084"/>
      <c r="B174" s="1084"/>
      <c r="C174" s="1085"/>
      <c r="D174" s="1100"/>
      <c r="E174" s="1094"/>
      <c r="F174" s="1094"/>
      <c r="G174" s="1094"/>
      <c r="H174" s="1100"/>
      <c r="I174" s="1094"/>
      <c r="J174" s="1094"/>
      <c r="K174" s="1087"/>
      <c r="L174" s="1094"/>
      <c r="M174" s="1094"/>
      <c r="N174" s="1087"/>
      <c r="O174" s="1094"/>
      <c r="P174" s="1094"/>
    </row>
    <row r="175" spans="1:16">
      <c r="A175" s="1084"/>
      <c r="B175" s="1084" t="s">
        <v>2254</v>
      </c>
      <c r="C175" s="1698" t="s">
        <v>2114</v>
      </c>
      <c r="D175" s="1698"/>
      <c r="E175" s="1698"/>
      <c r="F175" s="1698"/>
      <c r="G175" s="1096"/>
      <c r="H175" s="1100"/>
      <c r="I175" s="1087" t="str">
        <f>'Part I-Project Information'!I151</f>
        <v>Yes</v>
      </c>
      <c r="J175" s="856" t="s">
        <v>3136</v>
      </c>
      <c r="K175" s="1100"/>
      <c r="L175" s="1699" t="s">
        <v>1574</v>
      </c>
      <c r="M175" s="1699"/>
      <c r="N175" s="1096"/>
      <c r="O175" s="1096"/>
      <c r="P175" s="1101">
        <f>'Part I-Project Information'!P151</f>
        <v>112</v>
      </c>
    </row>
    <row r="176" spans="1:16">
      <c r="A176" s="1100"/>
      <c r="B176" s="1084"/>
      <c r="C176" s="1100"/>
      <c r="D176" s="1100"/>
      <c r="E176" s="1100"/>
      <c r="F176" s="1100"/>
      <c r="G176" s="1100"/>
      <c r="H176" s="1100"/>
      <c r="I176" s="1100"/>
      <c r="J176" s="1100"/>
      <c r="K176" s="1100"/>
      <c r="L176" s="1649" t="s">
        <v>851</v>
      </c>
      <c r="M176" s="1649"/>
      <c r="N176" s="1096"/>
      <c r="O176" s="1096"/>
      <c r="P176" s="1101">
        <f>'Part I-Project Information'!P152</f>
        <v>109</v>
      </c>
    </row>
    <row r="177" spans="1:16">
      <c r="A177" s="1084"/>
      <c r="B177" s="1084"/>
      <c r="C177" s="1100"/>
      <c r="D177" s="1100"/>
      <c r="E177" s="1100"/>
      <c r="F177" s="1100"/>
      <c r="G177" s="1100"/>
      <c r="H177" s="1100"/>
      <c r="I177" s="1100"/>
      <c r="J177" s="1100"/>
      <c r="K177" s="1100"/>
      <c r="L177" s="1649" t="s">
        <v>1915</v>
      </c>
      <c r="M177" s="1649"/>
      <c r="N177" s="1096"/>
      <c r="O177" s="1096"/>
      <c r="P177" s="857">
        <f>IF(P175="","",P176/P175)</f>
        <v>0.9732142857142857</v>
      </c>
    </row>
    <row r="178" spans="1:16">
      <c r="A178" s="1084"/>
      <c r="B178" s="1084" t="s">
        <v>1857</v>
      </c>
      <c r="C178" s="834" t="s">
        <v>1718</v>
      </c>
      <c r="D178" s="1092"/>
      <c r="E178" s="1092"/>
      <c r="F178" s="1092"/>
      <c r="G178" s="1092"/>
      <c r="H178" s="1087"/>
      <c r="I178" s="1100"/>
      <c r="J178" s="1095"/>
      <c r="K178" s="1090"/>
      <c r="L178" s="1100"/>
      <c r="M178" s="1100"/>
      <c r="N178" s="1100"/>
      <c r="O178" s="1087"/>
      <c r="P178" s="1097"/>
    </row>
    <row r="179" spans="1:16">
      <c r="A179" s="1084"/>
      <c r="B179" s="1084"/>
      <c r="C179" s="1100" t="s">
        <v>2357</v>
      </c>
      <c r="D179" s="835"/>
      <c r="E179" s="1100"/>
      <c r="F179" s="1100"/>
      <c r="G179" s="1100"/>
      <c r="H179" s="1100"/>
      <c r="I179" s="1087" t="str">
        <f>'Part I-Project Information'!I155</f>
        <v>Yes</v>
      </c>
      <c r="J179" s="1100"/>
      <c r="K179" s="1100"/>
      <c r="L179" s="1100" t="s">
        <v>1719</v>
      </c>
      <c r="M179" s="1100"/>
      <c r="N179" s="1100"/>
      <c r="O179" s="1100"/>
      <c r="P179" s="1087" t="str">
        <f>'Part I-Project Information'!P155</f>
        <v>No</v>
      </c>
    </row>
    <row r="180" spans="1:16">
      <c r="A180" s="1084"/>
      <c r="B180" s="1084"/>
      <c r="C180" s="1100" t="s">
        <v>2359</v>
      </c>
      <c r="D180" s="1100"/>
      <c r="E180" s="1100"/>
      <c r="F180" s="1100"/>
      <c r="G180" s="1100"/>
      <c r="H180" s="1100"/>
      <c r="I180" s="1087" t="str">
        <f>'Part I-Project Information'!I156</f>
        <v>No</v>
      </c>
      <c r="J180" s="1100"/>
      <c r="K180" s="1100"/>
      <c r="L180" s="1100" t="s">
        <v>3408</v>
      </c>
      <c r="M180" s="1100"/>
      <c r="N180" s="1100"/>
      <c r="O180" s="1100"/>
      <c r="P180" s="1087" t="str">
        <f>'Part I-Project Information'!P156</f>
        <v>No</v>
      </c>
    </row>
    <row r="181" spans="1:16" ht="13.5">
      <c r="A181" s="1084"/>
      <c r="B181" s="1100"/>
      <c r="C181" s="1100" t="s">
        <v>2978</v>
      </c>
      <c r="D181" s="1100"/>
      <c r="E181" s="1100"/>
      <c r="F181" s="1100"/>
      <c r="G181" s="1100"/>
      <c r="H181" s="1100"/>
      <c r="I181" s="1087" t="str">
        <f>'Part I-Project Information'!I157</f>
        <v>Yes</v>
      </c>
      <c r="J181" s="1100"/>
      <c r="K181" s="1100"/>
      <c r="L181" s="1100" t="s">
        <v>2921</v>
      </c>
      <c r="M181" s="1100"/>
      <c r="N181" s="1696">
        <f>'Part I-Project Information'!N157</f>
        <v>0</v>
      </c>
      <c r="O181" s="1696"/>
      <c r="P181" s="1087" t="str">
        <f>'Part I-Project Information'!P157</f>
        <v>No</v>
      </c>
    </row>
    <row r="182" spans="1:16" ht="13.5">
      <c r="A182" s="1084"/>
      <c r="B182" s="1084"/>
      <c r="C182" s="1100" t="s">
        <v>1368</v>
      </c>
      <c r="D182" s="858"/>
      <c r="E182" s="1100"/>
      <c r="F182" s="1100"/>
      <c r="G182" s="1100"/>
      <c r="H182" s="1100"/>
      <c r="I182" s="1087" t="str">
        <f>'Part I-Project Information'!I158</f>
        <v>No</v>
      </c>
      <c r="J182" s="1100"/>
      <c r="K182" s="835"/>
    </row>
    <row r="183" spans="1:16">
      <c r="A183" s="1084"/>
      <c r="B183" s="835"/>
      <c r="C183" s="1100" t="s">
        <v>1934</v>
      </c>
      <c r="D183" s="1100"/>
      <c r="E183" s="1100"/>
      <c r="F183" s="1100"/>
      <c r="G183" s="1100"/>
      <c r="H183" s="1100"/>
      <c r="I183" s="1087" t="str">
        <f>'Part I-Project Information'!I159</f>
        <v>No</v>
      </c>
      <c r="J183" s="856" t="s">
        <v>3137</v>
      </c>
      <c r="K183" s="1100"/>
      <c r="L183" s="1100"/>
      <c r="M183" s="1100"/>
      <c r="N183" s="1100"/>
      <c r="O183" s="1697">
        <f>'Part I-Project Information'!O159</f>
        <v>0</v>
      </c>
      <c r="P183" s="1697"/>
    </row>
    <row r="184" spans="1:16">
      <c r="A184" s="1084"/>
      <c r="B184" s="1084"/>
      <c r="C184" s="1100" t="s">
        <v>3578</v>
      </c>
      <c r="D184" s="1100"/>
      <c r="E184" s="1100"/>
      <c r="F184" s="1100"/>
      <c r="G184" s="1100"/>
      <c r="H184" s="1100"/>
      <c r="I184" s="1087" t="str">
        <f>'Part I-Project Information'!I160</f>
        <v>No</v>
      </c>
      <c r="J184" s="856" t="s">
        <v>3137</v>
      </c>
      <c r="K184" s="1100"/>
      <c r="L184" s="1100"/>
      <c r="M184" s="1100"/>
      <c r="N184" s="1100"/>
      <c r="O184" s="1697">
        <f>'Part I-Project Information'!O160</f>
        <v>0</v>
      </c>
      <c r="P184" s="1697"/>
    </row>
    <row r="185" spans="1:16">
      <c r="A185" s="1084"/>
      <c r="B185" s="1084"/>
      <c r="C185" s="1100" t="s">
        <v>3579</v>
      </c>
      <c r="D185" s="1100"/>
      <c r="E185" s="1100"/>
      <c r="F185" s="1100"/>
      <c r="G185" s="1100"/>
      <c r="H185" s="1100"/>
      <c r="I185" s="1087" t="str">
        <f>'Part I-Project Information'!I161</f>
        <v>No</v>
      </c>
      <c r="J185" s="856" t="s">
        <v>3137</v>
      </c>
      <c r="K185" s="1100"/>
      <c r="L185" s="1100"/>
      <c r="M185" s="1100"/>
      <c r="N185" s="1100"/>
      <c r="O185" s="1697">
        <f>'Part I-Project Information'!O161</f>
        <v>0</v>
      </c>
      <c r="P185" s="1697"/>
    </row>
    <row r="186" spans="1:16">
      <c r="A186" s="1084"/>
      <c r="B186" s="1084"/>
      <c r="C186" s="1100"/>
      <c r="D186" s="1100"/>
      <c r="E186" s="1100"/>
      <c r="F186" s="1100"/>
      <c r="G186" s="1100"/>
      <c r="H186" s="1100"/>
      <c r="I186" s="1100"/>
      <c r="J186" s="1100"/>
      <c r="K186" s="1100"/>
      <c r="L186" s="1100"/>
      <c r="M186" s="1100"/>
      <c r="N186" s="1100"/>
      <c r="O186" s="1100"/>
      <c r="P186" s="1095"/>
    </row>
    <row r="187" spans="1:16">
      <c r="A187" s="1100"/>
      <c r="B187" s="1084" t="s">
        <v>1858</v>
      </c>
      <c r="C187" s="834" t="s">
        <v>789</v>
      </c>
      <c r="D187" s="1100"/>
      <c r="E187" s="1100"/>
      <c r="F187" s="1100"/>
      <c r="G187" s="1100"/>
      <c r="H187" s="1100"/>
      <c r="I187" s="1100"/>
      <c r="J187" s="1100"/>
      <c r="K187" s="1100"/>
      <c r="L187" s="1100"/>
      <c r="M187" s="1100"/>
      <c r="N187" s="1100"/>
      <c r="O187" s="1100"/>
      <c r="P187" s="1100"/>
    </row>
    <row r="188" spans="1:16">
      <c r="A188" s="1084"/>
      <c r="B188" s="1084"/>
      <c r="C188" s="1085" t="s">
        <v>680</v>
      </c>
      <c r="D188" s="1092"/>
      <c r="E188" s="1092"/>
      <c r="F188" s="1087"/>
      <c r="G188" s="1087"/>
      <c r="H188" s="1695">
        <f>'Part I-Project Information'!H164</f>
        <v>0</v>
      </c>
      <c r="I188" s="1695"/>
      <c r="J188" s="1100"/>
      <c r="K188" s="1100"/>
      <c r="L188" s="1100"/>
      <c r="M188" s="1100"/>
      <c r="N188" s="1100"/>
      <c r="O188" s="1100"/>
      <c r="P188" s="1097"/>
    </row>
    <row r="189" spans="1:16">
      <c r="A189" s="1084"/>
      <c r="B189" s="1084"/>
      <c r="C189" s="1085" t="s">
        <v>291</v>
      </c>
      <c r="D189" s="1092"/>
      <c r="E189" s="1092"/>
      <c r="F189" s="1087"/>
      <c r="G189" s="1087"/>
      <c r="H189" s="1695">
        <f>'Part I-Project Information'!H165</f>
        <v>0</v>
      </c>
      <c r="I189" s="1695"/>
      <c r="J189" s="1100"/>
      <c r="K189" s="1100"/>
      <c r="L189" s="1100"/>
      <c r="M189" s="1100"/>
      <c r="N189" s="1100"/>
      <c r="O189" s="1100"/>
      <c r="P189" s="1097"/>
    </row>
    <row r="190" spans="1:16">
      <c r="A190" s="1084"/>
      <c r="B190" s="1084"/>
      <c r="C190" s="1085" t="s">
        <v>2446</v>
      </c>
      <c r="D190" s="1092"/>
      <c r="E190" s="1092"/>
      <c r="F190" s="1087"/>
      <c r="G190" s="1087"/>
      <c r="H190" s="1695">
        <f>'Part I-Project Information'!H166</f>
        <v>0</v>
      </c>
      <c r="I190" s="1695"/>
      <c r="J190" s="1100"/>
      <c r="K190" s="1100"/>
      <c r="L190" s="1100"/>
      <c r="M190" s="1100"/>
      <c r="N190" s="1100"/>
      <c r="O190" s="1100"/>
      <c r="P190" s="1097"/>
    </row>
    <row r="191" spans="1:16">
      <c r="A191" s="1100"/>
      <c r="B191" s="835"/>
      <c r="C191" s="1100"/>
      <c r="D191" s="1100"/>
      <c r="E191" s="1100"/>
      <c r="F191" s="1100"/>
      <c r="G191" s="1100"/>
      <c r="H191" s="1100"/>
      <c r="I191" s="1100"/>
      <c r="J191" s="1100"/>
      <c r="K191" s="1100"/>
      <c r="L191" s="1095"/>
      <c r="M191" s="1095"/>
      <c r="N191" s="1095"/>
      <c r="O191" s="1095"/>
      <c r="P191" s="838"/>
    </row>
    <row r="192" spans="1:16">
      <c r="A192" s="849" t="s">
        <v>3236</v>
      </c>
      <c r="B192" s="851"/>
      <c r="C192" s="849" t="s">
        <v>608</v>
      </c>
      <c r="D192" s="1095"/>
      <c r="E192" s="1095"/>
      <c r="F192" s="1095"/>
      <c r="G192" s="1095"/>
      <c r="H192" s="1095"/>
      <c r="I192" s="1095"/>
      <c r="J192" s="1095"/>
      <c r="K192" s="849" t="s">
        <v>2401</v>
      </c>
      <c r="L192" s="849" t="s">
        <v>82</v>
      </c>
      <c r="M192" s="1095"/>
      <c r="N192" s="1095"/>
      <c r="O192" s="1095"/>
      <c r="P192" s="1095"/>
    </row>
    <row r="193" spans="1:19" ht="13.5">
      <c r="A193" s="1616" t="str">
        <f>'Part I-Project Information'!A169</f>
        <v>EXPIRING HUD SECTION 8 - See the letter in Tab #1 (electronic document 010200TW1PBRAagmt.pdf) dated April 21, 2014 from Linda F. Preston, HUD Director, Project Management for evidence of HUD's agreement regarding Section 8 Contract No. GA06-8023-015 for Gateway Manor Apartments that expires on June 28, 2016 unless renewed.</v>
      </c>
      <c r="B193" s="1616"/>
      <c r="C193" s="1616"/>
      <c r="D193" s="1616"/>
      <c r="E193" s="1616"/>
      <c r="F193" s="1616"/>
      <c r="G193" s="1616"/>
      <c r="H193" s="1616"/>
      <c r="I193" s="1616"/>
      <c r="J193" s="1616"/>
      <c r="K193" s="1616">
        <f>'Part I-Project Information'!K169</f>
        <v>0</v>
      </c>
      <c r="L193" s="1616"/>
      <c r="M193" s="1616"/>
      <c r="N193" s="1616"/>
      <c r="O193" s="1616"/>
      <c r="P193" s="1616"/>
    </row>
    <row r="196" spans="1:19">
      <c r="A196" s="1656" t="str">
        <f>CONCATENATE("PART TWO - DEVELOPMENT TEAM INFORMATION","  -  ",'Part I-Project Information'!$O$4," ",'Part I-Project Information'!$F$23,", ",'Part I-Project Information'!F222,", ",'Part I-Project Information'!J223," County")</f>
        <v>PART TWO - DEVELOPMENT TEAM INFORMATION  -  2014-055 Trinity Walk Phase I, MSA, City of Alpharetta Development Authority County</v>
      </c>
      <c r="B196" s="1656"/>
      <c r="C196" s="1656"/>
      <c r="D196" s="1656"/>
      <c r="E196" s="1656"/>
      <c r="F196" s="1656"/>
      <c r="G196" s="1656"/>
      <c r="H196" s="1656"/>
      <c r="I196" s="1656"/>
      <c r="J196" s="1656"/>
      <c r="K196" s="1656"/>
      <c r="L196" s="1656"/>
      <c r="M196" s="1656"/>
      <c r="N196" s="1656"/>
      <c r="O196" s="1656"/>
      <c r="P196" s="1656"/>
      <c r="Q196" s="1656"/>
      <c r="R196" s="1656"/>
      <c r="S196" s="1656"/>
    </row>
    <row r="197" spans="1:19">
      <c r="A197" s="1095"/>
      <c r="B197" s="1095"/>
      <c r="C197" s="1095"/>
      <c r="D197" s="1095"/>
      <c r="E197" s="1095"/>
      <c r="F197" s="1095"/>
      <c r="G197" s="1095"/>
      <c r="H197" s="1095"/>
      <c r="I197" s="1095"/>
      <c r="J197" s="1095"/>
      <c r="K197" s="1095"/>
      <c r="L197" s="1095"/>
      <c r="M197" s="1095"/>
      <c r="N197" s="1095"/>
      <c r="O197" s="1095"/>
      <c r="P197" s="1095"/>
      <c r="Q197" s="1095"/>
      <c r="R197" s="1095"/>
      <c r="S197" s="1095"/>
    </row>
    <row r="198" spans="1:19">
      <c r="A198" s="835" t="s">
        <v>657</v>
      </c>
      <c r="B198" s="834" t="s">
        <v>1988</v>
      </c>
      <c r="C198" s="834"/>
      <c r="D198" s="1100"/>
      <c r="E198" s="834"/>
      <c r="F198" s="834"/>
      <c r="G198" s="834"/>
      <c r="H198" s="834"/>
      <c r="I198" s="834"/>
      <c r="J198" s="834"/>
      <c r="K198" s="834"/>
      <c r="L198" s="834"/>
      <c r="M198" s="834"/>
      <c r="N198" s="1100"/>
      <c r="O198" s="1100"/>
      <c r="P198" s="1100"/>
      <c r="Q198" s="1100"/>
      <c r="R198" s="1100"/>
      <c r="S198" s="1100"/>
    </row>
    <row r="199" spans="1:19">
      <c r="A199" s="835"/>
      <c r="B199" s="835"/>
      <c r="C199" s="835"/>
      <c r="D199" s="834"/>
      <c r="E199" s="834"/>
      <c r="F199" s="834"/>
      <c r="G199" s="834"/>
      <c r="H199" s="834"/>
      <c r="I199" s="834"/>
      <c r="J199" s="834"/>
      <c r="K199" s="1100"/>
      <c r="L199" s="1100"/>
      <c r="M199" s="1100"/>
      <c r="N199" s="1100"/>
      <c r="O199" s="1100"/>
      <c r="P199" s="1100"/>
      <c r="Q199" s="1100"/>
      <c r="R199" s="1100"/>
      <c r="S199" s="1100"/>
    </row>
    <row r="200" spans="1:19">
      <c r="A200" s="1100"/>
      <c r="B200" s="835" t="s">
        <v>2119</v>
      </c>
      <c r="C200" s="834" t="s">
        <v>1984</v>
      </c>
      <c r="D200" s="1100"/>
      <c r="E200" s="1100"/>
      <c r="F200" s="1100"/>
      <c r="G200" s="1100"/>
      <c r="H200" s="1649" t="str">
        <f>'Part II-Development Team'!H5</f>
        <v>Trinty Walk I, LP</v>
      </c>
      <c r="I200" s="1662"/>
      <c r="J200" s="1662"/>
      <c r="K200" s="1662"/>
      <c r="L200" s="1662"/>
      <c r="M200" s="1662"/>
      <c r="N200" s="1662"/>
      <c r="O200" s="1085" t="s">
        <v>2126</v>
      </c>
      <c r="P200" s="1085"/>
      <c r="Q200" s="1649" t="str">
        <f>'Part II-Development Team'!Q5</f>
        <v>Douglas S. Faust</v>
      </c>
      <c r="R200" s="1662"/>
      <c r="S200" s="1662"/>
    </row>
    <row r="201" spans="1:19">
      <c r="A201" s="1100"/>
      <c r="B201" s="1100"/>
      <c r="C201" s="1100"/>
      <c r="D201" s="859"/>
      <c r="E201" s="1085" t="s">
        <v>1083</v>
      </c>
      <c r="F201" s="838"/>
      <c r="G201" s="1100"/>
      <c r="H201" s="1649" t="str">
        <f>'Part II-Development Team'!H6</f>
        <v>750 Commerce Drive Suite 110</v>
      </c>
      <c r="I201" s="1662"/>
      <c r="J201" s="1662"/>
      <c r="K201" s="1662"/>
      <c r="L201" s="1662"/>
      <c r="M201" s="1662"/>
      <c r="N201" s="1662"/>
      <c r="O201" s="1085" t="s">
        <v>1870</v>
      </c>
      <c r="P201" s="1100"/>
      <c r="Q201" s="1649" t="str">
        <f>'Part II-Development Team'!Q6</f>
        <v>Manager</v>
      </c>
      <c r="R201" s="1662"/>
      <c r="S201" s="1662"/>
    </row>
    <row r="202" spans="1:19">
      <c r="A202" s="1100"/>
      <c r="B202" s="1100"/>
      <c r="C202" s="1100"/>
      <c r="D202" s="859"/>
      <c r="E202" s="1085" t="s">
        <v>659</v>
      </c>
      <c r="F202" s="1100"/>
      <c r="G202" s="1100"/>
      <c r="H202" s="1649" t="str">
        <f>'Part II-Development Team'!H7</f>
        <v>Decatur</v>
      </c>
      <c r="I202" s="1662"/>
      <c r="J202" s="1662"/>
      <c r="K202" s="1087" t="s">
        <v>813</v>
      </c>
      <c r="L202" s="1649">
        <f>'Part II-Development Team'!L7</f>
        <v>0</v>
      </c>
      <c r="M202" s="1662"/>
      <c r="N202" s="1662"/>
      <c r="O202" s="1085" t="s">
        <v>1927</v>
      </c>
      <c r="P202" s="1100"/>
      <c r="Q202" s="1683">
        <f>'Part II-Development Team'!Q7</f>
        <v>4042702101</v>
      </c>
      <c r="R202" s="1683"/>
      <c r="S202" s="1683"/>
    </row>
    <row r="203" spans="1:19" ht="13.5">
      <c r="A203" s="1100"/>
      <c r="B203" s="1100"/>
      <c r="C203" s="1100"/>
      <c r="D203" s="859"/>
      <c r="E203" s="1085" t="s">
        <v>1923</v>
      </c>
      <c r="F203" s="1100"/>
      <c r="G203" s="1100"/>
      <c r="H203" s="1087" t="str">
        <f>'Part II-Development Team'!H8</f>
        <v>GA</v>
      </c>
      <c r="I203" s="1087" t="s">
        <v>3651</v>
      </c>
      <c r="J203" s="1693">
        <f>'Part II-Development Team'!J8</f>
        <v>300302612</v>
      </c>
      <c r="K203" s="1662"/>
      <c r="L203" s="860" t="s">
        <v>3004</v>
      </c>
      <c r="M203" s="1694" t="str">
        <f>'Part II-Development Team'!M8</f>
        <v>13 089 0225.00</v>
      </c>
      <c r="N203" s="1694"/>
      <c r="O203" s="1085" t="s">
        <v>2115</v>
      </c>
      <c r="P203" s="1100"/>
      <c r="Q203" s="1683">
        <f>'Part II-Development Team'!Q8</f>
        <v>4049155811</v>
      </c>
      <c r="R203" s="1683"/>
      <c r="S203" s="1683"/>
    </row>
    <row r="204" spans="1:19">
      <c r="A204" s="1100"/>
      <c r="B204" s="1100"/>
      <c r="C204" s="1100"/>
      <c r="D204" s="859"/>
      <c r="E204" s="1085" t="s">
        <v>2121</v>
      </c>
      <c r="F204" s="1100"/>
      <c r="G204" s="1100"/>
      <c r="H204" s="1683">
        <f>'Part II-Development Team'!H9</f>
        <v>4042702101</v>
      </c>
      <c r="I204" s="1683"/>
      <c r="J204" s="1090">
        <f>'Part II-Development Team'!J9</f>
        <v>0</v>
      </c>
      <c r="K204" s="1087" t="s">
        <v>1926</v>
      </c>
      <c r="L204" s="1684">
        <f>'Part II-Development Team'!L9</f>
        <v>4042702123</v>
      </c>
      <c r="M204" s="1662"/>
      <c r="N204" s="838" t="s">
        <v>2120</v>
      </c>
      <c r="O204" s="1685" t="str">
        <f>'Part II-Development Team'!O9</f>
        <v>dsf@decaturha.org</v>
      </c>
      <c r="P204" s="1685"/>
      <c r="Q204" s="1685"/>
      <c r="R204" s="1685"/>
      <c r="S204" s="1685"/>
    </row>
    <row r="205" spans="1:19" ht="13.5">
      <c r="A205" s="1100"/>
      <c r="B205" s="1100"/>
      <c r="C205" s="1100"/>
      <c r="D205" s="859"/>
      <c r="E205" s="1086" t="s">
        <v>3003</v>
      </c>
      <c r="F205" s="1100"/>
      <c r="G205" s="1100"/>
      <c r="H205" s="1094"/>
      <c r="I205" s="1100"/>
      <c r="J205" s="1100"/>
      <c r="K205" s="860"/>
      <c r="L205" s="1100"/>
      <c r="M205" s="1100"/>
      <c r="N205" s="835" t="s">
        <v>3634</v>
      </c>
      <c r="O205" s="1100"/>
      <c r="P205" s="1100"/>
      <c r="Q205" s="1087"/>
      <c r="R205" s="1100"/>
      <c r="S205" s="1100"/>
    </row>
    <row r="206" spans="1:19">
      <c r="A206" s="1100"/>
      <c r="B206" s="1100"/>
      <c r="C206" s="1100"/>
      <c r="D206" s="861"/>
      <c r="E206" s="1085"/>
      <c r="F206" s="834"/>
      <c r="G206" s="834"/>
      <c r="H206" s="834"/>
      <c r="I206" s="834"/>
      <c r="J206" s="834"/>
      <c r="K206" s="1100"/>
      <c r="L206" s="1100"/>
      <c r="M206" s="1100"/>
      <c r="N206" s="834"/>
      <c r="O206" s="834"/>
      <c r="P206" s="834"/>
      <c r="Q206" s="834"/>
      <c r="R206" s="834"/>
      <c r="S206" s="834"/>
    </row>
    <row r="207" spans="1:19" ht="13.5">
      <c r="A207" s="1100"/>
      <c r="B207" s="851" t="s">
        <v>2122</v>
      </c>
      <c r="C207" s="834" t="s">
        <v>1985</v>
      </c>
      <c r="D207" s="1100"/>
      <c r="E207" s="1100"/>
      <c r="F207" s="834"/>
      <c r="G207" s="834"/>
      <c r="H207" s="834"/>
      <c r="I207" s="834"/>
      <c r="J207" s="834"/>
      <c r="K207" s="1100"/>
      <c r="L207" s="1100"/>
      <c r="M207" s="1100"/>
      <c r="N207" s="860" t="s">
        <v>3652</v>
      </c>
      <c r="O207" s="1100"/>
      <c r="P207" s="1030" t="s">
        <v>1365</v>
      </c>
      <c r="Q207" s="1100"/>
      <c r="R207" s="1100"/>
      <c r="S207" s="1100"/>
    </row>
    <row r="208" spans="1:19" ht="13.5">
      <c r="A208" s="1100"/>
      <c r="B208" s="1100"/>
      <c r="C208" s="1100"/>
      <c r="D208" s="861"/>
      <c r="E208" s="1085"/>
      <c r="F208" s="834"/>
      <c r="G208" s="834"/>
      <c r="H208" s="834"/>
      <c r="I208" s="834"/>
      <c r="J208" s="834"/>
      <c r="K208" s="1100"/>
      <c r="L208" s="1100"/>
      <c r="M208" s="1100"/>
      <c r="N208" s="1031"/>
      <c r="O208" s="1100"/>
      <c r="P208" s="858"/>
      <c r="Q208" s="1100"/>
      <c r="R208" s="1100"/>
      <c r="S208" s="1100"/>
    </row>
    <row r="209" spans="1:19" ht="13.5">
      <c r="A209" s="1100"/>
      <c r="B209" s="1100"/>
      <c r="C209" s="862" t="s">
        <v>2123</v>
      </c>
      <c r="D209" s="851" t="s">
        <v>2124</v>
      </c>
      <c r="E209" s="1100"/>
      <c r="F209" s="1100"/>
      <c r="G209" s="1100"/>
      <c r="H209" s="1100"/>
      <c r="I209" s="1100"/>
      <c r="J209" s="1100"/>
      <c r="K209" s="1100"/>
      <c r="L209" s="1100"/>
      <c r="M209" s="1100"/>
      <c r="N209" s="860"/>
      <c r="O209" s="1100"/>
      <c r="P209" s="1100"/>
      <c r="Q209" s="1100"/>
      <c r="R209" s="1100"/>
      <c r="S209" s="1100"/>
    </row>
    <row r="210" spans="1:19">
      <c r="A210" s="1100"/>
      <c r="B210" s="1100"/>
      <c r="C210" s="1100"/>
      <c r="D210" s="862"/>
      <c r="E210" s="850"/>
      <c r="F210" s="1100"/>
      <c r="G210" s="1100"/>
      <c r="H210" s="1032"/>
      <c r="I210" s="1032"/>
      <c r="J210" s="1032"/>
      <c r="K210" s="1087"/>
      <c r="L210" s="1032"/>
      <c r="M210" s="1032"/>
      <c r="N210" s="1087"/>
      <c r="O210" s="1032"/>
      <c r="P210" s="1032"/>
      <c r="Q210" s="1087"/>
      <c r="R210" s="1032"/>
      <c r="S210" s="1032"/>
    </row>
    <row r="211" spans="1:19">
      <c r="A211" s="1100"/>
      <c r="B211" s="1100"/>
      <c r="C211" s="1100"/>
      <c r="D211" s="835" t="s">
        <v>2255</v>
      </c>
      <c r="E211" s="1100" t="s">
        <v>1986</v>
      </c>
      <c r="F211" s="1100"/>
      <c r="G211" s="1100"/>
      <c r="H211" s="1649" t="str">
        <f>'Part II-Development Team'!H16</f>
        <v>Trinity Walk I General Partner, LLC</v>
      </c>
      <c r="I211" s="1662"/>
      <c r="J211" s="1662"/>
      <c r="K211" s="1662"/>
      <c r="L211" s="1662"/>
      <c r="M211" s="1662"/>
      <c r="N211" s="1662"/>
      <c r="O211" s="1085" t="s">
        <v>2126</v>
      </c>
      <c r="P211" s="1085"/>
      <c r="Q211" s="1649" t="str">
        <f>'Part II-Development Team'!Q16</f>
        <v>Douglas S. Faust</v>
      </c>
      <c r="R211" s="1662"/>
      <c r="S211" s="1662"/>
    </row>
    <row r="212" spans="1:19">
      <c r="A212" s="1100"/>
      <c r="B212" s="1100"/>
      <c r="C212" s="1100"/>
      <c r="D212" s="859"/>
      <c r="E212" s="1085" t="s">
        <v>1083</v>
      </c>
      <c r="F212" s="838"/>
      <c r="G212" s="1100"/>
      <c r="H212" s="1649" t="str">
        <f>'Part II-Development Team'!H17</f>
        <v>750 Commerce Drive Suite 110</v>
      </c>
      <c r="I212" s="1662"/>
      <c r="J212" s="1662"/>
      <c r="K212" s="1662"/>
      <c r="L212" s="1662"/>
      <c r="M212" s="1662"/>
      <c r="N212" s="1662"/>
      <c r="O212" s="1085" t="s">
        <v>1870</v>
      </c>
      <c r="P212" s="1100"/>
      <c r="Q212" s="1649" t="str">
        <f>'Part II-Development Team'!Q17</f>
        <v>Manager</v>
      </c>
      <c r="R212" s="1662"/>
      <c r="S212" s="1662"/>
    </row>
    <row r="213" spans="1:19">
      <c r="A213" s="1100"/>
      <c r="B213" s="1100"/>
      <c r="C213" s="1100"/>
      <c r="D213" s="859"/>
      <c r="E213" s="1085" t="s">
        <v>659</v>
      </c>
      <c r="F213" s="1100"/>
      <c r="G213" s="1100"/>
      <c r="H213" s="1649" t="str">
        <f>'Part II-Development Team'!H18</f>
        <v>Decatur</v>
      </c>
      <c r="I213" s="1662"/>
      <c r="J213" s="1662"/>
      <c r="K213" s="1087" t="s">
        <v>2945</v>
      </c>
      <c r="L213" s="1649" t="str">
        <f>'Part II-Development Team'!L18</f>
        <v>www.decaturha.org</v>
      </c>
      <c r="M213" s="1662"/>
      <c r="N213" s="1662"/>
      <c r="O213" s="1085" t="s">
        <v>1927</v>
      </c>
      <c r="P213" s="1100"/>
      <c r="Q213" s="1683">
        <f>'Part II-Development Team'!Q18</f>
        <v>4042702101</v>
      </c>
      <c r="R213" s="1683"/>
      <c r="S213" s="1683"/>
    </row>
    <row r="214" spans="1:19">
      <c r="A214" s="1100"/>
      <c r="B214" s="1100"/>
      <c r="C214" s="1100"/>
      <c r="D214" s="835"/>
      <c r="E214" s="1085" t="s">
        <v>1923</v>
      </c>
      <c r="F214" s="1100"/>
      <c r="G214" s="1100"/>
      <c r="H214" s="1087" t="str">
        <f>'Part II-Development Team'!H19</f>
        <v>GA</v>
      </c>
      <c r="I214" s="1087" t="s">
        <v>3651</v>
      </c>
      <c r="J214" s="1693">
        <f>'Part II-Development Team'!J19</f>
        <v>300302612</v>
      </c>
      <c r="K214" s="1662"/>
      <c r="L214" s="1100"/>
      <c r="M214" s="1100"/>
      <c r="N214" s="1100"/>
      <c r="O214" s="1085" t="s">
        <v>2115</v>
      </c>
      <c r="P214" s="1100"/>
      <c r="Q214" s="1683">
        <f>'Part II-Development Team'!Q19</f>
        <v>4049155811</v>
      </c>
      <c r="R214" s="1683"/>
      <c r="S214" s="1683"/>
    </row>
    <row r="215" spans="1:19">
      <c r="A215" s="1100"/>
      <c r="B215" s="1100"/>
      <c r="C215" s="1100"/>
      <c r="D215" s="859"/>
      <c r="E215" s="1085" t="s">
        <v>2121</v>
      </c>
      <c r="F215" s="1100"/>
      <c r="G215" s="1100"/>
      <c r="H215" s="1683">
        <f>'Part II-Development Team'!H20</f>
        <v>4042702101</v>
      </c>
      <c r="I215" s="1683"/>
      <c r="J215" s="1090">
        <f>'Part II-Development Team'!J20</f>
        <v>0</v>
      </c>
      <c r="K215" s="1087" t="s">
        <v>1926</v>
      </c>
      <c r="L215" s="1684">
        <f>'Part II-Development Team'!L20</f>
        <v>4042702123</v>
      </c>
      <c r="M215" s="1662"/>
      <c r="N215" s="838" t="s">
        <v>2120</v>
      </c>
      <c r="O215" s="1685" t="str">
        <f>'Part II-Development Team'!O20</f>
        <v>dsf@decaturha.org</v>
      </c>
      <c r="P215" s="1685"/>
      <c r="Q215" s="1685"/>
      <c r="R215" s="1685"/>
      <c r="S215" s="1685"/>
    </row>
    <row r="216" spans="1:19">
      <c r="A216" s="1095"/>
      <c r="B216" s="1095"/>
      <c r="C216" s="1095"/>
      <c r="D216" s="849"/>
      <c r="E216" s="1095"/>
      <c r="F216" s="1095"/>
      <c r="G216" s="1095"/>
      <c r="H216" s="1032"/>
      <c r="I216" s="1032"/>
      <c r="J216" s="1032"/>
      <c r="K216" s="1087"/>
      <c r="L216" s="1032"/>
      <c r="M216" s="1032"/>
      <c r="N216" s="1087"/>
      <c r="O216" s="1032"/>
      <c r="P216" s="1032"/>
      <c r="Q216" s="1087"/>
      <c r="R216" s="1032"/>
      <c r="S216" s="1032"/>
    </row>
    <row r="217" spans="1:19">
      <c r="A217" s="1100"/>
      <c r="B217" s="1100"/>
      <c r="C217" s="1100"/>
      <c r="D217" s="835" t="s">
        <v>2256</v>
      </c>
      <c r="E217" s="1100" t="s">
        <v>1987</v>
      </c>
      <c r="F217" s="1100"/>
      <c r="G217" s="1100"/>
      <c r="H217" s="1649">
        <f>'Part II-Development Team'!H22</f>
        <v>0</v>
      </c>
      <c r="I217" s="1662"/>
      <c r="J217" s="1662"/>
      <c r="K217" s="1662"/>
      <c r="L217" s="1662"/>
      <c r="M217" s="1662"/>
      <c r="N217" s="1662"/>
      <c r="O217" s="1085" t="s">
        <v>2126</v>
      </c>
      <c r="P217" s="1085"/>
      <c r="Q217" s="1649">
        <f>'Part II-Development Team'!Q22</f>
        <v>0</v>
      </c>
      <c r="R217" s="1662"/>
      <c r="S217" s="1662"/>
    </row>
    <row r="218" spans="1:19">
      <c r="A218" s="1100"/>
      <c r="B218" s="1100"/>
      <c r="C218" s="1100"/>
      <c r="D218" s="859"/>
      <c r="E218" s="1085" t="s">
        <v>1083</v>
      </c>
      <c r="F218" s="838"/>
      <c r="G218" s="1100"/>
      <c r="H218" s="1649">
        <f>'Part II-Development Team'!H23</f>
        <v>0</v>
      </c>
      <c r="I218" s="1662"/>
      <c r="J218" s="1662"/>
      <c r="K218" s="1662"/>
      <c r="L218" s="1662"/>
      <c r="M218" s="1662"/>
      <c r="N218" s="1662"/>
      <c r="O218" s="1085" t="s">
        <v>1870</v>
      </c>
      <c r="P218" s="1100"/>
      <c r="Q218" s="1649">
        <f>'Part II-Development Team'!Q23</f>
        <v>0</v>
      </c>
      <c r="R218" s="1662"/>
      <c r="S218" s="1662"/>
    </row>
    <row r="219" spans="1:19">
      <c r="A219" s="1100"/>
      <c r="B219" s="1100"/>
      <c r="C219" s="1100"/>
      <c r="D219" s="859"/>
      <c r="E219" s="1085" t="s">
        <v>659</v>
      </c>
      <c r="F219" s="1100"/>
      <c r="G219" s="1100"/>
      <c r="H219" s="1649">
        <f>'Part II-Development Team'!H24</f>
        <v>0</v>
      </c>
      <c r="I219" s="1662"/>
      <c r="J219" s="1662"/>
      <c r="K219" s="1087" t="s">
        <v>2945</v>
      </c>
      <c r="L219" s="1649">
        <f>'Part II-Development Team'!L24</f>
        <v>0</v>
      </c>
      <c r="M219" s="1662"/>
      <c r="N219" s="1662"/>
      <c r="O219" s="1085" t="s">
        <v>1927</v>
      </c>
      <c r="P219" s="1100"/>
      <c r="Q219" s="1683">
        <f>'Part II-Development Team'!Q24</f>
        <v>0</v>
      </c>
      <c r="R219" s="1683"/>
      <c r="S219" s="1683"/>
    </row>
    <row r="220" spans="1:19">
      <c r="A220" s="1100"/>
      <c r="B220" s="1100"/>
      <c r="C220" s="1100"/>
      <c r="D220" s="1100"/>
      <c r="E220" s="1085" t="s">
        <v>1923</v>
      </c>
      <c r="F220" s="1100"/>
      <c r="G220" s="1100"/>
      <c r="H220" s="1087">
        <f>'Part II-Development Team'!H25</f>
        <v>0</v>
      </c>
      <c r="I220" s="1087" t="s">
        <v>3651</v>
      </c>
      <c r="J220" s="1693">
        <f>'Part II-Development Team'!J25</f>
        <v>0</v>
      </c>
      <c r="K220" s="1662"/>
      <c r="L220" s="1100"/>
      <c r="M220" s="1100"/>
      <c r="N220" s="1100"/>
      <c r="O220" s="1085" t="s">
        <v>2115</v>
      </c>
      <c r="P220" s="1100"/>
      <c r="Q220" s="1683">
        <f>'Part II-Development Team'!Q25</f>
        <v>0</v>
      </c>
      <c r="R220" s="1683"/>
      <c r="S220" s="1683"/>
    </row>
    <row r="221" spans="1:19">
      <c r="A221" s="1100"/>
      <c r="B221" s="1100"/>
      <c r="C221" s="1100"/>
      <c r="D221" s="859"/>
      <c r="E221" s="1085" t="s">
        <v>2121</v>
      </c>
      <c r="F221" s="1100"/>
      <c r="G221" s="1100"/>
      <c r="H221" s="1683">
        <f>'Part II-Development Team'!H26</f>
        <v>0</v>
      </c>
      <c r="I221" s="1683"/>
      <c r="J221" s="1090">
        <f>'Part II-Development Team'!J26</f>
        <v>0</v>
      </c>
      <c r="K221" s="1087" t="s">
        <v>1926</v>
      </c>
      <c r="L221" s="1684">
        <f>'Part II-Development Team'!L26</f>
        <v>0</v>
      </c>
      <c r="M221" s="1662"/>
      <c r="N221" s="838" t="s">
        <v>2120</v>
      </c>
      <c r="O221" s="1685">
        <f>'Part II-Development Team'!O26</f>
        <v>0</v>
      </c>
      <c r="P221" s="1685"/>
      <c r="Q221" s="1685"/>
      <c r="R221" s="1685"/>
      <c r="S221" s="1685"/>
    </row>
    <row r="222" spans="1:19">
      <c r="A222" s="1100"/>
      <c r="B222" s="1100"/>
      <c r="C222" s="1100"/>
      <c r="D222" s="859"/>
      <c r="E222" s="1100"/>
      <c r="F222" s="1100"/>
      <c r="G222" s="1085"/>
      <c r="H222" s="1032"/>
      <c r="I222" s="1032"/>
      <c r="J222" s="1032"/>
      <c r="K222" s="1087"/>
      <c r="L222" s="1032"/>
      <c r="M222" s="1032"/>
      <c r="N222" s="1087"/>
      <c r="O222" s="1032"/>
      <c r="P222" s="1032"/>
      <c r="Q222" s="1087"/>
      <c r="R222" s="1032"/>
      <c r="S222" s="1032"/>
    </row>
    <row r="223" spans="1:19">
      <c r="A223" s="1100"/>
      <c r="B223" s="1100"/>
      <c r="C223" s="1100"/>
      <c r="D223" s="835" t="s">
        <v>1856</v>
      </c>
      <c r="E223" s="1100" t="s">
        <v>1987</v>
      </c>
      <c r="F223" s="1100"/>
      <c r="G223" s="1100"/>
      <c r="H223" s="1649">
        <f>'Part II-Development Team'!H28</f>
        <v>0</v>
      </c>
      <c r="I223" s="1662"/>
      <c r="J223" s="1662"/>
      <c r="K223" s="1662"/>
      <c r="L223" s="1662"/>
      <c r="M223" s="1662"/>
      <c r="N223" s="1662"/>
      <c r="O223" s="1085" t="s">
        <v>2126</v>
      </c>
      <c r="P223" s="1085"/>
      <c r="Q223" s="1649">
        <f>'Part II-Development Team'!Q28</f>
        <v>0</v>
      </c>
      <c r="R223" s="1662"/>
      <c r="S223" s="1662"/>
    </row>
    <row r="224" spans="1:19">
      <c r="A224" s="1100"/>
      <c r="B224" s="1100"/>
      <c r="C224" s="1100"/>
      <c r="D224" s="859"/>
      <c r="E224" s="1085" t="s">
        <v>1083</v>
      </c>
      <c r="F224" s="838"/>
      <c r="G224" s="1100"/>
      <c r="H224" s="1649">
        <f>'Part II-Development Team'!H29</f>
        <v>0</v>
      </c>
      <c r="I224" s="1662"/>
      <c r="J224" s="1662"/>
      <c r="K224" s="1662"/>
      <c r="L224" s="1662"/>
      <c r="M224" s="1662"/>
      <c r="N224" s="1662"/>
      <c r="O224" s="1085" t="s">
        <v>1870</v>
      </c>
      <c r="P224" s="1100"/>
      <c r="Q224" s="1649">
        <f>'Part II-Development Team'!Q29</f>
        <v>0</v>
      </c>
      <c r="R224" s="1662"/>
      <c r="S224" s="1662"/>
    </row>
    <row r="225" spans="1:19">
      <c r="A225" s="1100"/>
      <c r="B225" s="1100"/>
      <c r="C225" s="1100"/>
      <c r="D225" s="859"/>
      <c r="E225" s="1085" t="s">
        <v>659</v>
      </c>
      <c r="F225" s="1100"/>
      <c r="G225" s="1100"/>
      <c r="H225" s="1649">
        <f>'Part II-Development Team'!H30</f>
        <v>0</v>
      </c>
      <c r="I225" s="1662"/>
      <c r="J225" s="1662"/>
      <c r="K225" s="1087" t="s">
        <v>2945</v>
      </c>
      <c r="L225" s="1649">
        <f>'Part II-Development Team'!L30</f>
        <v>0</v>
      </c>
      <c r="M225" s="1662"/>
      <c r="N225" s="1662"/>
      <c r="O225" s="1085" t="s">
        <v>1927</v>
      </c>
      <c r="P225" s="1100"/>
      <c r="Q225" s="1683">
        <f>'Part II-Development Team'!Q30</f>
        <v>0</v>
      </c>
      <c r="R225" s="1683"/>
      <c r="S225" s="1683"/>
    </row>
    <row r="226" spans="1:19">
      <c r="A226" s="1100"/>
      <c r="B226" s="1100"/>
      <c r="C226" s="1100"/>
      <c r="D226" s="1100"/>
      <c r="E226" s="1085" t="s">
        <v>1923</v>
      </c>
      <c r="F226" s="1100"/>
      <c r="G226" s="1100"/>
      <c r="H226" s="1087">
        <f>'Part II-Development Team'!H31</f>
        <v>0</v>
      </c>
      <c r="I226" s="1087" t="s">
        <v>3651</v>
      </c>
      <c r="J226" s="1693">
        <f>'Part II-Development Team'!J31</f>
        <v>0</v>
      </c>
      <c r="K226" s="1662"/>
      <c r="L226" s="1100"/>
      <c r="M226" s="1100"/>
      <c r="N226" s="1100"/>
      <c r="O226" s="1085" t="s">
        <v>2115</v>
      </c>
      <c r="P226" s="1100"/>
      <c r="Q226" s="1683">
        <f>'Part II-Development Team'!Q31</f>
        <v>0</v>
      </c>
      <c r="R226" s="1683"/>
      <c r="S226" s="1683"/>
    </row>
    <row r="227" spans="1:19">
      <c r="A227" s="1100"/>
      <c r="B227" s="1100"/>
      <c r="C227" s="1100"/>
      <c r="D227" s="859"/>
      <c r="E227" s="1085" t="s">
        <v>2121</v>
      </c>
      <c r="F227" s="1100"/>
      <c r="G227" s="1100"/>
      <c r="H227" s="1683">
        <f>'Part II-Development Team'!H32</f>
        <v>0</v>
      </c>
      <c r="I227" s="1683"/>
      <c r="J227" s="1090">
        <f>'Part II-Development Team'!J32</f>
        <v>0</v>
      </c>
      <c r="K227" s="1087" t="s">
        <v>1926</v>
      </c>
      <c r="L227" s="1684">
        <f>'Part II-Development Team'!L32</f>
        <v>0</v>
      </c>
      <c r="M227" s="1662"/>
      <c r="N227" s="838" t="s">
        <v>2120</v>
      </c>
      <c r="O227" s="1685">
        <f>'Part II-Development Team'!O32</f>
        <v>0</v>
      </c>
      <c r="P227" s="1685"/>
      <c r="Q227" s="1685"/>
      <c r="R227" s="1685"/>
      <c r="S227" s="1685"/>
    </row>
    <row r="228" spans="1:19">
      <c r="A228" s="1095"/>
      <c r="B228" s="1095"/>
      <c r="C228" s="1095"/>
      <c r="D228" s="1095"/>
      <c r="E228" s="1095"/>
      <c r="F228" s="1095"/>
      <c r="G228" s="1095"/>
      <c r="H228" s="1095"/>
      <c r="I228" s="1095"/>
      <c r="J228" s="1095"/>
      <c r="K228" s="1095"/>
      <c r="L228" s="1095"/>
      <c r="M228" s="1095"/>
      <c r="N228" s="1095"/>
      <c r="O228" s="1095"/>
      <c r="P228" s="1095"/>
      <c r="Q228" s="1095"/>
      <c r="R228" s="1095"/>
      <c r="S228" s="1095"/>
    </row>
    <row r="229" spans="1:19">
      <c r="A229" s="1100"/>
      <c r="B229" s="1100"/>
      <c r="C229" s="862" t="s">
        <v>2125</v>
      </c>
      <c r="D229" s="851" t="s">
        <v>1989</v>
      </c>
      <c r="E229" s="1100"/>
      <c r="F229" s="1100"/>
      <c r="G229" s="1100"/>
      <c r="H229" s="1100"/>
      <c r="I229" s="1100"/>
      <c r="J229" s="1100"/>
      <c r="K229" s="1100"/>
      <c r="L229" s="1100"/>
      <c r="M229" s="1100"/>
      <c r="N229" s="1100"/>
      <c r="O229" s="1100"/>
      <c r="P229" s="1100"/>
      <c r="Q229" s="1100"/>
      <c r="R229" s="1100"/>
      <c r="S229" s="1100"/>
    </row>
    <row r="230" spans="1:19">
      <c r="A230" s="1100"/>
      <c r="B230" s="1100"/>
      <c r="C230" s="863"/>
      <c r="D230" s="851"/>
      <c r="E230" s="1100"/>
      <c r="F230" s="1100"/>
      <c r="G230" s="1100"/>
      <c r="H230" s="1032"/>
      <c r="I230" s="1032"/>
      <c r="J230" s="1032"/>
      <c r="K230" s="1087"/>
      <c r="L230" s="1032"/>
      <c r="M230" s="1032"/>
      <c r="N230" s="1087"/>
      <c r="O230" s="1032"/>
      <c r="P230" s="1032"/>
      <c r="Q230" s="1087"/>
      <c r="R230" s="1032"/>
      <c r="S230" s="1032"/>
    </row>
    <row r="231" spans="1:19">
      <c r="A231" s="1100"/>
      <c r="B231" s="1100"/>
      <c r="C231" s="1100"/>
      <c r="D231" s="835" t="s">
        <v>2255</v>
      </c>
      <c r="E231" s="1100" t="s">
        <v>800</v>
      </c>
      <c r="F231" s="1100"/>
      <c r="G231" s="1100"/>
      <c r="H231" s="1649" t="str">
        <f>'Part II-Development Team'!H36</f>
        <v>Hudson Housing Capital</v>
      </c>
      <c r="I231" s="1662"/>
      <c r="J231" s="1662"/>
      <c r="K231" s="1662"/>
      <c r="L231" s="1662"/>
      <c r="M231" s="1662"/>
      <c r="N231" s="1662"/>
      <c r="O231" s="1085" t="s">
        <v>2126</v>
      </c>
      <c r="P231" s="1085"/>
      <c r="Q231" s="1649" t="str">
        <f>'Part II-Development Team'!Q36</f>
        <v>Phillip Gorgone</v>
      </c>
      <c r="R231" s="1662"/>
      <c r="S231" s="1662"/>
    </row>
    <row r="232" spans="1:19">
      <c r="A232" s="1100"/>
      <c r="B232" s="1100"/>
      <c r="C232" s="1100"/>
      <c r="D232" s="859"/>
      <c r="E232" s="1085" t="s">
        <v>1083</v>
      </c>
      <c r="F232" s="838"/>
      <c r="G232" s="1100"/>
      <c r="H232" s="1649" t="str">
        <f>'Part II-Development Team'!H37</f>
        <v>630 Fifth Avenue Suite 2850</v>
      </c>
      <c r="I232" s="1662"/>
      <c r="J232" s="1662"/>
      <c r="K232" s="1662"/>
      <c r="L232" s="1662"/>
      <c r="M232" s="1662"/>
      <c r="N232" s="1662"/>
      <c r="O232" s="1085" t="s">
        <v>1870</v>
      </c>
      <c r="P232" s="1100"/>
      <c r="Q232" s="1649" t="str">
        <f>'Part II-Development Team'!Q37</f>
        <v>Vice President</v>
      </c>
      <c r="R232" s="1662"/>
      <c r="S232" s="1662"/>
    </row>
    <row r="233" spans="1:19">
      <c r="A233" s="1100"/>
      <c r="B233" s="1100"/>
      <c r="C233" s="1100"/>
      <c r="D233" s="859"/>
      <c r="E233" s="1085" t="s">
        <v>659</v>
      </c>
      <c r="F233" s="1100"/>
      <c r="G233" s="1100"/>
      <c r="H233" s="1649" t="str">
        <f>'Part II-Development Team'!H38</f>
        <v>New York</v>
      </c>
      <c r="I233" s="1662"/>
      <c r="J233" s="1662"/>
      <c r="K233" s="1087" t="s">
        <v>2945</v>
      </c>
      <c r="L233" s="1649" t="str">
        <f>'Part II-Development Team'!L38</f>
        <v>www.hudsonhousing.com</v>
      </c>
      <c r="M233" s="1662"/>
      <c r="N233" s="1662"/>
      <c r="O233" s="1085" t="s">
        <v>1927</v>
      </c>
      <c r="P233" s="1100"/>
      <c r="Q233" s="1683">
        <f>'Part II-Development Team'!Q38</f>
        <v>6192976500</v>
      </c>
      <c r="R233" s="1683"/>
      <c r="S233" s="1683"/>
    </row>
    <row r="234" spans="1:19">
      <c r="A234" s="1100"/>
      <c r="B234" s="1100"/>
      <c r="C234" s="1100"/>
      <c r="D234" s="1100"/>
      <c r="E234" s="1085" t="s">
        <v>1923</v>
      </c>
      <c r="F234" s="1100"/>
      <c r="G234" s="1100"/>
      <c r="H234" s="1087" t="str">
        <f>'Part II-Development Team'!H39</f>
        <v>NY</v>
      </c>
      <c r="I234" s="1087" t="s">
        <v>3651</v>
      </c>
      <c r="J234" s="1693">
        <f>'Part II-Development Team'!J39</f>
        <v>101110213</v>
      </c>
      <c r="K234" s="1662"/>
      <c r="L234" s="1100"/>
      <c r="M234" s="1100"/>
      <c r="N234" s="1100"/>
      <c r="O234" s="1085" t="s">
        <v>2115</v>
      </c>
      <c r="P234" s="1100"/>
      <c r="Q234" s="1683">
        <f>'Part II-Development Team'!Q39</f>
        <v>6192043388</v>
      </c>
      <c r="R234" s="1683"/>
      <c r="S234" s="1683"/>
    </row>
    <row r="235" spans="1:19">
      <c r="A235" s="1100"/>
      <c r="B235" s="1100"/>
      <c r="C235" s="1100"/>
      <c r="D235" s="859"/>
      <c r="E235" s="1085" t="s">
        <v>2121</v>
      </c>
      <c r="F235" s="1100"/>
      <c r="G235" s="1100"/>
      <c r="H235" s="1683">
        <f>'Part II-Development Team'!H40</f>
        <v>6192976500</v>
      </c>
      <c r="I235" s="1683"/>
      <c r="J235" s="1090">
        <f>'Part II-Development Team'!J40</f>
        <v>0</v>
      </c>
      <c r="K235" s="1087" t="s">
        <v>1926</v>
      </c>
      <c r="L235" s="1684">
        <f>'Part II-Development Team'!L40</f>
        <v>0</v>
      </c>
      <c r="M235" s="1662"/>
      <c r="N235" s="838" t="s">
        <v>2120</v>
      </c>
      <c r="O235" s="1685" t="str">
        <f>'Part II-Development Team'!O40</f>
        <v>philip.gorgone@hudsonhousing.com</v>
      </c>
      <c r="P235" s="1685"/>
      <c r="Q235" s="1685"/>
      <c r="R235" s="1685"/>
      <c r="S235" s="1685"/>
    </row>
    <row r="236" spans="1:19">
      <c r="A236" s="1095"/>
      <c r="B236" s="1095"/>
      <c r="C236" s="1095"/>
      <c r="D236" s="1095"/>
      <c r="E236" s="1095"/>
      <c r="F236" s="1095"/>
      <c r="G236" s="1095"/>
      <c r="H236" s="1032"/>
      <c r="I236" s="1032"/>
      <c r="J236" s="1032"/>
      <c r="K236" s="1087"/>
      <c r="L236" s="1032"/>
      <c r="M236" s="1032"/>
      <c r="N236" s="1087"/>
      <c r="O236" s="1032"/>
      <c r="P236" s="1032"/>
      <c r="Q236" s="1087"/>
      <c r="R236" s="1032"/>
      <c r="S236" s="1032"/>
    </row>
    <row r="237" spans="1:19">
      <c r="A237" s="1100"/>
      <c r="B237" s="1100"/>
      <c r="C237" s="1100"/>
      <c r="D237" s="835" t="s">
        <v>2256</v>
      </c>
      <c r="E237" s="1100" t="s">
        <v>801</v>
      </c>
      <c r="F237" s="835"/>
      <c r="G237" s="1100"/>
      <c r="H237" s="1649" t="str">
        <f>'Part II-Development Team'!H42</f>
        <v>Sugar Creek Realty LLC</v>
      </c>
      <c r="I237" s="1662"/>
      <c r="J237" s="1662"/>
      <c r="K237" s="1662"/>
      <c r="L237" s="1662"/>
      <c r="M237" s="1662"/>
      <c r="N237" s="1662"/>
      <c r="O237" s="1085" t="s">
        <v>2126</v>
      </c>
      <c r="P237" s="1085"/>
      <c r="Q237" s="1649" t="str">
        <f>'Part II-Development Team'!Q42</f>
        <v>Chris Hite</v>
      </c>
      <c r="R237" s="1662"/>
      <c r="S237" s="1662"/>
    </row>
    <row r="238" spans="1:19">
      <c r="A238" s="1100"/>
      <c r="B238" s="1100"/>
      <c r="C238" s="1100"/>
      <c r="D238" s="859"/>
      <c r="E238" s="1085" t="s">
        <v>1083</v>
      </c>
      <c r="F238" s="838"/>
      <c r="G238" s="1100"/>
      <c r="H238" s="1649" t="str">
        <f>'Part II-Development Team'!H43</f>
        <v>17 West Lockwood</v>
      </c>
      <c r="I238" s="1662"/>
      <c r="J238" s="1662"/>
      <c r="K238" s="1662"/>
      <c r="L238" s="1662"/>
      <c r="M238" s="1662"/>
      <c r="N238" s="1662"/>
      <c r="O238" s="1085" t="s">
        <v>1870</v>
      </c>
      <c r="P238" s="1100"/>
      <c r="Q238" s="1649" t="str">
        <f>'Part II-Development Team'!Q43</f>
        <v>Director of State Tax Credits</v>
      </c>
      <c r="R238" s="1662"/>
      <c r="S238" s="1662"/>
    </row>
    <row r="239" spans="1:19">
      <c r="A239" s="1100"/>
      <c r="B239" s="1100"/>
      <c r="C239" s="1100"/>
      <c r="D239" s="859"/>
      <c r="E239" s="1085" t="s">
        <v>659</v>
      </c>
      <c r="F239" s="1100"/>
      <c r="G239" s="1100"/>
      <c r="H239" s="1649" t="str">
        <f>'Part II-Development Team'!H44</f>
        <v>St. Loius</v>
      </c>
      <c r="I239" s="1662"/>
      <c r="J239" s="1662"/>
      <c r="K239" s="1087" t="s">
        <v>2945</v>
      </c>
      <c r="L239" s="1649" t="str">
        <f>'Part II-Development Team'!L44</f>
        <v>www.sugarcreekcapital.com</v>
      </c>
      <c r="M239" s="1662"/>
      <c r="N239" s="1662"/>
      <c r="O239" s="1085" t="s">
        <v>1927</v>
      </c>
      <c r="P239" s="1100"/>
      <c r="Q239" s="1683">
        <f>'Part II-Development Team'!Q44</f>
        <v>3149682205</v>
      </c>
      <c r="R239" s="1683"/>
      <c r="S239" s="1683"/>
    </row>
    <row r="240" spans="1:19">
      <c r="A240" s="1100"/>
      <c r="B240" s="1100"/>
      <c r="C240" s="1100"/>
      <c r="D240" s="835"/>
      <c r="E240" s="1085" t="s">
        <v>1923</v>
      </c>
      <c r="F240" s="1100"/>
      <c r="G240" s="1100"/>
      <c r="H240" s="1087" t="str">
        <f>'Part II-Development Team'!H45</f>
        <v>MO</v>
      </c>
      <c r="I240" s="1087" t="s">
        <v>3651</v>
      </c>
      <c r="J240" s="1693">
        <f>'Part II-Development Team'!J45</f>
        <v>631192931</v>
      </c>
      <c r="K240" s="1662"/>
      <c r="L240" s="1100"/>
      <c r="M240" s="1100"/>
      <c r="N240" s="1100"/>
      <c r="O240" s="1085" t="s">
        <v>2115</v>
      </c>
      <c r="P240" s="1100"/>
      <c r="Q240" s="1683">
        <f>'Part II-Development Team'!Q45</f>
        <v>3144821700</v>
      </c>
      <c r="R240" s="1683"/>
      <c r="S240" s="1683"/>
    </row>
    <row r="241" spans="1:19">
      <c r="A241" s="1100"/>
      <c r="B241" s="1100"/>
      <c r="C241" s="1100"/>
      <c r="D241" s="859"/>
      <c r="E241" s="1085" t="s">
        <v>2121</v>
      </c>
      <c r="F241" s="1100"/>
      <c r="G241" s="1100"/>
      <c r="H241" s="1683">
        <f>'Part II-Development Team'!H46</f>
        <v>3149682205</v>
      </c>
      <c r="I241" s="1683"/>
      <c r="J241" s="1090">
        <f>'Part II-Development Team'!J46</f>
        <v>158</v>
      </c>
      <c r="K241" s="1087" t="s">
        <v>1926</v>
      </c>
      <c r="L241" s="1684">
        <f>'Part II-Development Team'!L46</f>
        <v>0</v>
      </c>
      <c r="M241" s="1662"/>
      <c r="N241" s="838" t="s">
        <v>2120</v>
      </c>
      <c r="O241" s="1685" t="str">
        <f>'Part II-Development Team'!O46</f>
        <v>chite@sugarcreekrealtyllc.com</v>
      </c>
      <c r="P241" s="1685"/>
      <c r="Q241" s="1685"/>
      <c r="R241" s="1685"/>
      <c r="S241" s="1685"/>
    </row>
    <row r="242" spans="1:19">
      <c r="A242" s="1100"/>
      <c r="B242" s="1100"/>
      <c r="C242" s="1100"/>
      <c r="D242" s="859"/>
      <c r="E242" s="1085"/>
      <c r="F242" s="835"/>
      <c r="G242" s="1100"/>
      <c r="H242" s="1094"/>
      <c r="I242" s="1094"/>
      <c r="J242" s="1029"/>
      <c r="K242" s="1087"/>
      <c r="L242" s="1094"/>
      <c r="M242" s="1094"/>
      <c r="N242" s="1087"/>
      <c r="O242" s="1094"/>
      <c r="P242" s="1094"/>
      <c r="Q242" s="1087"/>
      <c r="R242" s="1094"/>
      <c r="S242" s="1094"/>
    </row>
    <row r="243" spans="1:19">
      <c r="A243" s="1100"/>
      <c r="B243" s="1100"/>
      <c r="C243" s="863" t="s">
        <v>2709</v>
      </c>
      <c r="D243" s="851" t="s">
        <v>696</v>
      </c>
      <c r="E243" s="1100"/>
      <c r="F243" s="1100"/>
      <c r="G243" s="1100"/>
      <c r="H243" s="1100"/>
      <c r="I243" s="1100"/>
      <c r="J243" s="1100"/>
      <c r="K243" s="1100"/>
      <c r="L243" s="1100"/>
      <c r="M243" s="1100"/>
      <c r="N243" s="1100"/>
      <c r="O243" s="1100"/>
      <c r="P243" s="1100"/>
      <c r="Q243" s="1100"/>
      <c r="R243" s="1100"/>
      <c r="S243" s="1100"/>
    </row>
    <row r="244" spans="1:19">
      <c r="A244" s="1100"/>
      <c r="B244" s="1100"/>
      <c r="C244" s="1100"/>
      <c r="D244" s="863"/>
      <c r="E244" s="850"/>
      <c r="F244" s="1100"/>
      <c r="G244" s="1100"/>
      <c r="H244" s="1032"/>
      <c r="I244" s="1032"/>
      <c r="J244" s="1032"/>
      <c r="K244" s="1087"/>
      <c r="L244" s="1032"/>
      <c r="M244" s="1032"/>
      <c r="N244" s="1087"/>
      <c r="O244" s="1032"/>
      <c r="P244" s="1032"/>
      <c r="Q244" s="1087"/>
      <c r="R244" s="1032"/>
      <c r="S244" s="1032"/>
    </row>
    <row r="245" spans="1:19">
      <c r="A245" s="1100"/>
      <c r="B245" s="1100"/>
      <c r="C245" s="1100"/>
      <c r="D245" s="1100"/>
      <c r="E245" s="1100" t="s">
        <v>95</v>
      </c>
      <c r="F245" s="1100"/>
      <c r="G245" s="1100"/>
      <c r="H245" s="1649" t="str">
        <f>'Part II-Development Team'!H50</f>
        <v>Gateway General Partner I, Inc.</v>
      </c>
      <c r="I245" s="1662"/>
      <c r="J245" s="1662"/>
      <c r="K245" s="1662"/>
      <c r="L245" s="1662"/>
      <c r="M245" s="1662"/>
      <c r="N245" s="1662"/>
      <c r="O245" s="1085" t="s">
        <v>2126</v>
      </c>
      <c r="P245" s="1085"/>
      <c r="Q245" s="1649" t="str">
        <f>'Part II-Development Team'!Q50</f>
        <v>Douglas S. Faust</v>
      </c>
      <c r="R245" s="1662"/>
      <c r="S245" s="1662"/>
    </row>
    <row r="246" spans="1:19">
      <c r="A246" s="1100"/>
      <c r="B246" s="1100"/>
      <c r="C246" s="1100"/>
      <c r="D246" s="859"/>
      <c r="E246" s="1085" t="s">
        <v>1083</v>
      </c>
      <c r="F246" s="838"/>
      <c r="G246" s="1100"/>
      <c r="H246" s="1649" t="str">
        <f>'Part II-Development Team'!H51</f>
        <v>750 Commerce Drive Suite 110</v>
      </c>
      <c r="I246" s="1662"/>
      <c r="J246" s="1662"/>
      <c r="K246" s="1662"/>
      <c r="L246" s="1662"/>
      <c r="M246" s="1662"/>
      <c r="N246" s="1662"/>
      <c r="O246" s="1085" t="s">
        <v>1870</v>
      </c>
      <c r="P246" s="1100"/>
      <c r="Q246" s="1649" t="str">
        <f>'Part II-Development Team'!Q51</f>
        <v>Secretary/Treasurer</v>
      </c>
      <c r="R246" s="1662"/>
      <c r="S246" s="1662"/>
    </row>
    <row r="247" spans="1:19">
      <c r="A247" s="1100"/>
      <c r="B247" s="1100"/>
      <c r="C247" s="1100"/>
      <c r="D247" s="859"/>
      <c r="E247" s="1085" t="s">
        <v>659</v>
      </c>
      <c r="F247" s="1100"/>
      <c r="G247" s="1100"/>
      <c r="H247" s="1649" t="str">
        <f>'Part II-Development Team'!H52</f>
        <v>Decatur</v>
      </c>
      <c r="I247" s="1662"/>
      <c r="J247" s="1662"/>
      <c r="K247" s="1087" t="s">
        <v>2945</v>
      </c>
      <c r="L247" s="1649" t="str">
        <f>'Part II-Development Team'!L52</f>
        <v>www.decaturha.org</v>
      </c>
      <c r="M247" s="1662"/>
      <c r="N247" s="1662"/>
      <c r="O247" s="1085" t="s">
        <v>1927</v>
      </c>
      <c r="P247" s="1100"/>
      <c r="Q247" s="1683">
        <f>'Part II-Development Team'!Q52</f>
        <v>4042702101</v>
      </c>
      <c r="R247" s="1683"/>
      <c r="S247" s="1683"/>
    </row>
    <row r="248" spans="1:19">
      <c r="A248" s="1100"/>
      <c r="B248" s="1100"/>
      <c r="C248" s="1100"/>
      <c r="D248" s="1100"/>
      <c r="E248" s="1085" t="s">
        <v>1923</v>
      </c>
      <c r="F248" s="1100"/>
      <c r="G248" s="1100"/>
      <c r="H248" s="1087" t="str">
        <f>'Part II-Development Team'!H53</f>
        <v>GA</v>
      </c>
      <c r="I248" s="1087" t="s">
        <v>3651</v>
      </c>
      <c r="J248" s="1693">
        <f>'Part II-Development Team'!J53</f>
        <v>300302612</v>
      </c>
      <c r="K248" s="1662"/>
      <c r="L248" s="1100"/>
      <c r="M248" s="1100"/>
      <c r="N248" s="1100"/>
      <c r="O248" s="1085" t="s">
        <v>2115</v>
      </c>
      <c r="P248" s="1100"/>
      <c r="Q248" s="1683">
        <f>'Part II-Development Team'!Q53</f>
        <v>4049155811</v>
      </c>
      <c r="R248" s="1683"/>
      <c r="S248" s="1683"/>
    </row>
    <row r="249" spans="1:19">
      <c r="A249" s="1100"/>
      <c r="B249" s="1100"/>
      <c r="C249" s="1100"/>
      <c r="D249" s="859"/>
      <c r="E249" s="1085" t="s">
        <v>2121</v>
      </c>
      <c r="F249" s="1100"/>
      <c r="G249" s="1100"/>
      <c r="H249" s="1683">
        <f>'Part II-Development Team'!H54</f>
        <v>4042702101</v>
      </c>
      <c r="I249" s="1683"/>
      <c r="J249" s="1090">
        <f>'Part II-Development Team'!J54</f>
        <v>0</v>
      </c>
      <c r="K249" s="1087" t="s">
        <v>1926</v>
      </c>
      <c r="L249" s="1684">
        <f>'Part II-Development Team'!L54</f>
        <v>4042702123</v>
      </c>
      <c r="M249" s="1662"/>
      <c r="N249" s="838" t="s">
        <v>2120</v>
      </c>
      <c r="O249" s="1685" t="str">
        <f>'Part II-Development Team'!O54</f>
        <v>dsf@decaturha.org</v>
      </c>
      <c r="P249" s="1685"/>
      <c r="Q249" s="1685"/>
      <c r="R249" s="1685"/>
      <c r="S249" s="1685"/>
    </row>
    <row r="250" spans="1:19">
      <c r="A250" s="1095"/>
      <c r="B250" s="1095"/>
      <c r="C250" s="1095"/>
      <c r="D250" s="1095"/>
      <c r="E250" s="1095"/>
      <c r="F250" s="1095"/>
      <c r="G250" s="1095"/>
      <c r="H250" s="1095"/>
      <c r="I250" s="1095"/>
      <c r="J250" s="1095"/>
      <c r="K250" s="1095"/>
      <c r="L250" s="1095"/>
      <c r="M250" s="1095"/>
      <c r="N250" s="1095"/>
      <c r="O250" s="1095"/>
      <c r="P250" s="1095"/>
      <c r="Q250" s="1095"/>
      <c r="R250" s="1095"/>
      <c r="S250" s="1095"/>
    </row>
    <row r="251" spans="1:19">
      <c r="A251" s="835" t="s">
        <v>790</v>
      </c>
      <c r="B251" s="835" t="s">
        <v>697</v>
      </c>
      <c r="C251" s="1100"/>
      <c r="D251" s="1100"/>
      <c r="E251" s="1100"/>
      <c r="F251" s="835"/>
      <c r="G251" s="1087"/>
      <c r="H251" s="1087"/>
      <c r="I251" s="1087"/>
      <c r="J251" s="1100"/>
      <c r="K251" s="1100"/>
      <c r="L251" s="1100"/>
      <c r="M251" s="1100"/>
      <c r="N251" s="1100"/>
      <c r="O251" s="1100"/>
      <c r="P251" s="1100"/>
      <c r="Q251" s="1100"/>
      <c r="R251" s="1100"/>
      <c r="S251" s="1100"/>
    </row>
    <row r="252" spans="1:19">
      <c r="A252" s="835"/>
      <c r="B252" s="835"/>
      <c r="C252" s="1100"/>
      <c r="D252" s="1100"/>
      <c r="E252" s="1100"/>
      <c r="F252" s="835"/>
      <c r="G252" s="1087"/>
      <c r="H252" s="1032"/>
      <c r="I252" s="1032"/>
      <c r="J252" s="1032"/>
      <c r="K252" s="1087"/>
      <c r="L252" s="1032"/>
      <c r="M252" s="1032"/>
      <c r="N252" s="1087"/>
      <c r="O252" s="1032"/>
      <c r="P252" s="1032"/>
      <c r="Q252" s="1087"/>
      <c r="R252" s="1032"/>
      <c r="S252" s="1032"/>
    </row>
    <row r="253" spans="1:19">
      <c r="A253" s="1100"/>
      <c r="B253" s="835" t="s">
        <v>2119</v>
      </c>
      <c r="C253" s="835" t="s">
        <v>298</v>
      </c>
      <c r="D253" s="1100"/>
      <c r="E253" s="1100"/>
      <c r="F253" s="1100"/>
      <c r="G253" s="1100"/>
      <c r="H253" s="1649" t="str">
        <f>'Part II-Development Team'!H58</f>
        <v>Preserving Affordable Housing, Inc.</v>
      </c>
      <c r="I253" s="1662"/>
      <c r="J253" s="1662"/>
      <c r="K253" s="1662"/>
      <c r="L253" s="1662"/>
      <c r="M253" s="1662"/>
      <c r="N253" s="1662"/>
      <c r="O253" s="1085" t="s">
        <v>2126</v>
      </c>
      <c r="P253" s="1085"/>
      <c r="Q253" s="1649" t="str">
        <f>'Part II-Development Team'!Q58</f>
        <v>Douglas S. Faust</v>
      </c>
      <c r="R253" s="1662"/>
      <c r="S253" s="1662"/>
    </row>
    <row r="254" spans="1:19">
      <c r="A254" s="1100"/>
      <c r="B254" s="1100"/>
      <c r="C254" s="1100"/>
      <c r="D254" s="859"/>
      <c r="E254" s="1085" t="s">
        <v>1083</v>
      </c>
      <c r="F254" s="838"/>
      <c r="G254" s="1100"/>
      <c r="H254" s="1649" t="str">
        <f>'Part II-Development Team'!H59</f>
        <v>750 Commerce Drive Suite 110</v>
      </c>
      <c r="I254" s="1662"/>
      <c r="J254" s="1662"/>
      <c r="K254" s="1662"/>
      <c r="L254" s="1662"/>
      <c r="M254" s="1662"/>
      <c r="N254" s="1662"/>
      <c r="O254" s="1085" t="s">
        <v>1870</v>
      </c>
      <c r="P254" s="1100"/>
      <c r="Q254" s="1649" t="str">
        <f>'Part II-Development Team'!Q59</f>
        <v>Secretary/Treasurer</v>
      </c>
      <c r="R254" s="1662"/>
      <c r="S254" s="1662"/>
    </row>
    <row r="255" spans="1:19">
      <c r="A255" s="1100"/>
      <c r="B255" s="1100"/>
      <c r="C255" s="1100"/>
      <c r="D255" s="859"/>
      <c r="E255" s="1085" t="s">
        <v>659</v>
      </c>
      <c r="F255" s="1100"/>
      <c r="G255" s="1100"/>
      <c r="H255" s="1649" t="str">
        <f>'Part II-Development Team'!H60</f>
        <v>Decatur</v>
      </c>
      <c r="I255" s="1662"/>
      <c r="J255" s="1662"/>
      <c r="K255" s="1087" t="s">
        <v>2945</v>
      </c>
      <c r="L255" s="1649" t="str">
        <f>'Part II-Development Team'!L60</f>
        <v>www.decaturha.org</v>
      </c>
      <c r="M255" s="1662"/>
      <c r="N255" s="1662"/>
      <c r="O255" s="1085" t="s">
        <v>1927</v>
      </c>
      <c r="P255" s="1100"/>
      <c r="Q255" s="1683">
        <f>'Part II-Development Team'!Q60</f>
        <v>4042702101</v>
      </c>
      <c r="R255" s="1683"/>
      <c r="S255" s="1683"/>
    </row>
    <row r="256" spans="1:19">
      <c r="A256" s="1100"/>
      <c r="B256" s="1100"/>
      <c r="C256" s="1100"/>
      <c r="D256" s="1100"/>
      <c r="E256" s="1085" t="s">
        <v>1923</v>
      </c>
      <c r="F256" s="1100"/>
      <c r="G256" s="1100"/>
      <c r="H256" s="1087" t="str">
        <f>'Part II-Development Team'!H61</f>
        <v>GA</v>
      </c>
      <c r="I256" s="1087" t="s">
        <v>3651</v>
      </c>
      <c r="J256" s="1693">
        <f>'Part II-Development Team'!J61</f>
        <v>300302612</v>
      </c>
      <c r="K256" s="1662"/>
      <c r="L256" s="1100"/>
      <c r="M256" s="1100"/>
      <c r="N256" s="1100"/>
      <c r="O256" s="1085" t="s">
        <v>2115</v>
      </c>
      <c r="P256" s="1100"/>
      <c r="Q256" s="1683">
        <f>'Part II-Development Team'!Q61</f>
        <v>4049155811</v>
      </c>
      <c r="R256" s="1683"/>
      <c r="S256" s="1683"/>
    </row>
    <row r="257" spans="1:19">
      <c r="A257" s="1100"/>
      <c r="B257" s="1100"/>
      <c r="C257" s="1100"/>
      <c r="D257" s="859"/>
      <c r="E257" s="1085" t="s">
        <v>2121</v>
      </c>
      <c r="F257" s="1100"/>
      <c r="G257" s="1100"/>
      <c r="H257" s="1683">
        <f>'Part II-Development Team'!H62</f>
        <v>4042702101</v>
      </c>
      <c r="I257" s="1683"/>
      <c r="J257" s="1090">
        <f>'Part II-Development Team'!J62</f>
        <v>0</v>
      </c>
      <c r="K257" s="1087" t="s">
        <v>1926</v>
      </c>
      <c r="L257" s="1684">
        <f>'Part II-Development Team'!L62</f>
        <v>4042702123</v>
      </c>
      <c r="M257" s="1662"/>
      <c r="N257" s="838" t="s">
        <v>2120</v>
      </c>
      <c r="O257" s="1685" t="str">
        <f>'Part II-Development Team'!O62</f>
        <v>dsf@decaturha.org</v>
      </c>
      <c r="P257" s="1685"/>
      <c r="Q257" s="1685"/>
      <c r="R257" s="1685"/>
      <c r="S257" s="1685"/>
    </row>
    <row r="258" spans="1:19">
      <c r="A258" s="1100"/>
      <c r="B258" s="1100"/>
      <c r="C258" s="1100"/>
      <c r="D258" s="859"/>
      <c r="E258" s="1100"/>
      <c r="F258" s="1100"/>
      <c r="G258" s="1085"/>
      <c r="H258" s="1032"/>
      <c r="I258" s="1032"/>
      <c r="J258" s="1032"/>
      <c r="K258" s="1087"/>
      <c r="L258" s="1032"/>
      <c r="M258" s="1032"/>
      <c r="N258" s="1087"/>
      <c r="O258" s="1032"/>
      <c r="P258" s="1032"/>
      <c r="Q258" s="1087"/>
      <c r="R258" s="1032"/>
      <c r="S258" s="1032"/>
    </row>
    <row r="259" spans="1:19">
      <c r="A259" s="1100"/>
      <c r="B259" s="835" t="s">
        <v>2122</v>
      </c>
      <c r="C259" s="835" t="s">
        <v>299</v>
      </c>
      <c r="D259" s="1100"/>
      <c r="E259" s="1100"/>
      <c r="F259" s="1100"/>
      <c r="G259" s="1100"/>
      <c r="H259" s="1649">
        <f>'Part II-Development Team'!H64</f>
        <v>0</v>
      </c>
      <c r="I259" s="1662"/>
      <c r="J259" s="1662"/>
      <c r="K259" s="1662"/>
      <c r="L259" s="1662"/>
      <c r="M259" s="1662"/>
      <c r="N259" s="1662"/>
      <c r="O259" s="1085" t="s">
        <v>2126</v>
      </c>
      <c r="P259" s="1085"/>
      <c r="Q259" s="1649">
        <f>'Part II-Development Team'!Q64</f>
        <v>0</v>
      </c>
      <c r="R259" s="1662"/>
      <c r="S259" s="1662"/>
    </row>
    <row r="260" spans="1:19">
      <c r="A260" s="1100"/>
      <c r="B260" s="1100"/>
      <c r="C260" s="1100"/>
      <c r="D260" s="859"/>
      <c r="E260" s="1085" t="s">
        <v>1083</v>
      </c>
      <c r="F260" s="838"/>
      <c r="G260" s="1100"/>
      <c r="H260" s="1649">
        <f>'Part II-Development Team'!H65</f>
        <v>0</v>
      </c>
      <c r="I260" s="1662"/>
      <c r="J260" s="1662"/>
      <c r="K260" s="1662"/>
      <c r="L260" s="1662"/>
      <c r="M260" s="1662"/>
      <c r="N260" s="1662"/>
      <c r="O260" s="1085" t="s">
        <v>1870</v>
      </c>
      <c r="P260" s="1100"/>
      <c r="Q260" s="1649">
        <f>'Part II-Development Team'!Q65</f>
        <v>0</v>
      </c>
      <c r="R260" s="1662"/>
      <c r="S260" s="1662"/>
    </row>
    <row r="261" spans="1:19">
      <c r="A261" s="1100"/>
      <c r="B261" s="1100"/>
      <c r="C261" s="1100"/>
      <c r="D261" s="859"/>
      <c r="E261" s="1085" t="s">
        <v>659</v>
      </c>
      <c r="F261" s="1100"/>
      <c r="G261" s="1100"/>
      <c r="H261" s="1649">
        <f>'Part II-Development Team'!H66</f>
        <v>0</v>
      </c>
      <c r="I261" s="1662"/>
      <c r="J261" s="1662"/>
      <c r="K261" s="1087" t="s">
        <v>2945</v>
      </c>
      <c r="L261" s="1649">
        <f>'Part II-Development Team'!L66</f>
        <v>0</v>
      </c>
      <c r="M261" s="1662"/>
      <c r="N261" s="1662"/>
      <c r="O261" s="1085" t="s">
        <v>1927</v>
      </c>
      <c r="P261" s="1100"/>
      <c r="Q261" s="1683">
        <f>'Part II-Development Team'!Q66</f>
        <v>0</v>
      </c>
      <c r="R261" s="1683"/>
      <c r="S261" s="1683"/>
    </row>
    <row r="262" spans="1:19">
      <c r="A262" s="1100"/>
      <c r="B262" s="1100"/>
      <c r="C262" s="1100"/>
      <c r="D262" s="1100"/>
      <c r="E262" s="1085" t="s">
        <v>1923</v>
      </c>
      <c r="F262" s="1100"/>
      <c r="G262" s="1100"/>
      <c r="H262" s="1087">
        <f>'Part II-Development Team'!H67</f>
        <v>0</v>
      </c>
      <c r="I262" s="1087" t="s">
        <v>3651</v>
      </c>
      <c r="J262" s="1693">
        <f>'Part II-Development Team'!J67</f>
        <v>0</v>
      </c>
      <c r="K262" s="1662"/>
      <c r="L262" s="1100"/>
      <c r="M262" s="1100"/>
      <c r="N262" s="1100"/>
      <c r="O262" s="1085" t="s">
        <v>2115</v>
      </c>
      <c r="P262" s="1100"/>
      <c r="Q262" s="1683">
        <f>'Part II-Development Team'!Q67</f>
        <v>0</v>
      </c>
      <c r="R262" s="1683"/>
      <c r="S262" s="1683"/>
    </row>
    <row r="263" spans="1:19">
      <c r="A263" s="1100"/>
      <c r="B263" s="1100"/>
      <c r="C263" s="1100"/>
      <c r="D263" s="859"/>
      <c r="E263" s="1085" t="s">
        <v>2121</v>
      </c>
      <c r="F263" s="1100"/>
      <c r="G263" s="1100"/>
      <c r="H263" s="1683">
        <f>'Part II-Development Team'!H68</f>
        <v>0</v>
      </c>
      <c r="I263" s="1683"/>
      <c r="J263" s="1090">
        <f>'Part II-Development Team'!J68</f>
        <v>0</v>
      </c>
      <c r="K263" s="1087" t="s">
        <v>1926</v>
      </c>
      <c r="L263" s="1684">
        <f>'Part II-Development Team'!L68</f>
        <v>0</v>
      </c>
      <c r="M263" s="1662"/>
      <c r="N263" s="838" t="s">
        <v>2120</v>
      </c>
      <c r="O263" s="1685">
        <f>'Part II-Development Team'!O68</f>
        <v>0</v>
      </c>
      <c r="P263" s="1685"/>
      <c r="Q263" s="1685"/>
      <c r="R263" s="1685"/>
      <c r="S263" s="1685"/>
    </row>
    <row r="264" spans="1:19">
      <c r="A264" s="1100"/>
      <c r="B264" s="1100"/>
      <c r="C264" s="1100"/>
      <c r="D264" s="859"/>
      <c r="E264" s="1100"/>
      <c r="F264" s="1100"/>
      <c r="G264" s="1085"/>
      <c r="H264" s="1032"/>
      <c r="I264" s="1032"/>
      <c r="J264" s="1032"/>
      <c r="K264" s="1087"/>
      <c r="L264" s="1032"/>
      <c r="M264" s="1032"/>
      <c r="N264" s="1087"/>
      <c r="O264" s="1032"/>
      <c r="P264" s="1032"/>
      <c r="Q264" s="1087"/>
      <c r="R264" s="1032"/>
      <c r="S264" s="1032"/>
    </row>
    <row r="265" spans="1:19">
      <c r="A265" s="1100"/>
      <c r="B265" s="835" t="s">
        <v>799</v>
      </c>
      <c r="C265" s="835" t="s">
        <v>1634</v>
      </c>
      <c r="D265" s="1100"/>
      <c r="E265" s="1100"/>
      <c r="F265" s="1100"/>
      <c r="G265" s="1100"/>
      <c r="H265" s="1649">
        <f>'Part II-Development Team'!H70</f>
        <v>0</v>
      </c>
      <c r="I265" s="1662"/>
      <c r="J265" s="1662"/>
      <c r="K265" s="1662"/>
      <c r="L265" s="1662"/>
      <c r="M265" s="1662"/>
      <c r="N265" s="1662"/>
      <c r="O265" s="1085" t="s">
        <v>2126</v>
      </c>
      <c r="P265" s="1085"/>
      <c r="Q265" s="1649">
        <f>'Part II-Development Team'!Q70</f>
        <v>0</v>
      </c>
      <c r="R265" s="1662"/>
      <c r="S265" s="1662"/>
    </row>
    <row r="266" spans="1:19">
      <c r="A266" s="1100"/>
      <c r="B266" s="1100"/>
      <c r="C266" s="1100"/>
      <c r="D266" s="859"/>
      <c r="E266" s="1085" t="s">
        <v>1083</v>
      </c>
      <c r="F266" s="838"/>
      <c r="G266" s="1100"/>
      <c r="H266" s="1649">
        <f>'Part II-Development Team'!H71</f>
        <v>0</v>
      </c>
      <c r="I266" s="1662"/>
      <c r="J266" s="1662"/>
      <c r="K266" s="1662"/>
      <c r="L266" s="1662"/>
      <c r="M266" s="1662"/>
      <c r="N266" s="1662"/>
      <c r="O266" s="1085" t="s">
        <v>1870</v>
      </c>
      <c r="P266" s="1100"/>
      <c r="Q266" s="1649">
        <f>'Part II-Development Team'!Q71</f>
        <v>0</v>
      </c>
      <c r="R266" s="1662"/>
      <c r="S266" s="1662"/>
    </row>
    <row r="267" spans="1:19">
      <c r="A267" s="1100"/>
      <c r="B267" s="1100"/>
      <c r="C267" s="1100"/>
      <c r="D267" s="859"/>
      <c r="E267" s="1085" t="s">
        <v>659</v>
      </c>
      <c r="F267" s="1100"/>
      <c r="G267" s="1100"/>
      <c r="H267" s="1649">
        <f>'Part II-Development Team'!H72</f>
        <v>0</v>
      </c>
      <c r="I267" s="1662"/>
      <c r="J267" s="1662"/>
      <c r="K267" s="1087" t="s">
        <v>2945</v>
      </c>
      <c r="L267" s="1649">
        <f>'Part II-Development Team'!L72</f>
        <v>0</v>
      </c>
      <c r="M267" s="1662"/>
      <c r="N267" s="1662"/>
      <c r="O267" s="1085" t="s">
        <v>1927</v>
      </c>
      <c r="P267" s="1100"/>
      <c r="Q267" s="1683">
        <f>'Part II-Development Team'!Q72</f>
        <v>0</v>
      </c>
      <c r="R267" s="1683"/>
      <c r="S267" s="1683"/>
    </row>
    <row r="268" spans="1:19">
      <c r="A268" s="1100"/>
      <c r="B268" s="1100"/>
      <c r="C268" s="1100"/>
      <c r="D268" s="1100"/>
      <c r="E268" s="1085" t="s">
        <v>1923</v>
      </c>
      <c r="F268" s="1100"/>
      <c r="G268" s="1100"/>
      <c r="H268" s="1087">
        <f>'Part II-Development Team'!H73</f>
        <v>0</v>
      </c>
      <c r="I268" s="1087" t="s">
        <v>3651</v>
      </c>
      <c r="J268" s="1693">
        <f>'Part II-Development Team'!J73</f>
        <v>0</v>
      </c>
      <c r="K268" s="1662"/>
      <c r="L268" s="1100"/>
      <c r="M268" s="1100"/>
      <c r="N268" s="1100"/>
      <c r="O268" s="1085" t="s">
        <v>2115</v>
      </c>
      <c r="P268" s="1100"/>
      <c r="Q268" s="1683">
        <f>'Part II-Development Team'!Q73</f>
        <v>0</v>
      </c>
      <c r="R268" s="1683"/>
      <c r="S268" s="1683"/>
    </row>
    <row r="269" spans="1:19">
      <c r="A269" s="1100"/>
      <c r="B269" s="1100"/>
      <c r="C269" s="1100"/>
      <c r="D269" s="859"/>
      <c r="E269" s="1085" t="s">
        <v>2121</v>
      </c>
      <c r="F269" s="1100"/>
      <c r="G269" s="1100"/>
      <c r="H269" s="1683">
        <f>'Part II-Development Team'!H74</f>
        <v>0</v>
      </c>
      <c r="I269" s="1683"/>
      <c r="J269" s="1090">
        <f>'Part II-Development Team'!J74</f>
        <v>0</v>
      </c>
      <c r="K269" s="1087" t="s">
        <v>1926</v>
      </c>
      <c r="L269" s="1684">
        <f>'Part II-Development Team'!L74</f>
        <v>0</v>
      </c>
      <c r="M269" s="1662"/>
      <c r="N269" s="838" t="s">
        <v>2120</v>
      </c>
      <c r="O269" s="1685">
        <f>'Part II-Development Team'!O74</f>
        <v>0</v>
      </c>
      <c r="P269" s="1685"/>
      <c r="Q269" s="1685"/>
      <c r="R269" s="1685"/>
      <c r="S269" s="1685"/>
    </row>
    <row r="270" spans="1:19">
      <c r="A270" s="1095"/>
      <c r="B270" s="1095"/>
      <c r="C270" s="1095"/>
      <c r="D270" s="1095"/>
      <c r="E270" s="1095"/>
      <c r="F270" s="1095"/>
      <c r="G270" s="1095"/>
      <c r="H270" s="1032"/>
      <c r="I270" s="1032"/>
      <c r="J270" s="1032"/>
      <c r="K270" s="1087"/>
      <c r="L270" s="1032"/>
      <c r="M270" s="1032"/>
      <c r="N270" s="1087"/>
      <c r="O270" s="1032"/>
      <c r="P270" s="1032"/>
      <c r="Q270" s="1087"/>
      <c r="R270" s="1032"/>
      <c r="S270" s="1032"/>
    </row>
    <row r="271" spans="1:19">
      <c r="A271" s="1100"/>
      <c r="B271" s="835" t="s">
        <v>2254</v>
      </c>
      <c r="C271" s="835" t="s">
        <v>300</v>
      </c>
      <c r="D271" s="1100"/>
      <c r="E271" s="1100"/>
      <c r="F271" s="1100"/>
      <c r="G271" s="1100"/>
      <c r="H271" s="1649">
        <f>'Part II-Development Team'!H76</f>
        <v>0</v>
      </c>
      <c r="I271" s="1662"/>
      <c r="J271" s="1662"/>
      <c r="K271" s="1662"/>
      <c r="L271" s="1662"/>
      <c r="M271" s="1662"/>
      <c r="N271" s="1662"/>
      <c r="O271" s="1085" t="s">
        <v>2126</v>
      </c>
      <c r="P271" s="1085"/>
      <c r="Q271" s="1649">
        <f>'Part II-Development Team'!Q76</f>
        <v>0</v>
      </c>
      <c r="R271" s="1662"/>
      <c r="S271" s="1662"/>
    </row>
    <row r="272" spans="1:19">
      <c r="A272" s="1100"/>
      <c r="B272" s="1100"/>
      <c r="C272" s="1100"/>
      <c r="D272" s="859"/>
      <c r="E272" s="1085" t="s">
        <v>1083</v>
      </c>
      <c r="F272" s="838"/>
      <c r="G272" s="1100"/>
      <c r="H272" s="1649">
        <f>'Part II-Development Team'!H77</f>
        <v>0</v>
      </c>
      <c r="I272" s="1662"/>
      <c r="J272" s="1662"/>
      <c r="K272" s="1662"/>
      <c r="L272" s="1662"/>
      <c r="M272" s="1662"/>
      <c r="N272" s="1662"/>
      <c r="O272" s="1085" t="s">
        <v>1870</v>
      </c>
      <c r="P272" s="1100"/>
      <c r="Q272" s="1649">
        <f>'Part II-Development Team'!Q77</f>
        <v>0</v>
      </c>
      <c r="R272" s="1662"/>
      <c r="S272" s="1662"/>
    </row>
    <row r="273" spans="1:19">
      <c r="A273" s="1100"/>
      <c r="B273" s="1100"/>
      <c r="C273" s="1100"/>
      <c r="D273" s="859"/>
      <c r="E273" s="1085" t="s">
        <v>659</v>
      </c>
      <c r="F273" s="1100"/>
      <c r="G273" s="1100"/>
      <c r="H273" s="1649">
        <f>'Part II-Development Team'!H78</f>
        <v>0</v>
      </c>
      <c r="I273" s="1662"/>
      <c r="J273" s="1662"/>
      <c r="K273" s="1087" t="s">
        <v>2945</v>
      </c>
      <c r="L273" s="1649">
        <f>'Part II-Development Team'!L78</f>
        <v>0</v>
      </c>
      <c r="M273" s="1662"/>
      <c r="N273" s="1662"/>
      <c r="O273" s="1085" t="s">
        <v>1927</v>
      </c>
      <c r="P273" s="1100"/>
      <c r="Q273" s="1683">
        <f>'Part II-Development Team'!Q78</f>
        <v>0</v>
      </c>
      <c r="R273" s="1683"/>
      <c r="S273" s="1683"/>
    </row>
    <row r="274" spans="1:19">
      <c r="A274" s="1100"/>
      <c r="B274" s="1100"/>
      <c r="C274" s="1100"/>
      <c r="D274" s="1100"/>
      <c r="E274" s="1085" t="s">
        <v>1923</v>
      </c>
      <c r="F274" s="1100"/>
      <c r="G274" s="1100"/>
      <c r="H274" s="1087">
        <f>'Part II-Development Team'!H79</f>
        <v>0</v>
      </c>
      <c r="I274" s="1087" t="s">
        <v>3651</v>
      </c>
      <c r="J274" s="1693">
        <f>'Part II-Development Team'!J79</f>
        <v>0</v>
      </c>
      <c r="K274" s="1662"/>
      <c r="L274" s="1100"/>
      <c r="M274" s="1100"/>
      <c r="N274" s="1100"/>
      <c r="O274" s="1085" t="s">
        <v>2115</v>
      </c>
      <c r="P274" s="1100"/>
      <c r="Q274" s="1683">
        <f>'Part II-Development Team'!Q79</f>
        <v>0</v>
      </c>
      <c r="R274" s="1683"/>
      <c r="S274" s="1683"/>
    </row>
    <row r="275" spans="1:19">
      <c r="A275" s="1100"/>
      <c r="B275" s="1100"/>
      <c r="C275" s="1100"/>
      <c r="D275" s="859"/>
      <c r="E275" s="1085" t="s">
        <v>2121</v>
      </c>
      <c r="F275" s="1100"/>
      <c r="G275" s="1100"/>
      <c r="H275" s="1683">
        <f>'Part II-Development Team'!H80</f>
        <v>0</v>
      </c>
      <c r="I275" s="1683"/>
      <c r="J275" s="1090">
        <f>'Part II-Development Team'!J80</f>
        <v>0</v>
      </c>
      <c r="K275" s="1087" t="s">
        <v>1926</v>
      </c>
      <c r="L275" s="1684">
        <f>'Part II-Development Team'!L80</f>
        <v>0</v>
      </c>
      <c r="M275" s="1662"/>
      <c r="N275" s="838" t="s">
        <v>2120</v>
      </c>
      <c r="O275" s="1685">
        <f>'Part II-Development Team'!O80</f>
        <v>0</v>
      </c>
      <c r="P275" s="1685"/>
      <c r="Q275" s="1685"/>
      <c r="R275" s="1685"/>
      <c r="S275" s="1685"/>
    </row>
    <row r="276" spans="1:19">
      <c r="A276" s="1095"/>
      <c r="B276" s="1095"/>
      <c r="C276" s="1095"/>
      <c r="D276" s="1095"/>
      <c r="E276" s="1095"/>
      <c r="F276" s="1095"/>
      <c r="G276" s="1095"/>
      <c r="H276" s="1095"/>
      <c r="I276" s="1095"/>
      <c r="J276" s="1095"/>
      <c r="K276" s="1095"/>
      <c r="L276" s="1095"/>
      <c r="M276" s="1095"/>
      <c r="N276" s="1095"/>
      <c r="O276" s="1095"/>
      <c r="P276" s="1095"/>
      <c r="Q276" s="1095"/>
      <c r="R276" s="1095"/>
      <c r="S276" s="1095"/>
    </row>
    <row r="277" spans="1:19">
      <c r="A277" s="834" t="s">
        <v>792</v>
      </c>
      <c r="B277" s="834" t="s">
        <v>301</v>
      </c>
      <c r="C277" s="1085"/>
      <c r="D277" s="834"/>
      <c r="E277" s="1085"/>
      <c r="F277" s="834"/>
      <c r="G277" s="834"/>
      <c r="H277" s="834"/>
      <c r="I277" s="834"/>
      <c r="J277" s="834"/>
      <c r="K277" s="834"/>
      <c r="L277" s="834"/>
      <c r="M277" s="834"/>
      <c r="N277" s="1085"/>
      <c r="O277" s="1085"/>
      <c r="P277" s="1085"/>
      <c r="Q277" s="1085"/>
      <c r="R277" s="1085"/>
      <c r="S277" s="1085"/>
    </row>
    <row r="278" spans="1:19">
      <c r="A278" s="834"/>
      <c r="B278" s="834"/>
      <c r="C278" s="1085"/>
      <c r="D278" s="834"/>
      <c r="E278" s="1085"/>
      <c r="F278" s="834"/>
      <c r="G278" s="834"/>
      <c r="H278" s="1032"/>
      <c r="I278" s="1032"/>
      <c r="J278" s="1032"/>
      <c r="K278" s="1087"/>
      <c r="L278" s="1032"/>
      <c r="M278" s="1032"/>
      <c r="N278" s="1087"/>
      <c r="O278" s="1032"/>
      <c r="P278" s="1032"/>
      <c r="Q278" s="1087"/>
      <c r="R278" s="1032"/>
      <c r="S278" s="1032"/>
    </row>
    <row r="279" spans="1:19">
      <c r="A279" s="1100"/>
      <c r="B279" s="835" t="s">
        <v>2119</v>
      </c>
      <c r="C279" s="835" t="s">
        <v>302</v>
      </c>
      <c r="D279" s="1100"/>
      <c r="E279" s="1100"/>
      <c r="F279" s="1100"/>
      <c r="G279" s="1100"/>
      <c r="H279" s="1649">
        <f>'Part II-Development Team'!H84</f>
        <v>0</v>
      </c>
      <c r="I279" s="1662"/>
      <c r="J279" s="1662"/>
      <c r="K279" s="1662"/>
      <c r="L279" s="1662"/>
      <c r="M279" s="1662"/>
      <c r="N279" s="1662"/>
      <c r="O279" s="1085" t="s">
        <v>2126</v>
      </c>
      <c r="P279" s="1085"/>
      <c r="Q279" s="1649">
        <f>'Part II-Development Team'!Q84</f>
        <v>0</v>
      </c>
      <c r="R279" s="1662"/>
      <c r="S279" s="1662"/>
    </row>
    <row r="280" spans="1:19">
      <c r="A280" s="1100"/>
      <c r="B280" s="1100"/>
      <c r="C280" s="1100"/>
      <c r="D280" s="859"/>
      <c r="E280" s="1085" t="s">
        <v>1083</v>
      </c>
      <c r="F280" s="838"/>
      <c r="G280" s="1100"/>
      <c r="H280" s="1649">
        <f>'Part II-Development Team'!H85</f>
        <v>0</v>
      </c>
      <c r="I280" s="1662"/>
      <c r="J280" s="1662"/>
      <c r="K280" s="1662"/>
      <c r="L280" s="1662"/>
      <c r="M280" s="1662"/>
      <c r="N280" s="1662"/>
      <c r="O280" s="1085" t="s">
        <v>1870</v>
      </c>
      <c r="P280" s="1100"/>
      <c r="Q280" s="1649">
        <f>'Part II-Development Team'!Q85</f>
        <v>0</v>
      </c>
      <c r="R280" s="1662"/>
      <c r="S280" s="1662"/>
    </row>
    <row r="281" spans="1:19">
      <c r="A281" s="1100"/>
      <c r="B281" s="1100"/>
      <c r="C281" s="1100"/>
      <c r="D281" s="859"/>
      <c r="E281" s="1085" t="s">
        <v>659</v>
      </c>
      <c r="F281" s="1100"/>
      <c r="G281" s="1100"/>
      <c r="H281" s="1649">
        <f>'Part II-Development Team'!H86</f>
        <v>0</v>
      </c>
      <c r="I281" s="1662"/>
      <c r="J281" s="1662"/>
      <c r="K281" s="1087" t="s">
        <v>2945</v>
      </c>
      <c r="L281" s="1649">
        <f>'Part II-Development Team'!L86</f>
        <v>0</v>
      </c>
      <c r="M281" s="1662"/>
      <c r="N281" s="1662"/>
      <c r="O281" s="1085" t="s">
        <v>1927</v>
      </c>
      <c r="P281" s="1100"/>
      <c r="Q281" s="1683">
        <f>'Part II-Development Team'!Q86</f>
        <v>0</v>
      </c>
      <c r="R281" s="1683"/>
      <c r="S281" s="1683"/>
    </row>
    <row r="282" spans="1:19">
      <c r="A282" s="1100"/>
      <c r="B282" s="1100"/>
      <c r="C282" s="1100"/>
      <c r="D282" s="1100"/>
      <c r="E282" s="1085" t="s">
        <v>1923</v>
      </c>
      <c r="F282" s="1100"/>
      <c r="G282" s="1100"/>
      <c r="H282" s="1087">
        <f>'Part II-Development Team'!H87</f>
        <v>0</v>
      </c>
      <c r="I282" s="1087" t="s">
        <v>3651</v>
      </c>
      <c r="J282" s="1693">
        <f>'Part II-Development Team'!J87</f>
        <v>0</v>
      </c>
      <c r="K282" s="1662"/>
      <c r="L282" s="1100"/>
      <c r="M282" s="1100"/>
      <c r="N282" s="1100"/>
      <c r="O282" s="1085" t="s">
        <v>2115</v>
      </c>
      <c r="P282" s="1100"/>
      <c r="Q282" s="1683">
        <f>'Part II-Development Team'!Q87</f>
        <v>0</v>
      </c>
      <c r="R282" s="1683"/>
      <c r="S282" s="1683"/>
    </row>
    <row r="283" spans="1:19">
      <c r="A283" s="1100"/>
      <c r="B283" s="1100"/>
      <c r="C283" s="1100"/>
      <c r="D283" s="859"/>
      <c r="E283" s="1085" t="s">
        <v>2121</v>
      </c>
      <c r="F283" s="1100"/>
      <c r="G283" s="1100"/>
      <c r="H283" s="1683">
        <f>'Part II-Development Team'!H88</f>
        <v>0</v>
      </c>
      <c r="I283" s="1683"/>
      <c r="J283" s="1090">
        <f>'Part II-Development Team'!J88</f>
        <v>0</v>
      </c>
      <c r="K283" s="1087" t="s">
        <v>1926</v>
      </c>
      <c r="L283" s="1684">
        <f>'Part II-Development Team'!L88</f>
        <v>0</v>
      </c>
      <c r="M283" s="1662"/>
      <c r="N283" s="838" t="s">
        <v>2120</v>
      </c>
      <c r="O283" s="1685">
        <f>'Part II-Development Team'!O88</f>
        <v>0</v>
      </c>
      <c r="P283" s="1685"/>
      <c r="Q283" s="1685"/>
      <c r="R283" s="1685"/>
      <c r="S283" s="1685"/>
    </row>
    <row r="284" spans="1:19">
      <c r="A284" s="1095"/>
      <c r="B284" s="1095"/>
      <c r="C284" s="1095"/>
      <c r="D284" s="1095"/>
      <c r="E284" s="1095"/>
      <c r="F284" s="1095"/>
      <c r="G284" s="1095"/>
      <c r="H284" s="1032"/>
      <c r="I284" s="1032"/>
      <c r="J284" s="1032"/>
      <c r="K284" s="1087"/>
      <c r="L284" s="1032"/>
      <c r="M284" s="1032"/>
      <c r="N284" s="1087"/>
      <c r="O284" s="1032"/>
      <c r="P284" s="1032"/>
      <c r="Q284" s="1087"/>
      <c r="R284" s="1032"/>
      <c r="S284" s="1032"/>
    </row>
    <row r="285" spans="1:19">
      <c r="A285" s="1100"/>
      <c r="B285" s="835" t="s">
        <v>2122</v>
      </c>
      <c r="C285" s="835" t="s">
        <v>303</v>
      </c>
      <c r="D285" s="1100"/>
      <c r="E285" s="1100"/>
      <c r="F285" s="1100"/>
      <c r="G285" s="1100"/>
      <c r="H285" s="1649">
        <f>'Part II-Development Team'!H90</f>
        <v>0</v>
      </c>
      <c r="I285" s="1662"/>
      <c r="J285" s="1662"/>
      <c r="K285" s="1662"/>
      <c r="L285" s="1662"/>
      <c r="M285" s="1662"/>
      <c r="N285" s="1662"/>
      <c r="O285" s="1085" t="s">
        <v>2126</v>
      </c>
      <c r="P285" s="1085"/>
      <c r="Q285" s="1649">
        <f>'Part II-Development Team'!Q90</f>
        <v>0</v>
      </c>
      <c r="R285" s="1662"/>
      <c r="S285" s="1662"/>
    </row>
    <row r="286" spans="1:19">
      <c r="A286" s="1100"/>
      <c r="B286" s="1100"/>
      <c r="C286" s="1100"/>
      <c r="D286" s="859"/>
      <c r="E286" s="1085" t="s">
        <v>1083</v>
      </c>
      <c r="F286" s="838"/>
      <c r="G286" s="1100"/>
      <c r="H286" s="1649">
        <f>'Part II-Development Team'!H91</f>
        <v>0</v>
      </c>
      <c r="I286" s="1662"/>
      <c r="J286" s="1662"/>
      <c r="K286" s="1662"/>
      <c r="L286" s="1662"/>
      <c r="M286" s="1662"/>
      <c r="N286" s="1662"/>
      <c r="O286" s="1085" t="s">
        <v>1870</v>
      </c>
      <c r="P286" s="1100"/>
      <c r="Q286" s="1649">
        <f>'Part II-Development Team'!Q91</f>
        <v>0</v>
      </c>
      <c r="R286" s="1662"/>
      <c r="S286" s="1662"/>
    </row>
    <row r="287" spans="1:19">
      <c r="A287" s="1100"/>
      <c r="B287" s="1100"/>
      <c r="C287" s="1100"/>
      <c r="D287" s="859"/>
      <c r="E287" s="1085" t="s">
        <v>659</v>
      </c>
      <c r="F287" s="1100"/>
      <c r="G287" s="1100"/>
      <c r="H287" s="1649">
        <f>'Part II-Development Team'!H92</f>
        <v>0</v>
      </c>
      <c r="I287" s="1662"/>
      <c r="J287" s="1662"/>
      <c r="K287" s="1087" t="s">
        <v>2945</v>
      </c>
      <c r="L287" s="1649">
        <f>'Part II-Development Team'!L92</f>
        <v>0</v>
      </c>
      <c r="M287" s="1662"/>
      <c r="N287" s="1662"/>
      <c r="O287" s="1085" t="s">
        <v>1927</v>
      </c>
      <c r="P287" s="1100"/>
      <c r="Q287" s="1683">
        <f>'Part II-Development Team'!Q92</f>
        <v>0</v>
      </c>
      <c r="R287" s="1683"/>
      <c r="S287" s="1683"/>
    </row>
    <row r="288" spans="1:19">
      <c r="A288" s="1100"/>
      <c r="B288" s="1100"/>
      <c r="C288" s="1100"/>
      <c r="D288" s="1100"/>
      <c r="E288" s="1085" t="s">
        <v>1923</v>
      </c>
      <c r="F288" s="1100"/>
      <c r="G288" s="1100"/>
      <c r="H288" s="1087">
        <f>'Part II-Development Team'!H93</f>
        <v>0</v>
      </c>
      <c r="I288" s="1087" t="s">
        <v>3651</v>
      </c>
      <c r="J288" s="1693">
        <f>'Part II-Development Team'!J93</f>
        <v>0</v>
      </c>
      <c r="K288" s="1662"/>
      <c r="L288" s="1100"/>
      <c r="M288" s="1100"/>
      <c r="N288" s="1100"/>
      <c r="O288" s="1085" t="s">
        <v>2115</v>
      </c>
      <c r="P288" s="1100"/>
      <c r="Q288" s="1683">
        <f>'Part II-Development Team'!Q93</f>
        <v>0</v>
      </c>
      <c r="R288" s="1683"/>
      <c r="S288" s="1683"/>
    </row>
    <row r="289" spans="1:19">
      <c r="A289" s="1100"/>
      <c r="B289" s="1100"/>
      <c r="C289" s="1100"/>
      <c r="D289" s="859"/>
      <c r="E289" s="1085" t="s">
        <v>2121</v>
      </c>
      <c r="F289" s="1100"/>
      <c r="G289" s="1100"/>
      <c r="H289" s="1683">
        <f>'Part II-Development Team'!H94</f>
        <v>0</v>
      </c>
      <c r="I289" s="1683"/>
      <c r="J289" s="1090">
        <f>'Part II-Development Team'!J94</f>
        <v>0</v>
      </c>
      <c r="K289" s="1087" t="s">
        <v>1926</v>
      </c>
      <c r="L289" s="1684">
        <f>'Part II-Development Team'!L94</f>
        <v>0</v>
      </c>
      <c r="M289" s="1662"/>
      <c r="N289" s="838" t="s">
        <v>2120</v>
      </c>
      <c r="O289" s="1685">
        <f>'Part II-Development Team'!O94</f>
        <v>0</v>
      </c>
      <c r="P289" s="1685"/>
      <c r="Q289" s="1685"/>
      <c r="R289" s="1685"/>
      <c r="S289" s="1685"/>
    </row>
    <row r="290" spans="1:19">
      <c r="A290" s="1095"/>
      <c r="B290" s="1095"/>
      <c r="C290" s="1095"/>
      <c r="D290" s="1095"/>
      <c r="E290" s="1095"/>
      <c r="F290" s="1095"/>
      <c r="G290" s="1095"/>
      <c r="H290" s="1032"/>
      <c r="I290" s="1032"/>
      <c r="J290" s="1032"/>
      <c r="K290" s="1087"/>
      <c r="L290" s="1032"/>
      <c r="M290" s="1032"/>
      <c r="N290" s="1087"/>
      <c r="O290" s="1032"/>
      <c r="P290" s="1032"/>
      <c r="Q290" s="1087"/>
      <c r="R290" s="1032"/>
      <c r="S290" s="1032"/>
    </row>
    <row r="291" spans="1:19">
      <c r="A291" s="1100"/>
      <c r="B291" s="835" t="s">
        <v>799</v>
      </c>
      <c r="C291" s="835" t="s">
        <v>304</v>
      </c>
      <c r="D291" s="1100"/>
      <c r="E291" s="1100"/>
      <c r="F291" s="1095"/>
      <c r="G291" s="1100"/>
      <c r="H291" s="1649" t="str">
        <f>'Part II-Development Team'!H96</f>
        <v>Management Division of Decatur Housing Authority</v>
      </c>
      <c r="I291" s="1662"/>
      <c r="J291" s="1662"/>
      <c r="K291" s="1662"/>
      <c r="L291" s="1662"/>
      <c r="M291" s="1662"/>
      <c r="N291" s="1662"/>
      <c r="O291" s="1085" t="s">
        <v>2126</v>
      </c>
      <c r="P291" s="1085"/>
      <c r="Q291" s="1649" t="str">
        <f>'Part II-Development Team'!Q96</f>
        <v>Libranden Irving</v>
      </c>
      <c r="R291" s="1662"/>
      <c r="S291" s="1662"/>
    </row>
    <row r="292" spans="1:19">
      <c r="A292" s="1100"/>
      <c r="B292" s="1100"/>
      <c r="C292" s="1100"/>
      <c r="D292" s="859"/>
      <c r="E292" s="1085" t="s">
        <v>1083</v>
      </c>
      <c r="F292" s="838"/>
      <c r="G292" s="1100"/>
      <c r="H292" s="1649" t="str">
        <f>'Part II-Development Team'!H97</f>
        <v>750 Commerce Drive Suite 110</v>
      </c>
      <c r="I292" s="1662"/>
      <c r="J292" s="1662"/>
      <c r="K292" s="1662"/>
      <c r="L292" s="1662"/>
      <c r="M292" s="1662"/>
      <c r="N292" s="1662"/>
      <c r="O292" s="1085" t="s">
        <v>1870</v>
      </c>
      <c r="P292" s="1100"/>
      <c r="Q292" s="1649" t="str">
        <f>'Part II-Development Team'!Q97</f>
        <v>Property Mangement Director</v>
      </c>
      <c r="R292" s="1662"/>
      <c r="S292" s="1662"/>
    </row>
    <row r="293" spans="1:19">
      <c r="A293" s="1100"/>
      <c r="B293" s="1100"/>
      <c r="C293" s="1100"/>
      <c r="D293" s="859"/>
      <c r="E293" s="1085" t="s">
        <v>659</v>
      </c>
      <c r="F293" s="1100"/>
      <c r="G293" s="1100"/>
      <c r="H293" s="1649" t="str">
        <f>'Part II-Development Team'!H98</f>
        <v>Decatur</v>
      </c>
      <c r="I293" s="1662"/>
      <c r="J293" s="1662"/>
      <c r="K293" s="1087" t="s">
        <v>2945</v>
      </c>
      <c r="L293" s="1649" t="str">
        <f>'Part II-Development Team'!L98</f>
        <v>www.decaturha.org</v>
      </c>
      <c r="M293" s="1662"/>
      <c r="N293" s="1662"/>
      <c r="O293" s="1085" t="s">
        <v>1927</v>
      </c>
      <c r="P293" s="1100"/>
      <c r="Q293" s="1683">
        <f>'Part II-Development Team'!Q98</f>
        <v>4042702131</v>
      </c>
      <c r="R293" s="1683"/>
      <c r="S293" s="1683"/>
    </row>
    <row r="294" spans="1:19">
      <c r="A294" s="1100"/>
      <c r="B294" s="1100"/>
      <c r="C294" s="1100"/>
      <c r="D294" s="859"/>
      <c r="E294" s="1085" t="s">
        <v>1923</v>
      </c>
      <c r="F294" s="1100"/>
      <c r="G294" s="1100"/>
      <c r="H294" s="1087" t="str">
        <f>'Part II-Development Team'!H99</f>
        <v>GA</v>
      </c>
      <c r="I294" s="1087" t="s">
        <v>3651</v>
      </c>
      <c r="J294" s="1693">
        <f>'Part II-Development Team'!J99</f>
        <v>300302612</v>
      </c>
      <c r="K294" s="1662"/>
      <c r="L294" s="1100"/>
      <c r="M294" s="1100"/>
      <c r="N294" s="1100"/>
      <c r="O294" s="1085" t="s">
        <v>2115</v>
      </c>
      <c r="P294" s="1100"/>
      <c r="Q294" s="1683">
        <f>'Part II-Development Team'!Q99</f>
        <v>4044342209</v>
      </c>
      <c r="R294" s="1683"/>
      <c r="S294" s="1683"/>
    </row>
    <row r="295" spans="1:19">
      <c r="A295" s="1100"/>
      <c r="B295" s="1100"/>
      <c r="C295" s="1100"/>
      <c r="D295" s="859"/>
      <c r="E295" s="1085" t="s">
        <v>2121</v>
      </c>
      <c r="F295" s="1100"/>
      <c r="G295" s="1100"/>
      <c r="H295" s="1683">
        <f>'Part II-Development Team'!H100</f>
        <v>4042702131</v>
      </c>
      <c r="I295" s="1683"/>
      <c r="J295" s="1090">
        <f>'Part II-Development Team'!J100</f>
        <v>0</v>
      </c>
      <c r="K295" s="1087" t="s">
        <v>1926</v>
      </c>
      <c r="L295" s="1684">
        <f>'Part II-Development Team'!L100</f>
        <v>4042702122</v>
      </c>
      <c r="M295" s="1662"/>
      <c r="N295" s="838" t="s">
        <v>2120</v>
      </c>
      <c r="O295" s="1685" t="str">
        <f>'Part II-Development Team'!O100</f>
        <v>lib@decaturha.org</v>
      </c>
      <c r="P295" s="1685"/>
      <c r="Q295" s="1685"/>
      <c r="R295" s="1685"/>
      <c r="S295" s="1685"/>
    </row>
    <row r="296" spans="1:19">
      <c r="A296" s="1095"/>
      <c r="B296" s="1095"/>
      <c r="C296" s="1095"/>
      <c r="D296" s="1095"/>
      <c r="E296" s="1095"/>
      <c r="F296" s="1095"/>
      <c r="G296" s="1095"/>
      <c r="H296" s="1032"/>
      <c r="I296" s="1032"/>
      <c r="J296" s="1032"/>
      <c r="K296" s="1087"/>
      <c r="L296" s="1032"/>
      <c r="M296" s="1032"/>
      <c r="N296" s="1087"/>
      <c r="O296" s="1032"/>
      <c r="P296" s="1032"/>
      <c r="Q296" s="1087"/>
      <c r="R296" s="1032"/>
      <c r="S296" s="1032"/>
    </row>
    <row r="297" spans="1:19">
      <c r="A297" s="1100"/>
      <c r="B297" s="835" t="s">
        <v>2254</v>
      </c>
      <c r="C297" s="835" t="s">
        <v>305</v>
      </c>
      <c r="D297" s="1100"/>
      <c r="E297" s="1100"/>
      <c r="F297" s="1100"/>
      <c r="G297" s="1100"/>
      <c r="H297" s="1649" t="str">
        <f>'Part II-Development Team'!H102</f>
        <v>Arnall, Golden and Gregory</v>
      </c>
      <c r="I297" s="1662"/>
      <c r="J297" s="1662"/>
      <c r="K297" s="1662"/>
      <c r="L297" s="1662"/>
      <c r="M297" s="1662"/>
      <c r="N297" s="1662"/>
      <c r="O297" s="1085" t="s">
        <v>2126</v>
      </c>
      <c r="P297" s="1085"/>
      <c r="Q297" s="1649" t="str">
        <f>'Part II-Development Team'!Q102</f>
        <v>Althea Broughton</v>
      </c>
      <c r="R297" s="1662"/>
      <c r="S297" s="1662"/>
    </row>
    <row r="298" spans="1:19">
      <c r="A298" s="1100"/>
      <c r="B298" s="1100"/>
      <c r="C298" s="1100"/>
      <c r="D298" s="859"/>
      <c r="E298" s="1085" t="s">
        <v>1083</v>
      </c>
      <c r="F298" s="838"/>
      <c r="G298" s="1100"/>
      <c r="H298" s="1649" t="str">
        <f>'Part II-Development Team'!H103</f>
        <v>171 17th Street NW Suite 2100</v>
      </c>
      <c r="I298" s="1662"/>
      <c r="J298" s="1662"/>
      <c r="K298" s="1662"/>
      <c r="L298" s="1662"/>
      <c r="M298" s="1662"/>
      <c r="N298" s="1662"/>
      <c r="O298" s="1085" t="s">
        <v>1870</v>
      </c>
      <c r="P298" s="1100"/>
      <c r="Q298" s="1649" t="str">
        <f>'Part II-Development Team'!Q103</f>
        <v>Attorney</v>
      </c>
      <c r="R298" s="1662"/>
      <c r="S298" s="1662"/>
    </row>
    <row r="299" spans="1:19">
      <c r="A299" s="1100"/>
      <c r="B299" s="1100"/>
      <c r="C299" s="1100"/>
      <c r="D299" s="859"/>
      <c r="E299" s="1085" t="s">
        <v>659</v>
      </c>
      <c r="F299" s="1100"/>
      <c r="G299" s="1100"/>
      <c r="H299" s="1649" t="str">
        <f>'Part II-Development Team'!H104</f>
        <v>Atlanta</v>
      </c>
      <c r="I299" s="1662"/>
      <c r="J299" s="1662"/>
      <c r="K299" s="1087" t="s">
        <v>2945</v>
      </c>
      <c r="L299" s="1649" t="str">
        <f>'Part II-Development Team'!L104</f>
        <v>www.agg.com</v>
      </c>
      <c r="M299" s="1662"/>
      <c r="N299" s="1662"/>
      <c r="O299" s="1085" t="s">
        <v>1927</v>
      </c>
      <c r="P299" s="1100"/>
      <c r="Q299" s="1683">
        <f>'Part II-Development Team'!Q104</f>
        <v>4048738708</v>
      </c>
      <c r="R299" s="1683"/>
      <c r="S299" s="1683"/>
    </row>
    <row r="300" spans="1:19">
      <c r="A300" s="1100"/>
      <c r="B300" s="1100"/>
      <c r="C300" s="1100"/>
      <c r="D300" s="859"/>
      <c r="E300" s="1085" t="s">
        <v>1923</v>
      </c>
      <c r="F300" s="1100"/>
      <c r="G300" s="1100"/>
      <c r="H300" s="1087" t="str">
        <f>'Part II-Development Team'!H105</f>
        <v>GA</v>
      </c>
      <c r="I300" s="1087" t="s">
        <v>3651</v>
      </c>
      <c r="J300" s="1693">
        <f>'Part II-Development Team'!J105</f>
        <v>303631031</v>
      </c>
      <c r="K300" s="1662"/>
      <c r="L300" s="1100"/>
      <c r="M300" s="1100"/>
      <c r="N300" s="1100"/>
      <c r="O300" s="1085" t="s">
        <v>2115</v>
      </c>
      <c r="P300" s="1100"/>
      <c r="Q300" s="1683">
        <f>'Part II-Development Team'!Q105</f>
        <v>0</v>
      </c>
      <c r="R300" s="1683"/>
      <c r="S300" s="1683"/>
    </row>
    <row r="301" spans="1:19">
      <c r="A301" s="1095"/>
      <c r="B301" s="1095"/>
      <c r="C301" s="1095"/>
      <c r="D301" s="1095"/>
      <c r="E301" s="1085" t="s">
        <v>2121</v>
      </c>
      <c r="F301" s="1100"/>
      <c r="G301" s="1100"/>
      <c r="H301" s="1683">
        <f>'Part II-Development Team'!H106</f>
        <v>4048738708</v>
      </c>
      <c r="I301" s="1683"/>
      <c r="J301" s="1090">
        <f>'Part II-Development Team'!J106</f>
        <v>0</v>
      </c>
      <c r="K301" s="1087" t="s">
        <v>1926</v>
      </c>
      <c r="L301" s="1684">
        <f>'Part II-Development Team'!L106</f>
        <v>4048738709</v>
      </c>
      <c r="M301" s="1662"/>
      <c r="N301" s="838" t="s">
        <v>2120</v>
      </c>
      <c r="O301" s="1685" t="str">
        <f>'Part II-Development Team'!O106</f>
        <v>althea.broughton@agg.com</v>
      </c>
      <c r="P301" s="1685"/>
      <c r="Q301" s="1685"/>
      <c r="R301" s="1685"/>
      <c r="S301" s="1685"/>
    </row>
    <row r="302" spans="1:19">
      <c r="A302" s="1095"/>
      <c r="B302" s="1095"/>
      <c r="C302" s="1095"/>
      <c r="D302" s="1095"/>
      <c r="E302" s="1085"/>
      <c r="F302" s="1100"/>
      <c r="G302" s="1100"/>
      <c r="H302" s="1100"/>
      <c r="I302" s="1100"/>
      <c r="J302" s="1100"/>
      <c r="K302" s="1100"/>
      <c r="L302" s="1100"/>
      <c r="M302" s="1100"/>
      <c r="N302" s="1100"/>
      <c r="O302" s="1100"/>
      <c r="P302" s="1100"/>
      <c r="Q302" s="1087"/>
      <c r="R302" s="1087"/>
      <c r="S302" s="1095"/>
    </row>
    <row r="303" spans="1:19">
      <c r="A303" s="1095"/>
      <c r="B303" s="1095"/>
      <c r="C303" s="1095"/>
      <c r="D303" s="1095"/>
      <c r="E303" s="1085"/>
      <c r="F303" s="1100"/>
      <c r="G303" s="1100"/>
      <c r="H303" s="1032"/>
      <c r="I303" s="1032"/>
      <c r="J303" s="1032"/>
      <c r="K303" s="1087"/>
      <c r="L303" s="1032"/>
      <c r="M303" s="1032"/>
      <c r="N303" s="1087"/>
      <c r="O303" s="1032"/>
      <c r="P303" s="1032"/>
      <c r="Q303" s="1087"/>
      <c r="R303" s="1032"/>
      <c r="S303" s="1032"/>
    </row>
    <row r="304" spans="1:19">
      <c r="A304" s="1100"/>
      <c r="B304" s="835" t="s">
        <v>1857</v>
      </c>
      <c r="C304" s="835" t="s">
        <v>306</v>
      </c>
      <c r="D304" s="1100"/>
      <c r="E304" s="1100"/>
      <c r="F304" s="1100"/>
      <c r="G304" s="1100"/>
      <c r="H304" s="1649" t="str">
        <f>'Part II-Development Team'!H109</f>
        <v>Cohen Reznick</v>
      </c>
      <c r="I304" s="1662"/>
      <c r="J304" s="1662"/>
      <c r="K304" s="1662"/>
      <c r="L304" s="1662"/>
      <c r="M304" s="1662"/>
      <c r="N304" s="1662"/>
      <c r="O304" s="1085" t="s">
        <v>2126</v>
      </c>
      <c r="P304" s="1085"/>
      <c r="Q304" s="1649" t="str">
        <f>'Part II-Development Team'!Q109</f>
        <v>Timothy Kemper, CPA</v>
      </c>
      <c r="R304" s="1662"/>
      <c r="S304" s="1662"/>
    </row>
    <row r="305" spans="1:19">
      <c r="A305" s="1100"/>
      <c r="B305" s="1100"/>
      <c r="C305" s="1100"/>
      <c r="D305" s="859"/>
      <c r="E305" s="1085" t="s">
        <v>1083</v>
      </c>
      <c r="F305" s="838"/>
      <c r="G305" s="1100"/>
      <c r="H305" s="1649" t="str">
        <f>'Part II-Development Team'!H110</f>
        <v>3560 Lenox Road NE Suite 2800</v>
      </c>
      <c r="I305" s="1662"/>
      <c r="J305" s="1662"/>
      <c r="K305" s="1662"/>
      <c r="L305" s="1662"/>
      <c r="M305" s="1662"/>
      <c r="N305" s="1662"/>
      <c r="O305" s="1085" t="s">
        <v>1870</v>
      </c>
      <c r="P305" s="1100"/>
      <c r="Q305" s="1649" t="str">
        <f>'Part II-Development Team'!Q110</f>
        <v>Managing Partner</v>
      </c>
      <c r="R305" s="1662"/>
      <c r="S305" s="1662"/>
    </row>
    <row r="306" spans="1:19">
      <c r="A306" s="1100"/>
      <c r="B306" s="1100"/>
      <c r="C306" s="1100"/>
      <c r="D306" s="859"/>
      <c r="E306" s="1085" t="s">
        <v>659</v>
      </c>
      <c r="F306" s="1100"/>
      <c r="G306" s="1100"/>
      <c r="H306" s="1649" t="str">
        <f>'Part II-Development Team'!H111</f>
        <v>Atlanta</v>
      </c>
      <c r="I306" s="1662"/>
      <c r="J306" s="1662"/>
      <c r="K306" s="1087" t="s">
        <v>2945</v>
      </c>
      <c r="L306" s="1649" t="str">
        <f>'Part II-Development Team'!L111</f>
        <v>www.cohnreznick.com</v>
      </c>
      <c r="M306" s="1662"/>
      <c r="N306" s="1662"/>
      <c r="O306" s="1085" t="s">
        <v>1927</v>
      </c>
      <c r="P306" s="1100"/>
      <c r="Q306" s="1683">
        <f>'Part II-Development Team'!Q111</f>
        <v>4048749447</v>
      </c>
      <c r="R306" s="1683"/>
      <c r="S306" s="1683"/>
    </row>
    <row r="307" spans="1:19">
      <c r="A307" s="1100"/>
      <c r="B307" s="1100"/>
      <c r="C307" s="1100"/>
      <c r="D307" s="859"/>
      <c r="E307" s="1085" t="s">
        <v>1923</v>
      </c>
      <c r="F307" s="1100"/>
      <c r="G307" s="1100"/>
      <c r="H307" s="1087" t="str">
        <f>'Part II-Development Team'!H112</f>
        <v>GA</v>
      </c>
      <c r="I307" s="1087" t="s">
        <v>3651</v>
      </c>
      <c r="J307" s="1693">
        <f>'Part II-Development Team'!J112</f>
        <v>303264276</v>
      </c>
      <c r="K307" s="1662"/>
      <c r="L307" s="1100"/>
      <c r="M307" s="1100"/>
      <c r="N307" s="1100"/>
      <c r="O307" s="1085" t="s">
        <v>2115</v>
      </c>
      <c r="P307" s="1100"/>
      <c r="Q307" s="1683">
        <f>'Part II-Development Team'!Q112</f>
        <v>0</v>
      </c>
      <c r="R307" s="1683"/>
      <c r="S307" s="1683"/>
    </row>
    <row r="308" spans="1:19">
      <c r="A308" s="1095"/>
      <c r="B308" s="1095"/>
      <c r="C308" s="1095"/>
      <c r="D308" s="1095"/>
      <c r="E308" s="1085" t="s">
        <v>2121</v>
      </c>
      <c r="F308" s="1100"/>
      <c r="G308" s="1100"/>
      <c r="H308" s="1683">
        <f>'Part II-Development Team'!H113</f>
        <v>4048479447</v>
      </c>
      <c r="I308" s="1683"/>
      <c r="J308" s="1090">
        <f>'Part II-Development Team'!J113</f>
        <v>0</v>
      </c>
      <c r="K308" s="1087" t="s">
        <v>1926</v>
      </c>
      <c r="L308" s="1684">
        <f>'Part II-Development Team'!L113</f>
        <v>4048477625</v>
      </c>
      <c r="M308" s="1662"/>
      <c r="N308" s="838" t="s">
        <v>2120</v>
      </c>
      <c r="O308" s="1685" t="str">
        <f>'Part II-Development Team'!O113</f>
        <v>timothykemper@cohenreznick.com</v>
      </c>
      <c r="P308" s="1685"/>
      <c r="Q308" s="1685"/>
      <c r="R308" s="1685"/>
      <c r="S308" s="1685"/>
    </row>
    <row r="309" spans="1:19">
      <c r="A309" s="1095"/>
      <c r="B309" s="1095"/>
      <c r="C309" s="1095"/>
      <c r="D309" s="1095"/>
      <c r="E309" s="1085"/>
      <c r="F309" s="1100"/>
      <c r="G309" s="1100"/>
      <c r="H309" s="1032"/>
      <c r="I309" s="1032"/>
      <c r="J309" s="1032"/>
      <c r="K309" s="1087"/>
      <c r="L309" s="1032"/>
      <c r="M309" s="1032"/>
      <c r="N309" s="1087"/>
      <c r="O309" s="1032"/>
      <c r="P309" s="1032"/>
      <c r="Q309" s="1087"/>
      <c r="R309" s="1032"/>
      <c r="S309" s="1032"/>
    </row>
    <row r="310" spans="1:19">
      <c r="A310" s="1100"/>
      <c r="B310" s="835" t="s">
        <v>1858</v>
      </c>
      <c r="C310" s="835" t="s">
        <v>307</v>
      </c>
      <c r="D310" s="1100"/>
      <c r="E310" s="1100"/>
      <c r="F310" s="1100"/>
      <c r="G310" s="1100"/>
      <c r="H310" s="1649" t="str">
        <f>'Part II-Development Team'!H115</f>
        <v>Lord, Aeck and Sargent</v>
      </c>
      <c r="I310" s="1662"/>
      <c r="J310" s="1662"/>
      <c r="K310" s="1662"/>
      <c r="L310" s="1662"/>
      <c r="M310" s="1662"/>
      <c r="N310" s="1662"/>
      <c r="O310" s="1085" t="s">
        <v>2126</v>
      </c>
      <c r="P310" s="1085"/>
      <c r="Q310" s="1649" t="str">
        <f>'Part II-Development Team'!Q115</f>
        <v>Jay Silverman</v>
      </c>
      <c r="R310" s="1662"/>
      <c r="S310" s="1662"/>
    </row>
    <row r="311" spans="1:19">
      <c r="A311" s="1100"/>
      <c r="B311" s="1100"/>
      <c r="C311" s="1100"/>
      <c r="D311" s="859"/>
      <c r="E311" s="1085" t="s">
        <v>1083</v>
      </c>
      <c r="F311" s="838"/>
      <c r="G311" s="1100"/>
      <c r="H311" s="1649" t="str">
        <f>'Part II-Development Team'!H116</f>
        <v>1201 Peachtree Street Suite 300</v>
      </c>
      <c r="I311" s="1662"/>
      <c r="J311" s="1662"/>
      <c r="K311" s="1662"/>
      <c r="L311" s="1662"/>
      <c r="M311" s="1662"/>
      <c r="N311" s="1662"/>
      <c r="O311" s="1085" t="s">
        <v>1870</v>
      </c>
      <c r="P311" s="1100"/>
      <c r="Q311" s="1649" t="str">
        <f>'Part II-Development Team'!Q116</f>
        <v>Project Manager</v>
      </c>
      <c r="R311" s="1662"/>
      <c r="S311" s="1662"/>
    </row>
    <row r="312" spans="1:19">
      <c r="A312" s="1100"/>
      <c r="B312" s="1100"/>
      <c r="C312" s="1100"/>
      <c r="D312" s="859"/>
      <c r="E312" s="1085" t="s">
        <v>659</v>
      </c>
      <c r="F312" s="1100"/>
      <c r="G312" s="1100"/>
      <c r="H312" s="1649" t="str">
        <f>'Part II-Development Team'!H117</f>
        <v>Atlanta</v>
      </c>
      <c r="I312" s="1662"/>
      <c r="J312" s="1662"/>
      <c r="K312" s="1087" t="s">
        <v>2945</v>
      </c>
      <c r="L312" s="1649" t="str">
        <f>'Part II-Development Team'!L117</f>
        <v>www.lordaecksargent.com</v>
      </c>
      <c r="M312" s="1662"/>
      <c r="N312" s="1662"/>
      <c r="O312" s="1085" t="s">
        <v>1927</v>
      </c>
      <c r="P312" s="1100"/>
      <c r="Q312" s="1683">
        <f>'Part II-Development Team'!Q117</f>
        <v>4042536704</v>
      </c>
      <c r="R312" s="1683"/>
      <c r="S312" s="1683"/>
    </row>
    <row r="313" spans="1:19">
      <c r="A313" s="1100"/>
      <c r="B313" s="1100"/>
      <c r="C313" s="1100"/>
      <c r="D313" s="859"/>
      <c r="E313" s="1085" t="s">
        <v>1923</v>
      </c>
      <c r="F313" s="1100"/>
      <c r="G313" s="1100"/>
      <c r="H313" s="1087" t="str">
        <f>'Part II-Development Team'!H118</f>
        <v>GA</v>
      </c>
      <c r="I313" s="1087" t="s">
        <v>3651</v>
      </c>
      <c r="J313" s="1693">
        <f>'Part II-Development Team'!J118</f>
        <v>303613500</v>
      </c>
      <c r="K313" s="1662"/>
      <c r="L313" s="1100"/>
      <c r="M313" s="1100"/>
      <c r="N313" s="1100"/>
      <c r="O313" s="1085" t="s">
        <v>2115</v>
      </c>
      <c r="P313" s="1100"/>
      <c r="Q313" s="1683">
        <f>'Part II-Development Team'!Q118</f>
        <v>4044234924</v>
      </c>
      <c r="R313" s="1683"/>
      <c r="S313" s="1683"/>
    </row>
    <row r="314" spans="1:19">
      <c r="A314" s="1100"/>
      <c r="B314" s="1100"/>
      <c r="C314" s="1100"/>
      <c r="D314" s="859"/>
      <c r="E314" s="1085" t="s">
        <v>2121</v>
      </c>
      <c r="F314" s="1100"/>
      <c r="G314" s="1100"/>
      <c r="H314" s="1683">
        <f>'Part II-Development Team'!H119</f>
        <v>4042536704</v>
      </c>
      <c r="I314" s="1683"/>
      <c r="J314" s="1090">
        <f>'Part II-Development Team'!J119</f>
        <v>0</v>
      </c>
      <c r="K314" s="1087" t="s">
        <v>1926</v>
      </c>
      <c r="L314" s="1684">
        <f>'Part II-Development Team'!L119</f>
        <v>4042536754</v>
      </c>
      <c r="M314" s="1662"/>
      <c r="N314" s="838" t="s">
        <v>2120</v>
      </c>
      <c r="O314" s="1685" t="str">
        <f>'Part II-Development Team'!O119</f>
        <v>jsilverman@lasarchitect.com</v>
      </c>
      <c r="P314" s="1685"/>
      <c r="Q314" s="1685"/>
      <c r="R314" s="1685"/>
      <c r="S314" s="1685"/>
    </row>
    <row r="315" spans="1:19">
      <c r="A315" s="1095"/>
      <c r="B315" s="1095"/>
      <c r="C315" s="1095"/>
      <c r="D315" s="1095"/>
      <c r="E315" s="1095"/>
      <c r="F315" s="1095"/>
      <c r="G315" s="1095"/>
      <c r="H315" s="1095"/>
      <c r="I315" s="1095"/>
      <c r="J315" s="1095"/>
      <c r="K315" s="1095"/>
      <c r="L315" s="1095"/>
      <c r="M315" s="1095"/>
      <c r="N315" s="1095"/>
      <c r="O315" s="1095"/>
      <c r="P315" s="1095"/>
      <c r="Q315" s="1095"/>
      <c r="R315" s="1095"/>
      <c r="S315" s="1095"/>
    </row>
    <row r="316" spans="1:19">
      <c r="A316" s="835" t="s">
        <v>1916</v>
      </c>
      <c r="B316" s="835" t="s">
        <v>2787</v>
      </c>
      <c r="C316" s="1100"/>
      <c r="D316" s="1100"/>
      <c r="E316" s="1100"/>
      <c r="F316" s="835"/>
      <c r="G316" s="1087"/>
      <c r="H316" s="1087"/>
      <c r="I316" s="1087"/>
      <c r="J316" s="1087"/>
      <c r="K316" s="1087"/>
      <c r="L316" s="1087"/>
      <c r="M316" s="1087"/>
      <c r="N316" s="1087"/>
      <c r="O316" s="1087"/>
      <c r="P316" s="1087"/>
      <c r="Q316" s="1087"/>
      <c r="R316" s="1100"/>
      <c r="S316" s="1100"/>
    </row>
    <row r="317" spans="1:19">
      <c r="A317" s="835"/>
      <c r="B317" s="835"/>
      <c r="C317" s="1100"/>
      <c r="D317" s="1100"/>
      <c r="E317" s="1100"/>
      <c r="F317" s="835"/>
      <c r="G317" s="1087"/>
      <c r="H317" s="1087"/>
      <c r="I317" s="1087"/>
      <c r="J317" s="1087"/>
      <c r="K317" s="1087"/>
      <c r="L317" s="1087"/>
      <c r="M317" s="1087"/>
      <c r="N317" s="1087"/>
      <c r="O317" s="1087"/>
      <c r="P317" s="1087"/>
      <c r="Q317" s="1087"/>
      <c r="R317" s="1100"/>
      <c r="S317" s="1100"/>
    </row>
    <row r="318" spans="1:19">
      <c r="A318" s="1095"/>
      <c r="B318" s="835" t="s">
        <v>2119</v>
      </c>
      <c r="C318" s="835" t="s">
        <v>3384</v>
      </c>
      <c r="D318" s="1095"/>
      <c r="E318" s="1095"/>
      <c r="F318" s="1095"/>
      <c r="G318" s="1095"/>
      <c r="H318" s="1095"/>
      <c r="I318" s="1095"/>
      <c r="J318" s="1095"/>
      <c r="K318" s="1095"/>
      <c r="L318" s="1095"/>
      <c r="M318" s="1095"/>
      <c r="N318" s="1095"/>
      <c r="O318" s="1095"/>
      <c r="P318" s="1095"/>
      <c r="Q318" s="1095"/>
      <c r="R318" s="1095"/>
      <c r="S318" s="1095"/>
    </row>
    <row r="319" spans="1:19">
      <c r="A319" s="1095"/>
      <c r="B319" s="1095"/>
      <c r="C319" s="1095" t="s">
        <v>3385</v>
      </c>
      <c r="D319" s="1095"/>
      <c r="E319" s="1095"/>
      <c r="F319" s="1095"/>
      <c r="G319" s="1095"/>
      <c r="H319" s="1090" t="s">
        <v>2683</v>
      </c>
      <c r="I319" s="1095" t="s">
        <v>3388</v>
      </c>
      <c r="J319" s="1095"/>
      <c r="K319" s="1095"/>
      <c r="L319" s="1095"/>
      <c r="M319" s="1095"/>
      <c r="N319" s="1095"/>
      <c r="O319" s="1095"/>
      <c r="P319" s="1095"/>
      <c r="Q319" s="1095"/>
      <c r="R319" s="1095"/>
      <c r="S319" s="1095"/>
    </row>
    <row r="320" spans="1:19">
      <c r="A320" s="1100"/>
      <c r="B320" s="1100"/>
      <c r="C320" s="864" t="s">
        <v>2123</v>
      </c>
      <c r="D320" s="1100" t="s">
        <v>3386</v>
      </c>
      <c r="E320" s="1100"/>
      <c r="F320" s="1100"/>
      <c r="G320" s="1100"/>
      <c r="H320" s="1087" t="str">
        <f>'Part II-Development Team'!H125</f>
        <v>No</v>
      </c>
      <c r="I320" s="1686">
        <f>'Part II-Development Team'!I125</f>
        <v>0</v>
      </c>
      <c r="J320" s="1686"/>
      <c r="K320" s="1686"/>
      <c r="L320" s="1686"/>
      <c r="M320" s="1686"/>
      <c r="N320" s="1686"/>
      <c r="O320" s="1686"/>
      <c r="P320" s="1686"/>
      <c r="Q320" s="1686"/>
      <c r="R320" s="1686"/>
      <c r="S320" s="1686"/>
    </row>
    <row r="321" spans="1:19">
      <c r="A321" s="1100"/>
      <c r="B321" s="1100"/>
      <c r="C321" s="864" t="s">
        <v>2125</v>
      </c>
      <c r="D321" s="1100" t="s">
        <v>3517</v>
      </c>
      <c r="E321" s="1100"/>
      <c r="F321" s="1100"/>
      <c r="G321" s="1100"/>
      <c r="H321" s="1087" t="str">
        <f>'Part II-Development Team'!H126</f>
        <v>No</v>
      </c>
      <c r="I321" s="1686">
        <f>'Part II-Development Team'!I126</f>
        <v>0</v>
      </c>
      <c r="J321" s="1686"/>
      <c r="K321" s="1686"/>
      <c r="L321" s="1686"/>
      <c r="M321" s="1686"/>
      <c r="N321" s="1686"/>
      <c r="O321" s="1686"/>
      <c r="P321" s="1686"/>
      <c r="Q321" s="1686"/>
      <c r="R321" s="1686"/>
      <c r="S321" s="1686"/>
    </row>
    <row r="322" spans="1:19">
      <c r="A322" s="1100"/>
      <c r="B322" s="1100"/>
      <c r="C322" s="864" t="s">
        <v>2709</v>
      </c>
      <c r="D322" s="1100" t="s">
        <v>3576</v>
      </c>
      <c r="E322" s="1100"/>
      <c r="F322" s="1100"/>
      <c r="G322" s="1100"/>
      <c r="H322" s="1087" t="str">
        <f>'Part II-Development Team'!H127</f>
        <v>No</v>
      </c>
      <c r="I322" s="1686">
        <f>'Part II-Development Team'!I127</f>
        <v>0</v>
      </c>
      <c r="J322" s="1686"/>
      <c r="K322" s="1686"/>
      <c r="L322" s="1686"/>
      <c r="M322" s="1686"/>
      <c r="N322" s="1686"/>
      <c r="O322" s="1686"/>
      <c r="P322" s="1686"/>
      <c r="Q322" s="1686"/>
      <c r="R322" s="1686"/>
      <c r="S322" s="1686"/>
    </row>
    <row r="323" spans="1:19">
      <c r="A323" s="1100"/>
      <c r="B323" s="1100"/>
      <c r="C323" s="864" t="s">
        <v>1301</v>
      </c>
      <c r="D323" s="1100" t="s">
        <v>3518</v>
      </c>
      <c r="E323" s="1100"/>
      <c r="F323" s="1100"/>
      <c r="G323" s="1100"/>
      <c r="H323" s="1087" t="str">
        <f>'Part II-Development Team'!H128</f>
        <v>No</v>
      </c>
      <c r="I323" s="1686">
        <f>'Part II-Development Team'!I128</f>
        <v>0</v>
      </c>
      <c r="J323" s="1686"/>
      <c r="K323" s="1686"/>
      <c r="L323" s="1686"/>
      <c r="M323" s="1686"/>
      <c r="N323" s="1686"/>
      <c r="O323" s="1686"/>
      <c r="P323" s="1686"/>
      <c r="Q323" s="1686"/>
      <c r="R323" s="1686"/>
      <c r="S323" s="1686"/>
    </row>
    <row r="324" spans="1:19">
      <c r="A324" s="1100"/>
      <c r="B324" s="1100"/>
      <c r="C324" s="864" t="s">
        <v>1302</v>
      </c>
      <c r="D324" s="1100" t="s">
        <v>3519</v>
      </c>
      <c r="E324" s="1100"/>
      <c r="F324" s="1100"/>
      <c r="G324" s="1100"/>
      <c r="H324" s="1087" t="str">
        <f>'Part II-Development Team'!H129</f>
        <v>No</v>
      </c>
      <c r="I324" s="1686">
        <f>'Part II-Development Team'!I129</f>
        <v>0</v>
      </c>
      <c r="J324" s="1686"/>
      <c r="K324" s="1686"/>
      <c r="L324" s="1686"/>
      <c r="M324" s="1686"/>
      <c r="N324" s="1686"/>
      <c r="O324" s="1686"/>
      <c r="P324" s="1686"/>
      <c r="Q324" s="1686"/>
      <c r="R324" s="1686"/>
      <c r="S324" s="1686"/>
    </row>
    <row r="325" spans="1:19">
      <c r="A325" s="1100"/>
      <c r="B325" s="1100"/>
      <c r="C325" s="864" t="s">
        <v>2015</v>
      </c>
      <c r="D325" s="1100" t="s">
        <v>3387</v>
      </c>
      <c r="E325" s="1100"/>
      <c r="F325" s="1100"/>
      <c r="G325" s="1100"/>
      <c r="H325" s="1087" t="str">
        <f>'Part II-Development Team'!H130</f>
        <v>No</v>
      </c>
      <c r="I325" s="1686">
        <f>'Part II-Development Team'!I130</f>
        <v>0</v>
      </c>
      <c r="J325" s="1686"/>
      <c r="K325" s="1686"/>
      <c r="L325" s="1686"/>
      <c r="M325" s="1686"/>
      <c r="N325" s="1686"/>
      <c r="O325" s="1686"/>
      <c r="P325" s="1686"/>
      <c r="Q325" s="1686"/>
      <c r="R325" s="1686"/>
      <c r="S325" s="1686"/>
    </row>
    <row r="326" spans="1:19">
      <c r="A326" s="1100"/>
      <c r="B326" s="1100"/>
      <c r="C326" s="864" t="s">
        <v>535</v>
      </c>
      <c r="D326" s="1100" t="s">
        <v>3389</v>
      </c>
      <c r="E326" s="1100"/>
      <c r="F326" s="1100"/>
      <c r="G326" s="1100"/>
      <c r="H326" s="1087" t="str">
        <f>'Part II-Development Team'!H131</f>
        <v>No</v>
      </c>
      <c r="I326" s="1686">
        <f>'Part II-Development Team'!I131</f>
        <v>0</v>
      </c>
      <c r="J326" s="1686"/>
      <c r="K326" s="1686"/>
      <c r="L326" s="1686"/>
      <c r="M326" s="1686"/>
      <c r="N326" s="1686"/>
      <c r="O326" s="1686"/>
      <c r="P326" s="1686"/>
      <c r="Q326" s="1686"/>
      <c r="R326" s="1686"/>
      <c r="S326" s="1686"/>
    </row>
    <row r="327" spans="1:19">
      <c r="A327" s="1100"/>
      <c r="B327" s="1100"/>
      <c r="C327" s="864" t="s">
        <v>536</v>
      </c>
      <c r="D327" s="1100" t="s">
        <v>1710</v>
      </c>
      <c r="E327" s="1100"/>
      <c r="F327" s="1100"/>
      <c r="G327" s="1100"/>
      <c r="H327" s="1087">
        <f>'Part II-Development Team'!H132</f>
        <v>0</v>
      </c>
      <c r="I327" s="1686">
        <f>'Part II-Development Team'!I132</f>
        <v>0</v>
      </c>
      <c r="J327" s="1686"/>
      <c r="K327" s="1686"/>
      <c r="L327" s="1686"/>
      <c r="M327" s="1686"/>
      <c r="N327" s="1686"/>
      <c r="O327" s="1686"/>
      <c r="P327" s="1686"/>
      <c r="Q327" s="1686"/>
      <c r="R327" s="1686"/>
      <c r="S327" s="1686"/>
    </row>
    <row r="328" spans="1:19">
      <c r="A328" s="835" t="s">
        <v>1916</v>
      </c>
      <c r="B328" s="835" t="s">
        <v>3653</v>
      </c>
      <c r="C328" s="1100"/>
      <c r="D328" s="1100"/>
      <c r="E328" s="1100"/>
      <c r="F328" s="835"/>
      <c r="G328" s="1087"/>
      <c r="H328" s="1087"/>
      <c r="I328" s="1087"/>
      <c r="J328" s="1087"/>
      <c r="K328" s="1087"/>
      <c r="L328" s="1087"/>
      <c r="M328" s="1087"/>
      <c r="N328" s="1087"/>
      <c r="O328" s="1087"/>
      <c r="P328" s="1087"/>
      <c r="Q328" s="1087"/>
      <c r="R328" s="1100"/>
      <c r="S328" s="1100"/>
    </row>
    <row r="329" spans="1:19">
      <c r="A329" s="835"/>
      <c r="B329" s="835"/>
      <c r="C329" s="1100"/>
      <c r="D329" s="1100"/>
      <c r="E329" s="1100"/>
      <c r="F329" s="835"/>
      <c r="G329" s="1087"/>
      <c r="H329" s="1087"/>
      <c r="I329" s="1087"/>
      <c r="J329" s="1087"/>
      <c r="K329" s="1087"/>
      <c r="L329" s="1087"/>
      <c r="M329" s="1087"/>
      <c r="N329" s="1087"/>
      <c r="O329" s="1087"/>
      <c r="P329" s="1087"/>
      <c r="Q329" s="1087"/>
      <c r="R329" s="1100"/>
      <c r="S329" s="1100"/>
    </row>
    <row r="330" spans="1:19">
      <c r="A330" s="1095"/>
      <c r="B330" s="835" t="s">
        <v>2122</v>
      </c>
      <c r="C330" s="835" t="s">
        <v>3390</v>
      </c>
      <c r="D330" s="1095"/>
      <c r="E330" s="1095"/>
      <c r="F330" s="1095"/>
      <c r="G330" s="1095"/>
      <c r="H330" s="1095"/>
      <c r="I330" s="1095"/>
      <c r="J330" s="1095"/>
      <c r="K330" s="1095"/>
      <c r="L330" s="1095"/>
      <c r="M330" s="1095"/>
      <c r="N330" s="1095"/>
      <c r="O330" s="1095"/>
      <c r="P330" s="1095"/>
      <c r="Q330" s="1095"/>
      <c r="R330" s="1095"/>
      <c r="S330" s="1095"/>
    </row>
    <row r="331" spans="1:19">
      <c r="A331" s="835"/>
      <c r="B331" s="835"/>
      <c r="C331" s="1100"/>
      <c r="D331" s="1100"/>
      <c r="E331" s="1100"/>
      <c r="F331" s="835"/>
      <c r="G331" s="1087"/>
      <c r="H331" s="1087"/>
      <c r="I331" s="1087"/>
      <c r="J331" s="1087"/>
      <c r="K331" s="1087"/>
      <c r="L331" s="1087"/>
      <c r="M331" s="1087"/>
      <c r="N331" s="1087"/>
      <c r="O331" s="1087"/>
      <c r="P331" s="1087"/>
      <c r="Q331" s="1087"/>
      <c r="R331" s="1100"/>
      <c r="S331" s="1100"/>
    </row>
    <row r="332" spans="1:19">
      <c r="A332" s="1638" t="s">
        <v>681</v>
      </c>
      <c r="B332" s="1638"/>
      <c r="C332" s="1638"/>
      <c r="D332" s="1638"/>
      <c r="E332" s="1638"/>
      <c r="F332" s="1687" t="s">
        <v>3570</v>
      </c>
      <c r="G332" s="1687"/>
      <c r="H332" s="1688" t="s">
        <v>3654</v>
      </c>
      <c r="I332" s="1688"/>
      <c r="J332" s="1688"/>
      <c r="K332" s="1688"/>
      <c r="L332" s="1689" t="s">
        <v>3655</v>
      </c>
      <c r="M332" s="1689"/>
      <c r="N332" s="1689"/>
      <c r="O332" s="1689"/>
      <c r="P332" s="1689" t="s">
        <v>3656</v>
      </c>
      <c r="Q332" s="1615"/>
      <c r="R332" s="1689" t="s">
        <v>3657</v>
      </c>
      <c r="S332" s="1690"/>
    </row>
    <row r="333" spans="1:19">
      <c r="A333" s="1638"/>
      <c r="B333" s="1638"/>
      <c r="C333" s="1638"/>
      <c r="D333" s="1638"/>
      <c r="E333" s="1638"/>
      <c r="F333" s="1687"/>
      <c r="G333" s="1687"/>
      <c r="H333" s="1688"/>
      <c r="I333" s="1688"/>
      <c r="J333" s="1688"/>
      <c r="K333" s="1688"/>
      <c r="L333" s="1689"/>
      <c r="M333" s="1689"/>
      <c r="N333" s="1689"/>
      <c r="O333" s="1689"/>
      <c r="P333" s="1615"/>
      <c r="Q333" s="1615"/>
      <c r="R333" s="1689"/>
      <c r="S333" s="1690"/>
    </row>
    <row r="334" spans="1:19">
      <c r="A334" s="1638"/>
      <c r="B334" s="1638"/>
      <c r="C334" s="1638"/>
      <c r="D334" s="1638"/>
      <c r="E334" s="1638"/>
      <c r="F334" s="1687"/>
      <c r="G334" s="1687"/>
      <c r="H334" s="1688"/>
      <c r="I334" s="1688"/>
      <c r="J334" s="1688"/>
      <c r="K334" s="1688"/>
      <c r="L334" s="1689"/>
      <c r="M334" s="1689"/>
      <c r="N334" s="1689"/>
      <c r="O334" s="1689"/>
      <c r="P334" s="1615"/>
      <c r="Q334" s="1615"/>
      <c r="R334" s="1690"/>
      <c r="S334" s="1690"/>
    </row>
    <row r="335" spans="1:19">
      <c r="A335" s="1638"/>
      <c r="B335" s="1638"/>
      <c r="C335" s="1638"/>
      <c r="D335" s="1638"/>
      <c r="E335" s="1638"/>
      <c r="F335" s="1687"/>
      <c r="G335" s="1687"/>
      <c r="H335" s="1688"/>
      <c r="I335" s="1688"/>
      <c r="J335" s="1688"/>
      <c r="K335" s="1688"/>
      <c r="L335" s="1689"/>
      <c r="M335" s="1689"/>
      <c r="N335" s="1689"/>
      <c r="O335" s="1689"/>
      <c r="P335" s="1615"/>
      <c r="Q335" s="1615"/>
      <c r="R335" s="1690"/>
      <c r="S335" s="1690"/>
    </row>
    <row r="336" spans="1:19">
      <c r="A336" s="1638"/>
      <c r="B336" s="1638"/>
      <c r="C336" s="1638"/>
      <c r="D336" s="1638"/>
      <c r="E336" s="1638"/>
      <c r="F336" s="1687"/>
      <c r="G336" s="1687"/>
      <c r="H336" s="1688"/>
      <c r="I336" s="1688"/>
      <c r="J336" s="1688"/>
      <c r="K336" s="1688"/>
      <c r="L336" s="1689"/>
      <c r="M336" s="1689"/>
      <c r="N336" s="1689"/>
      <c r="O336" s="1689"/>
      <c r="P336" s="1615"/>
      <c r="Q336" s="1615"/>
      <c r="R336" s="1690"/>
      <c r="S336" s="1690"/>
    </row>
    <row r="337" spans="1:19">
      <c r="A337" s="1649" t="s">
        <v>3561</v>
      </c>
      <c r="B337" s="1649"/>
      <c r="C337" s="1649"/>
      <c r="D337" s="1649"/>
      <c r="E337" s="1649"/>
      <c r="F337" s="1638" t="str">
        <f>'Part II-Development Team'!F142</f>
        <v>Yes</v>
      </c>
      <c r="G337" s="1638"/>
      <c r="H337" s="1638" t="str">
        <f>'Part II-Development Team'!H142</f>
        <v>No</v>
      </c>
      <c r="I337" s="1638"/>
      <c r="J337" s="1638"/>
      <c r="K337" s="1638"/>
      <c r="L337" s="1638" t="str">
        <f>'Part II-Development Team'!L142</f>
        <v>No</v>
      </c>
      <c r="M337" s="1638"/>
      <c r="N337" s="1638"/>
      <c r="O337" s="1638"/>
      <c r="P337" s="1680" t="str">
        <f>'Part II-Development Team'!P142</f>
        <v>Nonprofit</v>
      </c>
      <c r="Q337" s="1680"/>
      <c r="R337" s="1691">
        <f>'Part II-Development Team'!R142</f>
        <v>1E-4</v>
      </c>
      <c r="S337" s="1692"/>
    </row>
    <row r="338" spans="1:19">
      <c r="A338" s="1649" t="s">
        <v>3562</v>
      </c>
      <c r="B338" s="1649"/>
      <c r="C338" s="1649"/>
      <c r="D338" s="1649"/>
      <c r="E338" s="1649"/>
      <c r="F338" s="1638">
        <f>'Part II-Development Team'!F143</f>
        <v>0</v>
      </c>
      <c r="G338" s="1638"/>
      <c r="H338" s="1638">
        <f>'Part II-Development Team'!H143</f>
        <v>0</v>
      </c>
      <c r="I338" s="1638"/>
      <c r="J338" s="1638"/>
      <c r="K338" s="1638"/>
      <c r="L338" s="1638">
        <f>'Part II-Development Team'!L143</f>
        <v>0</v>
      </c>
      <c r="M338" s="1638"/>
      <c r="N338" s="1638"/>
      <c r="O338" s="1638"/>
      <c r="P338" s="1680">
        <f>'Part II-Development Team'!P143</f>
        <v>0</v>
      </c>
      <c r="Q338" s="1680"/>
      <c r="R338" s="1691">
        <f>'Part II-Development Team'!R143</f>
        <v>0</v>
      </c>
      <c r="S338" s="1692"/>
    </row>
    <row r="339" spans="1:19">
      <c r="A339" s="1649" t="s">
        <v>3563</v>
      </c>
      <c r="B339" s="1649"/>
      <c r="C339" s="1649"/>
      <c r="D339" s="1649"/>
      <c r="E339" s="1649"/>
      <c r="F339" s="1638">
        <f>'Part II-Development Team'!F144</f>
        <v>0</v>
      </c>
      <c r="G339" s="1638"/>
      <c r="H339" s="1638">
        <f>'Part II-Development Team'!H144</f>
        <v>0</v>
      </c>
      <c r="I339" s="1638"/>
      <c r="J339" s="1638"/>
      <c r="K339" s="1638"/>
      <c r="L339" s="1638">
        <f>'Part II-Development Team'!L144</f>
        <v>0</v>
      </c>
      <c r="M339" s="1638"/>
      <c r="N339" s="1638"/>
      <c r="O339" s="1638"/>
      <c r="P339" s="1680">
        <f>'Part II-Development Team'!P144</f>
        <v>0</v>
      </c>
      <c r="Q339" s="1680"/>
      <c r="R339" s="1691">
        <f>'Part II-Development Team'!R144</f>
        <v>0</v>
      </c>
      <c r="S339" s="1692"/>
    </row>
    <row r="340" spans="1:19">
      <c r="A340" s="1649" t="s">
        <v>800</v>
      </c>
      <c r="B340" s="1649"/>
      <c r="C340" s="1649"/>
      <c r="D340" s="1649"/>
      <c r="E340" s="1649"/>
      <c r="F340" s="1638" t="str">
        <f>'Part II-Development Team'!F145</f>
        <v>No</v>
      </c>
      <c r="G340" s="1638"/>
      <c r="H340" s="1638" t="str">
        <f>'Part II-Development Team'!H145</f>
        <v>No</v>
      </c>
      <c r="I340" s="1638"/>
      <c r="J340" s="1638"/>
      <c r="K340" s="1638"/>
      <c r="L340" s="1638" t="str">
        <f>'Part II-Development Team'!L145</f>
        <v>No</v>
      </c>
      <c r="M340" s="1638"/>
      <c r="N340" s="1638"/>
      <c r="O340" s="1638"/>
      <c r="P340" s="1680" t="str">
        <f>'Part II-Development Team'!P145</f>
        <v>For Profit</v>
      </c>
      <c r="Q340" s="1680"/>
      <c r="R340" s="1691">
        <f>'Part II-Development Team'!R145</f>
        <v>0.9899</v>
      </c>
      <c r="S340" s="1692"/>
    </row>
    <row r="341" spans="1:19">
      <c r="A341" s="1649" t="s">
        <v>801</v>
      </c>
      <c r="B341" s="1649"/>
      <c r="C341" s="1649"/>
      <c r="D341" s="1649"/>
      <c r="E341" s="1649"/>
      <c r="F341" s="1638" t="str">
        <f>'Part II-Development Team'!F146</f>
        <v>No</v>
      </c>
      <c r="G341" s="1638"/>
      <c r="H341" s="1638" t="str">
        <f>'Part II-Development Team'!H146</f>
        <v>No</v>
      </c>
      <c r="I341" s="1638"/>
      <c r="J341" s="1638"/>
      <c r="K341" s="1638"/>
      <c r="L341" s="1638" t="str">
        <f>'Part II-Development Team'!L146</f>
        <v>No</v>
      </c>
      <c r="M341" s="1638"/>
      <c r="N341" s="1638"/>
      <c r="O341" s="1638"/>
      <c r="P341" s="1680" t="str">
        <f>'Part II-Development Team'!P146</f>
        <v>For Profit</v>
      </c>
      <c r="Q341" s="1680"/>
      <c r="R341" s="1691">
        <f>'Part II-Development Team'!R146</f>
        <v>0.01</v>
      </c>
      <c r="S341" s="1692"/>
    </row>
    <row r="342" spans="1:19">
      <c r="A342" s="1649" t="s">
        <v>3564</v>
      </c>
      <c r="B342" s="1649"/>
      <c r="C342" s="1649"/>
      <c r="D342" s="1649"/>
      <c r="E342" s="1649"/>
      <c r="F342" s="1638">
        <f>'Part II-Development Team'!F147</f>
        <v>0</v>
      </c>
      <c r="G342" s="1638"/>
      <c r="H342" s="1638">
        <f>'Part II-Development Team'!H147</f>
        <v>0</v>
      </c>
      <c r="I342" s="1638"/>
      <c r="J342" s="1638"/>
      <c r="K342" s="1638"/>
      <c r="L342" s="1638">
        <f>'Part II-Development Team'!L147</f>
        <v>0</v>
      </c>
      <c r="M342" s="1638"/>
      <c r="N342" s="1638"/>
      <c r="O342" s="1638"/>
      <c r="P342" s="1680">
        <f>'Part II-Development Team'!P147</f>
        <v>0</v>
      </c>
      <c r="Q342" s="1680"/>
      <c r="R342" s="1691">
        <f>'Part II-Development Team'!R147</f>
        <v>0</v>
      </c>
      <c r="S342" s="1692"/>
    </row>
    <row r="343" spans="1:19">
      <c r="A343" s="1649" t="s">
        <v>698</v>
      </c>
      <c r="B343" s="1649"/>
      <c r="C343" s="1649"/>
      <c r="D343" s="1649"/>
      <c r="E343" s="1649"/>
      <c r="F343" s="1638" t="str">
        <f>'Part II-Development Team'!F148</f>
        <v>No</v>
      </c>
      <c r="G343" s="1638"/>
      <c r="H343" s="1638" t="str">
        <f>'Part II-Development Team'!H148</f>
        <v>No</v>
      </c>
      <c r="I343" s="1638"/>
      <c r="J343" s="1638"/>
      <c r="K343" s="1638"/>
      <c r="L343" s="1638" t="str">
        <f>'Part II-Development Team'!L148</f>
        <v>No</v>
      </c>
      <c r="M343" s="1638"/>
      <c r="N343" s="1638"/>
      <c r="O343" s="1638"/>
      <c r="P343" s="1680" t="str">
        <f>'Part II-Development Team'!P148</f>
        <v>Nonprofit</v>
      </c>
      <c r="Q343" s="1680"/>
      <c r="R343" s="1691">
        <f>'Part II-Development Team'!R148</f>
        <v>0</v>
      </c>
      <c r="S343" s="1692"/>
    </row>
    <row r="344" spans="1:19">
      <c r="A344" s="1649" t="s">
        <v>3565</v>
      </c>
      <c r="B344" s="1649"/>
      <c r="C344" s="1649"/>
      <c r="D344" s="1649"/>
      <c r="E344" s="1649"/>
      <c r="F344" s="1638">
        <f>'Part II-Development Team'!F149</f>
        <v>0</v>
      </c>
      <c r="G344" s="1638"/>
      <c r="H344" s="1638">
        <f>'Part II-Development Team'!H149</f>
        <v>0</v>
      </c>
      <c r="I344" s="1638"/>
      <c r="J344" s="1638"/>
      <c r="K344" s="1638"/>
      <c r="L344" s="1638">
        <f>'Part II-Development Team'!L149</f>
        <v>0</v>
      </c>
      <c r="M344" s="1638"/>
      <c r="N344" s="1638"/>
      <c r="O344" s="1638"/>
      <c r="P344" s="1680">
        <f>'Part II-Development Team'!P149</f>
        <v>0</v>
      </c>
      <c r="Q344" s="1680"/>
      <c r="R344" s="1691">
        <f>'Part II-Development Team'!R149</f>
        <v>0</v>
      </c>
      <c r="S344" s="1692"/>
    </row>
    <row r="345" spans="1:19">
      <c r="A345" s="1649" t="s">
        <v>3566</v>
      </c>
      <c r="B345" s="1649"/>
      <c r="C345" s="1649"/>
      <c r="D345" s="1649"/>
      <c r="E345" s="1649"/>
      <c r="F345" s="1638">
        <f>'Part II-Development Team'!F150</f>
        <v>0</v>
      </c>
      <c r="G345" s="1638"/>
      <c r="H345" s="1638">
        <f>'Part II-Development Team'!H150</f>
        <v>0</v>
      </c>
      <c r="I345" s="1638"/>
      <c r="J345" s="1638"/>
      <c r="K345" s="1638"/>
      <c r="L345" s="1638">
        <f>'Part II-Development Team'!L150</f>
        <v>0</v>
      </c>
      <c r="M345" s="1638"/>
      <c r="N345" s="1638"/>
      <c r="O345" s="1638"/>
      <c r="P345" s="1680">
        <f>'Part II-Development Team'!P150</f>
        <v>0</v>
      </c>
      <c r="Q345" s="1680"/>
      <c r="R345" s="1691">
        <f>'Part II-Development Team'!R150</f>
        <v>0</v>
      </c>
      <c r="S345" s="1692"/>
    </row>
    <row r="346" spans="1:19">
      <c r="A346" s="1649" t="s">
        <v>3568</v>
      </c>
      <c r="B346" s="1649"/>
      <c r="C346" s="1649"/>
      <c r="D346" s="1649"/>
      <c r="E346" s="1649"/>
      <c r="F346" s="1638">
        <f>'Part II-Development Team'!F151</f>
        <v>0</v>
      </c>
      <c r="G346" s="1638"/>
      <c r="H346" s="1638">
        <f>'Part II-Development Team'!H151</f>
        <v>0</v>
      </c>
      <c r="I346" s="1638"/>
      <c r="J346" s="1638"/>
      <c r="K346" s="1638"/>
      <c r="L346" s="1638">
        <f>'Part II-Development Team'!L151</f>
        <v>0</v>
      </c>
      <c r="M346" s="1638"/>
      <c r="N346" s="1638"/>
      <c r="O346" s="1638"/>
      <c r="P346" s="1680">
        <f>'Part II-Development Team'!P151</f>
        <v>0</v>
      </c>
      <c r="Q346" s="1680"/>
      <c r="R346" s="1691">
        <f>'Part II-Development Team'!R151</f>
        <v>0</v>
      </c>
      <c r="S346" s="1692"/>
    </row>
    <row r="347" spans="1:19">
      <c r="A347" s="1649" t="s">
        <v>3567</v>
      </c>
      <c r="B347" s="1649"/>
      <c r="C347" s="1649"/>
      <c r="D347" s="1649"/>
      <c r="E347" s="1649"/>
      <c r="F347" s="1638">
        <f>'Part II-Development Team'!F152</f>
        <v>0</v>
      </c>
      <c r="G347" s="1638"/>
      <c r="H347" s="1638">
        <f>'Part II-Development Team'!H152</f>
        <v>0</v>
      </c>
      <c r="I347" s="1638"/>
      <c r="J347" s="1638"/>
      <c r="K347" s="1638"/>
      <c r="L347" s="1638">
        <f>'Part II-Development Team'!L152</f>
        <v>0</v>
      </c>
      <c r="M347" s="1638"/>
      <c r="N347" s="1638"/>
      <c r="O347" s="1638"/>
      <c r="P347" s="1680">
        <f>'Part II-Development Team'!P152</f>
        <v>0</v>
      </c>
      <c r="Q347" s="1680"/>
      <c r="R347" s="1691">
        <f>'Part II-Development Team'!R152</f>
        <v>0</v>
      </c>
      <c r="S347" s="1692"/>
    </row>
    <row r="348" spans="1:19">
      <c r="A348" s="1649" t="s">
        <v>1635</v>
      </c>
      <c r="B348" s="1649"/>
      <c r="C348" s="1649"/>
      <c r="D348" s="1649"/>
      <c r="E348" s="1649"/>
      <c r="F348" s="1638">
        <f>'Part II-Development Team'!F153</f>
        <v>0</v>
      </c>
      <c r="G348" s="1638"/>
      <c r="H348" s="1638">
        <f>'Part II-Development Team'!H153</f>
        <v>0</v>
      </c>
      <c r="I348" s="1638"/>
      <c r="J348" s="1638"/>
      <c r="K348" s="1638"/>
      <c r="L348" s="1638">
        <f>'Part II-Development Team'!L153</f>
        <v>0</v>
      </c>
      <c r="M348" s="1638"/>
      <c r="N348" s="1638"/>
      <c r="O348" s="1638"/>
      <c r="P348" s="1680">
        <f>'Part II-Development Team'!P153</f>
        <v>0</v>
      </c>
      <c r="Q348" s="1680"/>
      <c r="R348" s="1691">
        <f>'Part II-Development Team'!R153</f>
        <v>0</v>
      </c>
      <c r="S348" s="1692"/>
    </row>
    <row r="349" spans="1:19">
      <c r="A349" s="1649" t="s">
        <v>3569</v>
      </c>
      <c r="B349" s="1649"/>
      <c r="C349" s="1649"/>
      <c r="D349" s="1649"/>
      <c r="E349" s="1649"/>
      <c r="F349" s="1638" t="str">
        <f>'Part II-Development Team'!F154</f>
        <v>No</v>
      </c>
      <c r="G349" s="1638"/>
      <c r="H349" s="1638" t="str">
        <f>'Part II-Development Team'!H154</f>
        <v>No</v>
      </c>
      <c r="I349" s="1638"/>
      <c r="J349" s="1638"/>
      <c r="K349" s="1638"/>
      <c r="L349" s="1638" t="str">
        <f>'Part II-Development Team'!L154</f>
        <v>No</v>
      </c>
      <c r="M349" s="1638"/>
      <c r="N349" s="1638"/>
      <c r="O349" s="1638"/>
      <c r="P349" s="1680" t="str">
        <f>'Part II-Development Team'!P154</f>
        <v>Nonprofit</v>
      </c>
      <c r="Q349" s="1680"/>
      <c r="R349" s="1691">
        <f>'Part II-Development Team'!R154</f>
        <v>0</v>
      </c>
      <c r="S349" s="1692"/>
    </row>
    <row r="350" spans="1:19">
      <c r="A350" s="1100"/>
      <c r="B350" s="1100"/>
      <c r="C350" s="1100"/>
      <c r="D350" s="1100"/>
      <c r="E350" s="1100"/>
      <c r="F350" s="1100"/>
      <c r="G350" s="835"/>
      <c r="H350" s="835"/>
      <c r="I350" s="835"/>
      <c r="J350" s="1087"/>
      <c r="K350" s="1087"/>
      <c r="L350" s="1087"/>
      <c r="M350" s="1087"/>
      <c r="N350" s="1100"/>
      <c r="O350" s="1100"/>
      <c r="P350" s="1095"/>
      <c r="Q350" s="865" t="s">
        <v>572</v>
      </c>
      <c r="R350" s="1681">
        <f>SUM(R337:S349)</f>
        <v>1</v>
      </c>
      <c r="S350" s="1682"/>
    </row>
    <row r="351" spans="1:19">
      <c r="A351" s="1100"/>
      <c r="B351" s="1100"/>
      <c r="C351" s="1100"/>
      <c r="D351" s="1100"/>
      <c r="E351" s="1100"/>
      <c r="F351" s="1100"/>
      <c r="G351" s="835"/>
      <c r="H351" s="835"/>
      <c r="I351" s="835"/>
      <c r="J351" s="1087"/>
      <c r="K351" s="1087"/>
      <c r="L351" s="1087"/>
      <c r="M351" s="1087"/>
      <c r="N351" s="1100"/>
      <c r="O351" s="1100"/>
      <c r="P351" s="1095"/>
      <c r="Q351" s="1100"/>
      <c r="R351" s="1084"/>
      <c r="S351" s="866"/>
    </row>
    <row r="352" spans="1:19">
      <c r="A352" s="849" t="s">
        <v>1918</v>
      </c>
      <c r="B352" s="851"/>
      <c r="C352" s="849" t="s">
        <v>608</v>
      </c>
      <c r="D352" s="1095"/>
      <c r="E352" s="1095"/>
      <c r="F352" s="1095"/>
      <c r="G352" s="1095"/>
      <c r="H352" s="1095"/>
      <c r="I352" s="1095"/>
      <c r="J352" s="1095"/>
      <c r="K352" s="1095"/>
      <c r="L352" s="1095"/>
      <c r="M352" s="1095"/>
      <c r="N352" s="849" t="s">
        <v>563</v>
      </c>
      <c r="O352" s="849" t="s">
        <v>82</v>
      </c>
      <c r="P352" s="1095"/>
      <c r="Q352" s="1095"/>
      <c r="R352" s="1095"/>
      <c r="S352" s="1095"/>
    </row>
    <row r="353" spans="1:19">
      <c r="A353" s="1095"/>
      <c r="B353" s="851"/>
      <c r="C353" s="1095"/>
      <c r="D353" s="1095"/>
      <c r="E353" s="1095"/>
      <c r="F353" s="1095"/>
      <c r="G353" s="1095"/>
      <c r="H353" s="1095"/>
      <c r="I353" s="1095"/>
      <c r="J353" s="1095"/>
      <c r="K353" s="1095"/>
      <c r="L353" s="1095"/>
      <c r="M353" s="1095"/>
      <c r="N353" s="1095"/>
      <c r="O353" s="1095"/>
      <c r="P353" s="1095"/>
      <c r="Q353" s="1095"/>
      <c r="R353" s="1095"/>
      <c r="S353" s="1095"/>
    </row>
    <row r="354" spans="1:19" ht="13.5">
      <c r="A354" s="1616" t="str">
        <f>'Part II-Development Team'!A159</f>
        <v>IDENTITY OF INTEREST - The Managing General Partner, Developer and Property Management agent are affiliates of the Decatur Housing Authority.  The Managing General Partner of Trinity Walk I, LP is Trinity Walk I General Partner, LLC a Georgia limited liability company, whose sole member is Gateway General Partner I, Inc., a Georgia non-profit corporation that is 100% owned and controlled by the Decatur Housing Authority.  The Property Management Division of the Decatur Housing Authority will provide on-site management upon completion of construction and thereafter.</v>
      </c>
      <c r="B354" s="1616"/>
      <c r="C354" s="1616"/>
      <c r="D354" s="1616"/>
      <c r="E354" s="1616"/>
      <c r="F354" s="1616"/>
      <c r="G354" s="1616"/>
      <c r="H354" s="1616"/>
      <c r="I354" s="1616"/>
      <c r="J354" s="1616"/>
      <c r="K354" s="1616"/>
      <c r="L354" s="1616"/>
      <c r="M354" s="1616"/>
      <c r="N354" s="1616">
        <f>'Part II-Development Team'!N159</f>
        <v>0</v>
      </c>
      <c r="O354" s="1616"/>
      <c r="P354" s="1616"/>
      <c r="Q354" s="1616"/>
      <c r="R354" s="1616"/>
      <c r="S354" s="1616"/>
    </row>
    <row r="357" spans="1:19">
      <c r="A357" s="1656" t="str">
        <f>CONCATENATE("PART THREE - SOURCES OF FUNDS","  -  ",'Part I-Project Information'!$O$4," ",'Part I-Project Information'!$F$23,", ",'Part I-Project Information'!$F$27,", ",'Part I-Project Information'!$J$28," County")</f>
        <v>PART THREE - SOURCES OF FUNDS  -  2014-055 Trinity Walk Phase I, Decatur, DeKalb County</v>
      </c>
      <c r="B357" s="1656"/>
      <c r="C357" s="1656"/>
      <c r="D357" s="1656"/>
      <c r="E357" s="1656"/>
      <c r="F357" s="1656"/>
      <c r="G357" s="1656"/>
      <c r="H357" s="1656"/>
      <c r="I357" s="1656"/>
      <c r="J357" s="1656"/>
      <c r="K357" s="1656"/>
      <c r="L357" s="1656"/>
      <c r="M357" s="1656"/>
      <c r="N357" s="1656"/>
      <c r="O357" s="1656"/>
      <c r="P357" s="1656"/>
      <c r="Q357" s="1656"/>
    </row>
    <row r="358" spans="1:19">
      <c r="A358" s="1095"/>
      <c r="B358" s="1095"/>
      <c r="C358" s="1095"/>
      <c r="D358" s="1095"/>
      <c r="E358" s="1095"/>
      <c r="F358" s="1095"/>
      <c r="G358" s="1095"/>
      <c r="H358" s="1095"/>
      <c r="I358" s="1095"/>
      <c r="J358" s="1095"/>
      <c r="K358" s="1095"/>
      <c r="L358" s="1095"/>
      <c r="M358" s="1095"/>
      <c r="N358" s="1095"/>
      <c r="O358" s="1095"/>
      <c r="P358" s="1095"/>
      <c r="Q358" s="1095"/>
    </row>
    <row r="359" spans="1:19" ht="13.5">
      <c r="A359" s="835" t="s">
        <v>657</v>
      </c>
      <c r="B359" s="849" t="s">
        <v>2661</v>
      </c>
      <c r="C359" s="1100"/>
      <c r="D359" s="1100"/>
      <c r="E359" s="1100"/>
      <c r="F359" s="1100"/>
      <c r="G359" s="1100"/>
      <c r="H359" s="860"/>
      <c r="I359" s="860"/>
      <c r="J359" s="1100"/>
      <c r="K359" s="860"/>
      <c r="L359" s="860"/>
      <c r="M359" s="1100"/>
      <c r="N359" s="1100"/>
      <c r="O359" s="860"/>
      <c r="P359" s="860"/>
      <c r="Q359" s="860"/>
    </row>
    <row r="360" spans="1:19" ht="13.5">
      <c r="A360" s="849"/>
      <c r="B360" s="1084"/>
      <c r="C360" s="849"/>
      <c r="D360" s="1100"/>
      <c r="E360" s="1100"/>
      <c r="F360" s="1100"/>
      <c r="G360" s="1100"/>
      <c r="H360" s="1087" t="str">
        <f>'Part III-Sources of Funds'!H4</f>
        <v>No</v>
      </c>
      <c r="I360" s="1085" t="s">
        <v>3233</v>
      </c>
      <c r="J360" s="1100"/>
      <c r="K360" s="860"/>
      <c r="L360" s="860"/>
      <c r="M360" s="860"/>
      <c r="N360" s="860"/>
      <c r="O360" s="860"/>
      <c r="P360" s="1678">
        <f>'Part III-Sources of Funds'!P4</f>
        <v>0</v>
      </c>
      <c r="Q360" s="1615"/>
    </row>
    <row r="361" spans="1:19" ht="13.5">
      <c r="A361" s="1084"/>
      <c r="B361" s="1087" t="str">
        <f>'Part III-Sources of Funds'!B5</f>
        <v>Yes</v>
      </c>
      <c r="C361" s="1085" t="s">
        <v>2575</v>
      </c>
      <c r="D361" s="1100"/>
      <c r="E361" s="1087" t="str">
        <f>'Part III-Sources of Funds'!E5</f>
        <v>No</v>
      </c>
      <c r="F361" s="1085" t="s">
        <v>584</v>
      </c>
      <c r="G361" s="860"/>
      <c r="H361" s="1087" t="str">
        <f>'Part III-Sources of Funds'!H5</f>
        <v>No</v>
      </c>
      <c r="I361" s="1100" t="s">
        <v>2795</v>
      </c>
      <c r="J361" s="860"/>
      <c r="K361" s="860"/>
      <c r="L361" s="860"/>
      <c r="M361" s="1087" t="str">
        <f>'Part III-Sources of Funds'!M5</f>
        <v>No</v>
      </c>
      <c r="N361" s="1085" t="s">
        <v>582</v>
      </c>
      <c r="O361" s="860"/>
      <c r="P361" s="860"/>
      <c r="Q361" s="860"/>
    </row>
    <row r="362" spans="1:19" ht="13.5">
      <c r="A362" s="1084"/>
      <c r="B362" s="1087" t="str">
        <f>'Part III-Sources of Funds'!B6</f>
        <v>No</v>
      </c>
      <c r="C362" s="1085" t="s">
        <v>1928</v>
      </c>
      <c r="D362" s="1100"/>
      <c r="E362" s="1087" t="str">
        <f>'Part III-Sources of Funds'!E6</f>
        <v>No</v>
      </c>
      <c r="F362" s="1100" t="s">
        <v>2793</v>
      </c>
      <c r="G362" s="860"/>
      <c r="H362" s="1087" t="str">
        <f>'Part III-Sources of Funds'!H6</f>
        <v>No</v>
      </c>
      <c r="I362" s="1085" t="s">
        <v>3251</v>
      </c>
      <c r="J362" s="1085"/>
      <c r="K362" s="1086"/>
      <c r="L362" s="1086"/>
      <c r="M362" s="1087" t="str">
        <f>'Part III-Sources of Funds'!M6</f>
        <v>Yes</v>
      </c>
      <c r="N362" s="1085" t="s">
        <v>2794</v>
      </c>
      <c r="O362" s="860"/>
      <c r="P362" s="860"/>
      <c r="Q362" s="1099"/>
    </row>
    <row r="363" spans="1:19" ht="13.5">
      <c r="A363" s="1100"/>
      <c r="B363" s="1087" t="str">
        <f>'Part III-Sources of Funds'!B7</f>
        <v>No</v>
      </c>
      <c r="C363" s="1085" t="s">
        <v>1929</v>
      </c>
      <c r="D363" s="860"/>
      <c r="E363" s="1087" t="str">
        <f>'Part III-Sources of Funds'!E7</f>
        <v>No</v>
      </c>
      <c r="F363" s="1092" t="s">
        <v>2343</v>
      </c>
      <c r="G363" s="1100"/>
      <c r="H363" s="1087" t="str">
        <f>'Part III-Sources of Funds'!H7</f>
        <v>No</v>
      </c>
      <c r="I363" s="1085" t="s">
        <v>1644</v>
      </c>
      <c r="J363" s="1086"/>
      <c r="K363" s="860"/>
      <c r="L363" s="860"/>
      <c r="M363" s="1087" t="str">
        <f>'Part III-Sources of Funds'!M7</f>
        <v>No</v>
      </c>
      <c r="N363" s="1085" t="s">
        <v>3232</v>
      </c>
      <c r="O363" s="860"/>
      <c r="P363" s="1679">
        <f>'Part III-Sources of Funds'!P7</f>
        <v>0</v>
      </c>
      <c r="Q363" s="1679"/>
    </row>
    <row r="364" spans="1:19" ht="13.5">
      <c r="A364" s="1084"/>
      <c r="B364" s="1087" t="str">
        <f>'Part III-Sources of Funds'!B8</f>
        <v>No</v>
      </c>
      <c r="C364" s="1100" t="s">
        <v>2785</v>
      </c>
      <c r="D364" s="1100"/>
      <c r="E364" s="1087" t="str">
        <f>'Part III-Sources of Funds'!E8</f>
        <v>No</v>
      </c>
      <c r="F364" s="850" t="s">
        <v>2786</v>
      </c>
      <c r="G364" s="860"/>
      <c r="H364" s="1087" t="str">
        <f>'Part III-Sources of Funds'!H8</f>
        <v>No</v>
      </c>
      <c r="I364" s="1085" t="s">
        <v>583</v>
      </c>
      <c r="J364" s="1086"/>
      <c r="K364" s="1085"/>
      <c r="L364" s="1085"/>
      <c r="M364" s="1087" t="str">
        <f>'Part III-Sources of Funds'!M8</f>
        <v>No</v>
      </c>
      <c r="N364" s="1649" t="str">
        <f>'Part III-Sources of Funds'!N8</f>
        <v>Other - describe here</v>
      </c>
      <c r="O364" s="1649"/>
      <c r="P364" s="1649"/>
      <c r="Q364" s="1649"/>
    </row>
    <row r="365" spans="1:19" ht="13.5">
      <c r="A365" s="1084"/>
      <c r="B365" s="860" t="s">
        <v>3147</v>
      </c>
      <c r="C365" s="1100"/>
      <c r="D365" s="1100"/>
      <c r="E365" s="1100"/>
      <c r="F365" s="1100"/>
      <c r="G365" s="1100"/>
      <c r="H365" s="1100"/>
      <c r="I365" s="1100"/>
      <c r="J365" s="1100"/>
      <c r="K365" s="1100"/>
      <c r="L365" s="1100"/>
      <c r="M365" s="850"/>
      <c r="N365" s="1100"/>
      <c r="O365" s="1100"/>
      <c r="P365" s="1100"/>
      <c r="Q365" s="1100"/>
    </row>
    <row r="366" spans="1:19" ht="13.5">
      <c r="A366" s="1084"/>
      <c r="B366" s="860"/>
      <c r="C366" s="860"/>
      <c r="D366" s="860"/>
      <c r="E366" s="860"/>
      <c r="F366" s="860"/>
      <c r="G366" s="860"/>
      <c r="H366" s="860"/>
      <c r="I366" s="860"/>
      <c r="J366" s="860"/>
      <c r="K366" s="860"/>
      <c r="L366" s="1100"/>
      <c r="M366" s="850"/>
      <c r="N366" s="1100"/>
      <c r="O366" s="1100"/>
      <c r="P366" s="1100"/>
      <c r="Q366" s="1100"/>
    </row>
    <row r="367" spans="1:19" ht="13.5">
      <c r="A367" s="835" t="s">
        <v>790</v>
      </c>
      <c r="B367" s="834" t="s">
        <v>2498</v>
      </c>
      <c r="C367" s="1100"/>
      <c r="D367" s="1100"/>
      <c r="E367" s="1100"/>
      <c r="F367" s="1100"/>
      <c r="G367" s="1100"/>
      <c r="H367" s="860"/>
      <c r="I367" s="860"/>
      <c r="J367" s="835"/>
      <c r="K367" s="1100"/>
      <c r="L367" s="1100"/>
      <c r="M367" s="1100"/>
      <c r="N367" s="1638"/>
      <c r="O367" s="1638"/>
      <c r="P367" s="1100"/>
      <c r="Q367" s="1100"/>
    </row>
    <row r="368" spans="1:19" ht="13.5">
      <c r="A368" s="835"/>
      <c r="B368" s="834"/>
      <c r="C368" s="1100"/>
      <c r="D368" s="858"/>
      <c r="E368" s="858"/>
      <c r="F368" s="858"/>
      <c r="G368" s="858"/>
      <c r="H368" s="858"/>
      <c r="I368" s="858"/>
      <c r="J368" s="858"/>
      <c r="K368" s="1100"/>
      <c r="L368" s="1100"/>
      <c r="M368" s="1100"/>
      <c r="N368" s="1087"/>
      <c r="O368" s="1087"/>
      <c r="P368" s="1100"/>
      <c r="Q368" s="1100"/>
    </row>
    <row r="369" spans="1:17">
      <c r="A369" s="1100"/>
      <c r="B369" s="1085" t="s">
        <v>2002</v>
      </c>
      <c r="C369" s="1100"/>
      <c r="D369" s="1100"/>
      <c r="E369" s="1100"/>
      <c r="F369" s="1100"/>
      <c r="G369" s="1100"/>
      <c r="H369" s="1649" t="s">
        <v>1383</v>
      </c>
      <c r="I369" s="1649"/>
      <c r="J369" s="1649"/>
      <c r="K369" s="1649"/>
      <c r="L369" s="1638" t="s">
        <v>2127</v>
      </c>
      <c r="M369" s="1638"/>
      <c r="N369" s="1638" t="s">
        <v>1613</v>
      </c>
      <c r="O369" s="1638"/>
      <c r="P369" s="1638" t="s">
        <v>1741</v>
      </c>
      <c r="Q369" s="1638"/>
    </row>
    <row r="370" spans="1:17">
      <c r="A370" s="1100"/>
      <c r="B370" s="1663" t="s">
        <v>1699</v>
      </c>
      <c r="C370" s="1663"/>
      <c r="D370" s="1663"/>
      <c r="E370" s="1100"/>
      <c r="F370" s="1100"/>
      <c r="G370" s="1100"/>
      <c r="H370" s="1649" t="str">
        <f>'Part III-Sources of Funds'!H14</f>
        <v>Bank of America - Construction Loan</v>
      </c>
      <c r="I370" s="1649"/>
      <c r="J370" s="1649"/>
      <c r="K370" s="1649"/>
      <c r="L370" s="1648">
        <f>'Part III-Sources of Funds'!L14</f>
        <v>7100000</v>
      </c>
      <c r="M370" s="1648"/>
      <c r="N370" s="1677">
        <f>'Part III-Sources of Funds'!N14</f>
        <v>0.04</v>
      </c>
      <c r="O370" s="1677"/>
      <c r="P370" s="1645">
        <f>'Part III-Sources of Funds'!P14</f>
        <v>30</v>
      </c>
      <c r="Q370" s="1645"/>
    </row>
    <row r="371" spans="1:17">
      <c r="A371" s="1100"/>
      <c r="B371" s="1663" t="s">
        <v>1700</v>
      </c>
      <c r="C371" s="1663"/>
      <c r="D371" s="1663"/>
      <c r="E371" s="1100"/>
      <c r="F371" s="1100"/>
      <c r="G371" s="1100"/>
      <c r="H371" s="1649" t="str">
        <f>'Part III-Sources of Funds'!H15</f>
        <v>Decatur Housing Authority</v>
      </c>
      <c r="I371" s="1649"/>
      <c r="J371" s="1649"/>
      <c r="K371" s="1649"/>
      <c r="L371" s="1648">
        <f>'Part III-Sources of Funds'!L15</f>
        <v>434441</v>
      </c>
      <c r="M371" s="1648"/>
      <c r="N371" s="1677">
        <f>'Part III-Sources of Funds'!N15</f>
        <v>3.2000000000000001E-2</v>
      </c>
      <c r="O371" s="1677"/>
      <c r="P371" s="1645">
        <f>'Part III-Sources of Funds'!P15</f>
        <v>30</v>
      </c>
      <c r="Q371" s="1645"/>
    </row>
    <row r="372" spans="1:17">
      <c r="A372" s="1100"/>
      <c r="B372" s="1663" t="s">
        <v>1701</v>
      </c>
      <c r="C372" s="1663"/>
      <c r="D372" s="1663"/>
      <c r="E372" s="1100"/>
      <c r="F372" s="1100"/>
      <c r="G372" s="1100"/>
      <c r="H372" s="1649">
        <f>'Part III-Sources of Funds'!H16</f>
        <v>0</v>
      </c>
      <c r="I372" s="1649"/>
      <c r="J372" s="1649"/>
      <c r="K372" s="1649"/>
      <c r="L372" s="1648">
        <f>'Part III-Sources of Funds'!L16</f>
        <v>0</v>
      </c>
      <c r="M372" s="1648"/>
      <c r="N372" s="1677">
        <f>'Part III-Sources of Funds'!N16</f>
        <v>0</v>
      </c>
      <c r="O372" s="1677"/>
      <c r="P372" s="1645">
        <f>'Part III-Sources of Funds'!P16</f>
        <v>0</v>
      </c>
      <c r="Q372" s="1645"/>
    </row>
    <row r="373" spans="1:17">
      <c r="A373" s="1100"/>
      <c r="B373" s="1663" t="s">
        <v>2361</v>
      </c>
      <c r="C373" s="1663"/>
      <c r="D373" s="1663"/>
      <c r="E373" s="1100"/>
      <c r="F373" s="1100"/>
      <c r="G373" s="1100"/>
      <c r="H373" s="1649">
        <f>'Part III-Sources of Funds'!H17</f>
        <v>0</v>
      </c>
      <c r="I373" s="1649"/>
      <c r="J373" s="1649"/>
      <c r="K373" s="1649"/>
      <c r="L373" s="1648">
        <f>'Part III-Sources of Funds'!L17</f>
        <v>0</v>
      </c>
      <c r="M373" s="1648"/>
      <c r="N373" s="1676"/>
      <c r="O373" s="1676"/>
      <c r="P373" s="1638"/>
      <c r="Q373" s="1638"/>
    </row>
    <row r="374" spans="1:17" ht="13.5">
      <c r="A374" s="1100"/>
      <c r="B374" s="1663" t="s">
        <v>855</v>
      </c>
      <c r="C374" s="1663"/>
      <c r="D374" s="1663"/>
      <c r="E374" s="1100"/>
      <c r="F374" s="860"/>
      <c r="G374" s="860"/>
      <c r="H374" s="1649">
        <f>'Part III-Sources of Funds'!H18</f>
        <v>0</v>
      </c>
      <c r="I374" s="1649"/>
      <c r="J374" s="1649"/>
      <c r="K374" s="1649"/>
      <c r="L374" s="1648">
        <f>'Part III-Sources of Funds'!L18</f>
        <v>0</v>
      </c>
      <c r="M374" s="1648"/>
      <c r="N374" s="1676"/>
      <c r="O374" s="1676"/>
      <c r="P374" s="1638"/>
      <c r="Q374" s="1638"/>
    </row>
    <row r="375" spans="1:17" ht="13.5">
      <c r="A375" s="1100"/>
      <c r="B375" s="1663" t="s">
        <v>682</v>
      </c>
      <c r="C375" s="1663"/>
      <c r="D375" s="1663"/>
      <c r="E375" s="1100"/>
      <c r="F375" s="860"/>
      <c r="G375" s="860"/>
      <c r="H375" s="1649">
        <f>'Part III-Sources of Funds'!H19</f>
        <v>0</v>
      </c>
      <c r="I375" s="1649"/>
      <c r="J375" s="1649"/>
      <c r="K375" s="1649"/>
      <c r="L375" s="1648">
        <f>'Part III-Sources of Funds'!L19</f>
        <v>0</v>
      </c>
      <c r="M375" s="1648"/>
      <c r="N375" s="1676"/>
      <c r="O375" s="1676"/>
      <c r="P375" s="1638"/>
      <c r="Q375" s="1638"/>
    </row>
    <row r="376" spans="1:17" ht="13.5">
      <c r="A376" s="1100"/>
      <c r="B376" s="1663" t="s">
        <v>856</v>
      </c>
      <c r="C376" s="1663"/>
      <c r="D376" s="1663"/>
      <c r="E376" s="1100"/>
      <c r="F376" s="860"/>
      <c r="G376" s="860"/>
      <c r="H376" s="1649" t="str">
        <f>'Part III-Sources of Funds'!H20</f>
        <v>Federal Investor @ 40.00%</v>
      </c>
      <c r="I376" s="1649"/>
      <c r="J376" s="1649"/>
      <c r="K376" s="1649"/>
      <c r="L376" s="1648">
        <f>'Part III-Sources of Funds'!L20</f>
        <v>2710004</v>
      </c>
      <c r="M376" s="1648"/>
      <c r="N376" s="1100"/>
      <c r="O376" s="1100"/>
      <c r="P376" s="1100"/>
      <c r="Q376" s="1100"/>
    </row>
    <row r="377" spans="1:17" ht="13.5">
      <c r="A377" s="1100"/>
      <c r="B377" s="1663" t="s">
        <v>857</v>
      </c>
      <c r="C377" s="1663"/>
      <c r="D377" s="1663"/>
      <c r="E377" s="1100"/>
      <c r="F377" s="860"/>
      <c r="G377" s="860"/>
      <c r="H377" s="1649" t="str">
        <f>'Part III-Sources of Funds'!H21</f>
        <v>State Investor @ 40.00%</v>
      </c>
      <c r="I377" s="1649"/>
      <c r="J377" s="1649"/>
      <c r="K377" s="1649"/>
      <c r="L377" s="1648">
        <f>'Part III-Sources of Funds'!L21</f>
        <v>949568</v>
      </c>
      <c r="M377" s="1648"/>
      <c r="N377" s="1100"/>
      <c r="O377" s="1100"/>
      <c r="P377" s="1100"/>
      <c r="Q377" s="1100"/>
    </row>
    <row r="378" spans="1:17">
      <c r="A378" s="1100"/>
      <c r="B378" s="1100" t="s">
        <v>255</v>
      </c>
      <c r="C378" s="1100"/>
      <c r="D378" s="1649">
        <f>'Part III-Sources of Funds'!D22</f>
        <v>0</v>
      </c>
      <c r="E378" s="1649"/>
      <c r="F378" s="1649"/>
      <c r="G378" s="1649"/>
      <c r="H378" s="1649">
        <f>'Part III-Sources of Funds'!H22</f>
        <v>0</v>
      </c>
      <c r="I378" s="1649"/>
      <c r="J378" s="1649"/>
      <c r="K378" s="1649"/>
      <c r="L378" s="1648">
        <f>'Part III-Sources of Funds'!L22</f>
        <v>0</v>
      </c>
      <c r="M378" s="1648"/>
      <c r="N378" s="1100"/>
      <c r="O378" s="1100"/>
      <c r="P378" s="1100"/>
      <c r="Q378" s="1100"/>
    </row>
    <row r="379" spans="1:17">
      <c r="A379" s="1100"/>
      <c r="B379" s="1100" t="s">
        <v>255</v>
      </c>
      <c r="C379" s="1100"/>
      <c r="D379" s="1649">
        <f>'Part III-Sources of Funds'!D23</f>
        <v>0</v>
      </c>
      <c r="E379" s="1649"/>
      <c r="F379" s="1649"/>
      <c r="G379" s="1649"/>
      <c r="H379" s="1649">
        <f>'Part III-Sources of Funds'!H23</f>
        <v>0</v>
      </c>
      <c r="I379" s="1649"/>
      <c r="J379" s="1649"/>
      <c r="K379" s="1649"/>
      <c r="L379" s="1648">
        <f>'Part III-Sources of Funds'!L23</f>
        <v>0</v>
      </c>
      <c r="M379" s="1648"/>
      <c r="N379" s="1100"/>
      <c r="O379" s="1100"/>
      <c r="P379" s="1100"/>
      <c r="Q379" s="1100"/>
    </row>
    <row r="380" spans="1:17">
      <c r="A380" s="1100"/>
      <c r="B380" s="1100" t="s">
        <v>255</v>
      </c>
      <c r="C380" s="1100"/>
      <c r="D380" s="1649">
        <f>'Part III-Sources of Funds'!D24</f>
        <v>0</v>
      </c>
      <c r="E380" s="1649"/>
      <c r="F380" s="1649"/>
      <c r="G380" s="1649"/>
      <c r="H380" s="1649">
        <f>'Part III-Sources of Funds'!H24</f>
        <v>0</v>
      </c>
      <c r="I380" s="1649"/>
      <c r="J380" s="1649"/>
      <c r="K380" s="1649"/>
      <c r="L380" s="1648">
        <f>'Part III-Sources of Funds'!L24</f>
        <v>0</v>
      </c>
      <c r="M380" s="1648"/>
      <c r="N380" s="1100"/>
      <c r="O380" s="1100"/>
      <c r="P380" s="1100"/>
      <c r="Q380" s="1100"/>
    </row>
    <row r="381" spans="1:17" ht="13.5">
      <c r="A381" s="1100"/>
      <c r="B381" s="834" t="s">
        <v>1384</v>
      </c>
      <c r="C381" s="1100"/>
      <c r="D381" s="1100"/>
      <c r="E381" s="1100"/>
      <c r="F381" s="1100"/>
      <c r="G381" s="1100"/>
      <c r="H381" s="1100"/>
      <c r="I381" s="1100"/>
      <c r="J381" s="860"/>
      <c r="K381" s="860"/>
      <c r="L381" s="1671">
        <f>SUM(L370:L380)</f>
        <v>11194013</v>
      </c>
      <c r="M381" s="1671"/>
      <c r="N381" s="1095"/>
      <c r="O381" s="1095"/>
      <c r="P381" s="1095"/>
      <c r="Q381" s="1095"/>
    </row>
    <row r="382" spans="1:17" ht="13.5">
      <c r="A382" s="1100"/>
      <c r="B382" s="1085" t="s">
        <v>1385</v>
      </c>
      <c r="C382" s="1100"/>
      <c r="D382" s="1100"/>
      <c r="E382" s="1100"/>
      <c r="F382" s="1100"/>
      <c r="G382" s="1100"/>
      <c r="H382" s="1100"/>
      <c r="I382" s="1100"/>
      <c r="J382" s="860"/>
      <c r="K382" s="860"/>
      <c r="L382" s="1671">
        <f>'Part III-Sources of Funds'!L26</f>
        <v>8493591</v>
      </c>
      <c r="M382" s="1671"/>
      <c r="N382" s="1672"/>
      <c r="O382" s="1672"/>
      <c r="P382" s="1672"/>
      <c r="Q382" s="1672"/>
    </row>
    <row r="383" spans="1:17" ht="13.5">
      <c r="A383" s="1100"/>
      <c r="B383" s="1085" t="s">
        <v>2297</v>
      </c>
      <c r="C383" s="1100"/>
      <c r="D383" s="1100"/>
      <c r="E383" s="1100"/>
      <c r="F383" s="1100"/>
      <c r="G383" s="1100"/>
      <c r="H383" s="1100"/>
      <c r="I383" s="1100"/>
      <c r="J383" s="860"/>
      <c r="K383" s="860"/>
      <c r="L383" s="1673">
        <f>L381-L382</f>
        <v>2700422</v>
      </c>
      <c r="M383" s="1673"/>
      <c r="N383" s="1672"/>
      <c r="O383" s="1672"/>
      <c r="P383" s="1672"/>
      <c r="Q383" s="1672"/>
    </row>
    <row r="384" spans="1:17">
      <c r="A384" s="849"/>
      <c r="B384" s="834"/>
      <c r="C384" s="1095"/>
      <c r="D384" s="1095"/>
      <c r="E384" s="1095"/>
      <c r="F384" s="1095"/>
      <c r="G384" s="1095"/>
      <c r="H384" s="1095"/>
      <c r="I384" s="1095"/>
      <c r="J384" s="1095"/>
      <c r="K384" s="1095"/>
      <c r="L384" s="1095"/>
      <c r="M384" s="1087"/>
      <c r="N384" s="1087"/>
      <c r="O384" s="1095"/>
      <c r="P384" s="835"/>
      <c r="Q384" s="835"/>
    </row>
    <row r="385" spans="1:17">
      <c r="A385" s="835" t="s">
        <v>792</v>
      </c>
      <c r="B385" s="834" t="s">
        <v>854</v>
      </c>
      <c r="C385" s="1095"/>
      <c r="D385" s="1095"/>
      <c r="E385" s="1095"/>
      <c r="F385" s="1095"/>
      <c r="G385" s="1095"/>
      <c r="H385" s="1095"/>
      <c r="I385" s="1095"/>
      <c r="J385" s="1095"/>
      <c r="K385" s="1095"/>
      <c r="L385" s="1095"/>
      <c r="M385" s="1087"/>
      <c r="N385" s="1087"/>
      <c r="O385" s="1095"/>
      <c r="P385" s="835"/>
      <c r="Q385" s="835"/>
    </row>
    <row r="386" spans="1:17">
      <c r="A386" s="1100"/>
      <c r="B386" s="1100"/>
      <c r="C386" s="1100"/>
      <c r="D386" s="1100"/>
      <c r="E386" s="1100"/>
      <c r="F386" s="1087"/>
      <c r="G386" s="1087"/>
      <c r="H386" s="1638"/>
      <c r="I386" s="1638"/>
      <c r="J386" s="1090" t="s">
        <v>2238</v>
      </c>
      <c r="K386" s="1087" t="s">
        <v>1381</v>
      </c>
      <c r="L386" s="1087" t="s">
        <v>1386</v>
      </c>
      <c r="M386" s="1674" t="s">
        <v>36</v>
      </c>
      <c r="N386" s="1674"/>
      <c r="O386" s="1087"/>
      <c r="P386" s="1087"/>
      <c r="Q386" s="1675" t="s">
        <v>2495</v>
      </c>
    </row>
    <row r="387" spans="1:17">
      <c r="A387" s="1100"/>
      <c r="B387" s="1085" t="s">
        <v>2002</v>
      </c>
      <c r="C387" s="1100"/>
      <c r="D387" s="1100"/>
      <c r="E387" s="1663" t="s">
        <v>1383</v>
      </c>
      <c r="F387" s="1663"/>
      <c r="G387" s="1663"/>
      <c r="H387" s="1638" t="s">
        <v>519</v>
      </c>
      <c r="I387" s="1638"/>
      <c r="J387" s="1087" t="s">
        <v>1933</v>
      </c>
      <c r="K387" s="1087" t="s">
        <v>2360</v>
      </c>
      <c r="L387" s="1087" t="s">
        <v>2360</v>
      </c>
      <c r="M387" s="1674"/>
      <c r="N387" s="1674"/>
      <c r="O387" s="1638" t="s">
        <v>77</v>
      </c>
      <c r="P387" s="1638"/>
      <c r="Q387" s="1675"/>
    </row>
    <row r="388" spans="1:17">
      <c r="A388" s="1100"/>
      <c r="B388" s="1663" t="s">
        <v>2799</v>
      </c>
      <c r="C388" s="1663"/>
      <c r="D388" s="1663"/>
      <c r="E388" s="1649" t="str">
        <f>'Part III-Sources of Funds'!E32</f>
        <v>Decatur Housing Authority</v>
      </c>
      <c r="F388" s="1663"/>
      <c r="G388" s="1663"/>
      <c r="H388" s="1664">
        <f>'Part III-Sources of Funds'!H32</f>
        <v>1150000</v>
      </c>
      <c r="I388" s="1663"/>
      <c r="J388" s="867">
        <f>'Part III-Sources of Funds'!J32</f>
        <v>3.2000000000000001E-2</v>
      </c>
      <c r="K388" s="1087">
        <f>'Part III-Sources of Funds'!K32</f>
        <v>20</v>
      </c>
      <c r="L388" s="1087">
        <f>'Part III-Sources of Funds'!L32</f>
        <v>20</v>
      </c>
      <c r="M388" s="1670">
        <f>'Part III-Sources of Funds'!M32</f>
        <v>77923</v>
      </c>
      <c r="N388" s="1670"/>
      <c r="O388" s="1638" t="str">
        <f>'Part III-Sources of Funds'!O32</f>
        <v>Amortizing</v>
      </c>
      <c r="P388" s="1638"/>
      <c r="Q388" s="868">
        <f>'Part III-Sources of Funds'!Q32</f>
        <v>2</v>
      </c>
    </row>
    <row r="389" spans="1:17">
      <c r="A389" s="1100"/>
      <c r="B389" s="1663" t="s">
        <v>2800</v>
      </c>
      <c r="C389" s="1663"/>
      <c r="D389" s="1663"/>
      <c r="E389" s="1649">
        <f>'Part III-Sources of Funds'!E33</f>
        <v>0</v>
      </c>
      <c r="F389" s="1663"/>
      <c r="G389" s="1663"/>
      <c r="H389" s="1664">
        <f>'Part III-Sources of Funds'!H33</f>
        <v>0</v>
      </c>
      <c r="I389" s="1663"/>
      <c r="J389" s="867">
        <f>'Part III-Sources of Funds'!J33</f>
        <v>0</v>
      </c>
      <c r="K389" s="1087">
        <f>'Part III-Sources of Funds'!K33</f>
        <v>0</v>
      </c>
      <c r="L389" s="1087">
        <f>'Part III-Sources of Funds'!L33</f>
        <v>0</v>
      </c>
      <c r="M389" s="1670" t="str">
        <f>'Part III-Sources of Funds'!M33</f>
        <v/>
      </c>
      <c r="N389" s="1670"/>
      <c r="O389" s="1638">
        <f>'Part III-Sources of Funds'!O33</f>
        <v>0</v>
      </c>
      <c r="P389" s="1638"/>
      <c r="Q389" s="868">
        <f>'Part III-Sources of Funds'!Q33</f>
        <v>0</v>
      </c>
    </row>
    <row r="390" spans="1:17">
      <c r="A390" s="1100"/>
      <c r="B390" s="1663" t="s">
        <v>2801</v>
      </c>
      <c r="C390" s="1663"/>
      <c r="D390" s="1663"/>
      <c r="E390" s="1649">
        <f>'Part III-Sources of Funds'!E34</f>
        <v>0</v>
      </c>
      <c r="F390" s="1663"/>
      <c r="G390" s="1663"/>
      <c r="H390" s="1664">
        <f>'Part III-Sources of Funds'!H34</f>
        <v>0</v>
      </c>
      <c r="I390" s="1663"/>
      <c r="J390" s="867">
        <f>'Part III-Sources of Funds'!J34</f>
        <v>0</v>
      </c>
      <c r="K390" s="1087">
        <f>'Part III-Sources of Funds'!K34</f>
        <v>0</v>
      </c>
      <c r="L390" s="1087">
        <f>'Part III-Sources of Funds'!L34</f>
        <v>0</v>
      </c>
      <c r="M390" s="1670" t="str">
        <f>'Part III-Sources of Funds'!M34</f>
        <v/>
      </c>
      <c r="N390" s="1670"/>
      <c r="O390" s="1638">
        <f>'Part III-Sources of Funds'!O34</f>
        <v>0</v>
      </c>
      <c r="P390" s="1638"/>
      <c r="Q390" s="868">
        <f>'Part III-Sources of Funds'!Q34</f>
        <v>0</v>
      </c>
    </row>
    <row r="391" spans="1:17">
      <c r="A391" s="1100"/>
      <c r="B391" s="1100" t="s">
        <v>791</v>
      </c>
      <c r="C391" s="1649">
        <f>'Part III-Sources of Funds'!C35</f>
        <v>0</v>
      </c>
      <c r="D391" s="1649"/>
      <c r="E391" s="1649">
        <f>'Part III-Sources of Funds'!E35</f>
        <v>0</v>
      </c>
      <c r="F391" s="1663"/>
      <c r="G391" s="1663"/>
      <c r="H391" s="1664">
        <f>'Part III-Sources of Funds'!H35</f>
        <v>0</v>
      </c>
      <c r="I391" s="1663"/>
      <c r="J391" s="867">
        <f>'Part III-Sources of Funds'!J35</f>
        <v>0</v>
      </c>
      <c r="K391" s="1087">
        <f>'Part III-Sources of Funds'!K35</f>
        <v>0</v>
      </c>
      <c r="L391" s="1087">
        <f>'Part III-Sources of Funds'!L35</f>
        <v>0</v>
      </c>
      <c r="M391" s="1670" t="str">
        <f>'Part III-Sources of Funds'!M35</f>
        <v/>
      </c>
      <c r="N391" s="1670"/>
      <c r="O391" s="1638">
        <f>'Part III-Sources of Funds'!O35</f>
        <v>0</v>
      </c>
      <c r="P391" s="1638"/>
      <c r="Q391" s="868">
        <f>'Part III-Sources of Funds'!Q35</f>
        <v>0</v>
      </c>
    </row>
    <row r="392" spans="1:17">
      <c r="A392" s="1100"/>
      <c r="B392" s="1100" t="s">
        <v>3023</v>
      </c>
      <c r="C392" s="1100"/>
      <c r="D392" s="1100"/>
      <c r="E392" s="1649" t="str">
        <f>'Part III-Sources of Funds'!E36</f>
        <v>Funding for costs &gt; PCL</v>
      </c>
      <c r="F392" s="1663"/>
      <c r="G392" s="1663"/>
      <c r="H392" s="1664">
        <f>'Part III-Sources of Funds'!H36</f>
        <v>0</v>
      </c>
      <c r="I392" s="1663"/>
      <c r="J392" s="867"/>
      <c r="K392" s="1087"/>
      <c r="L392" s="1087"/>
      <c r="M392" s="1670" t="str">
        <f>IF(OR(H392&lt;=0,H392=""),"",IF(O392="Amortizing",-PMT(J392/12,L392*12,H392,0,0)*12,""))</f>
        <v/>
      </c>
      <c r="N392" s="1670"/>
      <c r="O392" s="1638"/>
      <c r="P392" s="1638"/>
      <c r="Q392" s="868"/>
    </row>
    <row r="393" spans="1:17">
      <c r="A393" s="1100"/>
      <c r="B393" s="1100" t="s">
        <v>239</v>
      </c>
      <c r="C393" s="1100"/>
      <c r="D393" s="1111">
        <f>IF(OR(H393="",H393=0,'Part IV-Uses of Funds'!$G$116="",'Part IV-Uses of Funds'!$G$116=0),"",H393/'Part IV-Uses of Funds'!$G$116)</f>
        <v>0.25939382264462846</v>
      </c>
      <c r="E393" s="1649" t="str">
        <f>'Part III-Sources of Funds'!E37</f>
        <v>Preserving Affordable Housing</v>
      </c>
      <c r="F393" s="1663"/>
      <c r="G393" s="1663"/>
      <c r="H393" s="1664">
        <f>'Part III-Sources of Funds'!H37</f>
        <v>347409</v>
      </c>
      <c r="I393" s="1663"/>
      <c r="J393" s="867">
        <f>'Part III-Sources of Funds'!J37</f>
        <v>3.2000000000000001E-2</v>
      </c>
      <c r="K393" s="1087">
        <f>'Part III-Sources of Funds'!K37</f>
        <v>0</v>
      </c>
      <c r="L393" s="1087">
        <f>'Part III-Sources of Funds'!L37</f>
        <v>0</v>
      </c>
      <c r="M393" s="1670" t="str">
        <f>'Part III-Sources of Funds'!M37</f>
        <v/>
      </c>
      <c r="N393" s="1670"/>
      <c r="O393" s="1638" t="str">
        <f>'Part III-Sources of Funds'!O37</f>
        <v>Cash Flow</v>
      </c>
      <c r="P393" s="1638"/>
      <c r="Q393" s="868">
        <f>'Part III-Sources of Funds'!Q37</f>
        <v>0</v>
      </c>
    </row>
    <row r="394" spans="1:17" ht="13.5">
      <c r="A394" s="1100"/>
      <c r="B394" s="1663" t="s">
        <v>2361</v>
      </c>
      <c r="C394" s="1663"/>
      <c r="D394" s="1663"/>
      <c r="E394" s="1649">
        <f>'Part III-Sources of Funds'!E38</f>
        <v>0</v>
      </c>
      <c r="F394" s="1663"/>
      <c r="G394" s="1663"/>
      <c r="H394" s="1664">
        <f>'Part III-Sources of Funds'!H38</f>
        <v>0</v>
      </c>
      <c r="I394" s="1663"/>
      <c r="J394" s="860"/>
      <c r="K394" s="1100"/>
      <c r="L394" s="1100"/>
      <c r="M394" s="1100"/>
      <c r="N394" s="1100"/>
      <c r="O394" s="1100"/>
      <c r="P394" s="1100"/>
      <c r="Q394" s="1100"/>
    </row>
    <row r="395" spans="1:17" ht="13.5">
      <c r="A395" s="1100"/>
      <c r="B395" s="1663" t="s">
        <v>855</v>
      </c>
      <c r="C395" s="1663"/>
      <c r="D395" s="1663"/>
      <c r="E395" s="1649">
        <f>'Part III-Sources of Funds'!E39</f>
        <v>0</v>
      </c>
      <c r="F395" s="1663"/>
      <c r="G395" s="1663"/>
      <c r="H395" s="1664">
        <f>'Part III-Sources of Funds'!H39</f>
        <v>0</v>
      </c>
      <c r="I395" s="1663"/>
      <c r="J395" s="1668" t="s">
        <v>550</v>
      </c>
      <c r="K395" s="1668"/>
      <c r="L395" s="1669" t="s">
        <v>551</v>
      </c>
      <c r="M395" s="1669"/>
      <c r="N395" s="860"/>
      <c r="O395" s="1087" t="s">
        <v>549</v>
      </c>
      <c r="P395" s="869"/>
      <c r="Q395" s="1100"/>
    </row>
    <row r="396" spans="1:17" ht="13.5">
      <c r="A396" s="1100"/>
      <c r="B396" s="1663" t="s">
        <v>856</v>
      </c>
      <c r="C396" s="1663"/>
      <c r="D396" s="1663"/>
      <c r="E396" s="1649" t="str">
        <f>'Part III-Sources of Funds'!E40</f>
        <v>Hudson Housing Partners</v>
      </c>
      <c r="F396" s="1663"/>
      <c r="G396" s="1663"/>
      <c r="H396" s="1664">
        <f>'Part III-Sources of Funds'!H40</f>
        <v>6775869</v>
      </c>
      <c r="I396" s="1663"/>
      <c r="J396" s="1666">
        <f>'Part IV-Uses of Funds'!$J$173*10*'Part IV-Uses of Funds'!$N$166</f>
        <v>6775868.9959993623</v>
      </c>
      <c r="K396" s="1666"/>
      <c r="L396" s="1667">
        <f>H396-J396</f>
        <v>4.0006376802921295E-3</v>
      </c>
      <c r="M396" s="1667"/>
      <c r="N396" s="860"/>
      <c r="O396" s="1104" t="s">
        <v>2744</v>
      </c>
      <c r="P396" s="869"/>
      <c r="Q396" s="1100"/>
    </row>
    <row r="397" spans="1:17" ht="13.5">
      <c r="A397" s="1100"/>
      <c r="B397" s="1663" t="s">
        <v>857</v>
      </c>
      <c r="C397" s="1663"/>
      <c r="D397" s="1663"/>
      <c r="E397" s="1649" t="str">
        <f>'Part III-Sources of Funds'!E41</f>
        <v>Sugar Creek Realty</v>
      </c>
      <c r="F397" s="1663"/>
      <c r="G397" s="1663"/>
      <c r="H397" s="1664">
        <f>'Part III-Sources of Funds'!H41</f>
        <v>2373919</v>
      </c>
      <c r="I397" s="1663"/>
      <c r="J397" s="1666">
        <f>'Part IV-Uses of Funds'!$J$173*10*'Part IV-Uses of Funds'!$Q$166</f>
        <v>2305474.9568000003</v>
      </c>
      <c r="K397" s="1666"/>
      <c r="L397" s="1667">
        <f>H397-J397</f>
        <v>68444.043199999724</v>
      </c>
      <c r="M397" s="1667"/>
      <c r="N397" s="860"/>
      <c r="O397" s="870">
        <f>H396/H406</f>
        <v>0.63639932650818798</v>
      </c>
      <c r="P397" s="869"/>
      <c r="Q397" s="1100"/>
    </row>
    <row r="398" spans="1:17" ht="13.5">
      <c r="A398" s="1100"/>
      <c r="B398" s="1663" t="s">
        <v>1502</v>
      </c>
      <c r="C398" s="1663"/>
      <c r="D398" s="1663"/>
      <c r="E398" s="1649">
        <f>'Part III-Sources of Funds'!E42</f>
        <v>0</v>
      </c>
      <c r="F398" s="1663"/>
      <c r="G398" s="1663"/>
      <c r="H398" s="1664">
        <f>'Part III-Sources of Funds'!H42</f>
        <v>0</v>
      </c>
      <c r="I398" s="1663"/>
      <c r="J398" s="860"/>
      <c r="K398" s="860"/>
      <c r="L398" s="860"/>
      <c r="M398" s="869"/>
      <c r="N398" s="860"/>
      <c r="O398" s="870">
        <f>H397/H406</f>
        <v>0.22296187437876841</v>
      </c>
      <c r="P398" s="869"/>
      <c r="Q398" s="1100"/>
    </row>
    <row r="399" spans="1:17" ht="13.5">
      <c r="A399" s="1100"/>
      <c r="B399" s="1100" t="s">
        <v>564</v>
      </c>
      <c r="C399" s="1100"/>
      <c r="D399" s="1100"/>
      <c r="E399" s="1649">
        <f>'Part III-Sources of Funds'!E43</f>
        <v>0</v>
      </c>
      <c r="F399" s="1663"/>
      <c r="G399" s="1663"/>
      <c r="H399" s="1664">
        <f>'Part III-Sources of Funds'!H43</f>
        <v>0</v>
      </c>
      <c r="I399" s="1663"/>
      <c r="J399" s="860"/>
      <c r="K399" s="1100"/>
      <c r="L399" s="1100"/>
      <c r="M399" s="869"/>
      <c r="N399" s="860"/>
      <c r="O399" s="870">
        <f>SUM(O397:O398)</f>
        <v>0.85936120088695644</v>
      </c>
      <c r="P399" s="869"/>
      <c r="Q399" s="1100"/>
    </row>
    <row r="400" spans="1:17" ht="13.5">
      <c r="A400" s="1100"/>
      <c r="B400" s="1100" t="s">
        <v>2000</v>
      </c>
      <c r="C400" s="1100"/>
      <c r="D400" s="1100"/>
      <c r="E400" s="1649">
        <f>'Part III-Sources of Funds'!E44</f>
        <v>0</v>
      </c>
      <c r="F400" s="1663"/>
      <c r="G400" s="1663"/>
      <c r="H400" s="1664">
        <f>'Part III-Sources of Funds'!H44</f>
        <v>0</v>
      </c>
      <c r="I400" s="1663"/>
      <c r="J400" s="1100"/>
      <c r="K400" s="860"/>
      <c r="L400" s="860"/>
      <c r="M400" s="869"/>
      <c r="N400" s="869"/>
      <c r="O400" s="869"/>
      <c r="P400" s="869"/>
      <c r="Q400" s="1100"/>
    </row>
    <row r="401" spans="1:20" ht="13.5">
      <c r="A401" s="1100"/>
      <c r="B401" s="1100" t="s">
        <v>2001</v>
      </c>
      <c r="C401" s="1100"/>
      <c r="D401" s="1100"/>
      <c r="E401" s="1649">
        <f>'Part III-Sources of Funds'!E45</f>
        <v>0</v>
      </c>
      <c r="F401" s="1663"/>
      <c r="G401" s="1663"/>
      <c r="H401" s="1664">
        <f>'Part III-Sources of Funds'!H45</f>
        <v>0</v>
      </c>
      <c r="I401" s="1663"/>
      <c r="J401" s="1100"/>
      <c r="K401" s="860"/>
      <c r="L401" s="860"/>
      <c r="M401" s="869"/>
      <c r="N401" s="869"/>
      <c r="O401" s="869"/>
      <c r="P401" s="869"/>
      <c r="Q401" s="1100"/>
    </row>
    <row r="402" spans="1:20" ht="13.5">
      <c r="A402" s="1100"/>
      <c r="B402" s="1100" t="s">
        <v>791</v>
      </c>
      <c r="C402" s="1649">
        <f>'Part III-Sources of Funds'!C46</f>
        <v>0</v>
      </c>
      <c r="D402" s="1649"/>
      <c r="E402" s="1649">
        <f>'Part III-Sources of Funds'!E46</f>
        <v>0</v>
      </c>
      <c r="F402" s="1663"/>
      <c r="G402" s="1663"/>
      <c r="H402" s="1664">
        <f>'Part III-Sources of Funds'!H46</f>
        <v>0</v>
      </c>
      <c r="I402" s="1663"/>
      <c r="J402" s="1100"/>
      <c r="K402" s="860"/>
      <c r="L402" s="860"/>
      <c r="M402" s="869"/>
      <c r="N402" s="869"/>
      <c r="O402" s="869"/>
      <c r="P402" s="869"/>
      <c r="Q402" s="1100"/>
    </row>
    <row r="403" spans="1:20">
      <c r="A403" s="1100"/>
      <c r="B403" s="1100" t="s">
        <v>791</v>
      </c>
      <c r="C403" s="1649">
        <f>'Part III-Sources of Funds'!C47</f>
        <v>0</v>
      </c>
      <c r="D403" s="1649"/>
      <c r="E403" s="1649">
        <f>'Part III-Sources of Funds'!E47</f>
        <v>0</v>
      </c>
      <c r="F403" s="1663"/>
      <c r="G403" s="1663"/>
      <c r="H403" s="1664">
        <f>'Part III-Sources of Funds'!H47</f>
        <v>0</v>
      </c>
      <c r="I403" s="1663"/>
      <c r="J403" s="1100"/>
      <c r="K403" s="1100"/>
      <c r="L403" s="1087"/>
      <c r="M403" s="869"/>
      <c r="N403" s="869"/>
      <c r="O403" s="869"/>
      <c r="P403" s="869"/>
      <c r="Q403" s="1100"/>
    </row>
    <row r="404" spans="1:20">
      <c r="A404" s="1100"/>
      <c r="B404" s="1100" t="s">
        <v>791</v>
      </c>
      <c r="C404" s="1649">
        <f>'Part III-Sources of Funds'!C48</f>
        <v>0</v>
      </c>
      <c r="D404" s="1649"/>
      <c r="E404" s="1649">
        <f>'Part III-Sources of Funds'!E48</f>
        <v>0</v>
      </c>
      <c r="F404" s="1663"/>
      <c r="G404" s="1663"/>
      <c r="H404" s="1664">
        <f>'Part III-Sources of Funds'!H48</f>
        <v>0</v>
      </c>
      <c r="I404" s="1663"/>
      <c r="J404" s="1100"/>
      <c r="K404" s="1100"/>
      <c r="L404" s="1087"/>
      <c r="M404" s="869"/>
      <c r="N404" s="869"/>
      <c r="O404" s="869"/>
      <c r="P404" s="869"/>
      <c r="Q404" s="1100"/>
    </row>
    <row r="405" spans="1:20">
      <c r="A405" s="1100"/>
      <c r="B405" s="1085" t="s">
        <v>2362</v>
      </c>
      <c r="C405" s="1100"/>
      <c r="D405" s="1100"/>
      <c r="E405" s="1100"/>
      <c r="F405" s="1100"/>
      <c r="G405" s="1100"/>
      <c r="H405" s="1665">
        <f>SUM(H388:I404)</f>
        <v>10647197</v>
      </c>
      <c r="I405" s="1665"/>
      <c r="J405" s="1095"/>
      <c r="K405" s="1100"/>
      <c r="L405" s="1087"/>
      <c r="M405" s="869"/>
      <c r="N405" s="869"/>
      <c r="O405" s="869"/>
      <c r="P405" s="869"/>
      <c r="Q405" s="1100"/>
    </row>
    <row r="406" spans="1:20">
      <c r="A406" s="1100"/>
      <c r="B406" s="1085" t="s">
        <v>2363</v>
      </c>
      <c r="C406" s="1100"/>
      <c r="D406" s="1100"/>
      <c r="E406" s="1100"/>
      <c r="F406" s="1100"/>
      <c r="G406" s="1100"/>
      <c r="H406" s="1665">
        <f>'Part IV-Uses of Funds'!$G$130</f>
        <v>10647197</v>
      </c>
      <c r="I406" s="1665"/>
      <c r="J406" s="1095"/>
      <c r="K406" s="1100"/>
      <c r="L406" s="1087"/>
      <c r="M406" s="869"/>
      <c r="N406" s="869"/>
      <c r="O406" s="869"/>
      <c r="P406" s="869"/>
      <c r="Q406" s="1100"/>
    </row>
    <row r="407" spans="1:20">
      <c r="A407" s="1100"/>
      <c r="B407" s="1085" t="s">
        <v>1631</v>
      </c>
      <c r="C407" s="1100"/>
      <c r="D407" s="1100"/>
      <c r="E407" s="1100"/>
      <c r="F407" s="1100"/>
      <c r="G407" s="1100"/>
      <c r="H407" s="1636">
        <f>H405-H406</f>
        <v>0</v>
      </c>
      <c r="I407" s="1636"/>
      <c r="J407" s="1095"/>
      <c r="K407" s="1100"/>
      <c r="L407" s="1087"/>
      <c r="M407" s="869"/>
      <c r="N407" s="869"/>
      <c r="O407" s="869"/>
      <c r="P407" s="869"/>
      <c r="Q407" s="1100"/>
    </row>
    <row r="408" spans="1:20">
      <c r="A408" s="1100" t="s">
        <v>3024</v>
      </c>
      <c r="B408" s="1085"/>
      <c r="C408" s="1100"/>
      <c r="D408" s="1100"/>
      <c r="E408" s="1100"/>
      <c r="F408" s="1100"/>
      <c r="G408" s="1100"/>
      <c r="H408" s="1105"/>
      <c r="I408" s="1105"/>
      <c r="J408" s="1095"/>
      <c r="K408" s="1100"/>
      <c r="L408" s="1087"/>
      <c r="M408" s="869"/>
      <c r="N408" s="869"/>
      <c r="O408" s="869"/>
      <c r="P408" s="869"/>
      <c r="Q408" s="1100"/>
    </row>
    <row r="409" spans="1:20">
      <c r="A409" s="1095"/>
      <c r="B409" s="1095"/>
      <c r="C409" s="1095"/>
      <c r="D409" s="1095"/>
      <c r="E409" s="1095"/>
      <c r="F409" s="1095"/>
      <c r="G409" s="1095"/>
      <c r="H409" s="1095"/>
      <c r="I409" s="1095"/>
      <c r="J409" s="1095"/>
      <c r="K409" s="1095"/>
      <c r="L409" s="1095"/>
      <c r="M409" s="1095"/>
      <c r="N409" s="1095"/>
      <c r="O409" s="1095"/>
      <c r="P409" s="1095"/>
      <c r="Q409" s="1095"/>
    </row>
    <row r="410" spans="1:20">
      <c r="A410" s="835" t="s">
        <v>1916</v>
      </c>
      <c r="B410" s="835" t="s">
        <v>608</v>
      </c>
      <c r="C410" s="1095"/>
      <c r="D410" s="1095"/>
      <c r="E410" s="1095"/>
      <c r="F410" s="1095"/>
      <c r="G410" s="1095"/>
      <c r="H410" s="1095"/>
      <c r="I410" s="1095"/>
      <c r="J410" s="1095"/>
      <c r="K410" s="835" t="s">
        <v>1916</v>
      </c>
      <c r="L410" s="835" t="s">
        <v>82</v>
      </c>
      <c r="M410" s="1095"/>
      <c r="N410" s="1095"/>
      <c r="O410" s="1095"/>
      <c r="P410" s="1095"/>
      <c r="Q410" s="1095"/>
    </row>
    <row r="411" spans="1:20" ht="13.5">
      <c r="A411" s="871"/>
      <c r="B411" s="872"/>
      <c r="C411" s="871"/>
      <c r="D411" s="871"/>
      <c r="E411" s="871"/>
      <c r="F411" s="871"/>
      <c r="G411" s="871"/>
      <c r="H411" s="871"/>
      <c r="I411" s="871"/>
      <c r="J411" s="871"/>
      <c r="K411" s="871"/>
      <c r="L411" s="871"/>
      <c r="M411" s="871"/>
      <c r="N411" s="871"/>
      <c r="O411" s="871"/>
      <c r="P411" s="871"/>
      <c r="Q411" s="871"/>
    </row>
    <row r="412" spans="1:20">
      <c r="A412" s="1616" t="str">
        <f>'Part III-Sources of Funds'!A56</f>
        <v xml:space="preserve">CONSTRUCTION FINANCING - Bank of America will provide construction financing for the project   A copy of the Commitment Letter outlining the terms of the BOA loans is located in Tab #1.
DEFERRED DEVELOPER FEE - The terms of the Deferred Developer Fee, if any, are in the Development Services Agreement between Preserving Affordable Housing Inc.  and Trinity Walk I LP. A copy of the agreement is included in Tab #1. 
FEDERAL AND STATE HOUSING CREDIT EQUITY - The Federal Equity Contribution is calculated using an ownership percentage of 98.99% and the State Equity Contribution is calculated at the ownership percentages of 100% of the State credits plus 1% of the Federal credits. The amount of State Housing Credit Equity is more than the amount shown in the Equity Check because the State Investor, Sugar Creek Realty, in addition to purchasing the State Housing Credits, will purchase 1% of the Federal Housing Credits at the same rate as the Federal Investor. The commitment letters from Hudson Housing Partners and Sugar Creek Realty are located in Tab #1.  
SECOND PRIORITY CONSTRUCTION/PERMANENT LOAN - Decatur Housing Authority will make a Construction/Permanent Loan (DHA Loan) to the project in the amount of $1,150,000. The DHA Loan will close at the initial closing of the partnership and its proceeds will be used to pay or repay the cost of resident relocation and building demolition, as well as other predevelopment costs that may have been incurred prior to the initial closing. During the remainder of the construction period, the unfunded balance of the DHA loan will be available to pay for construction and other project costs. The DHA Loan will be fully funded to $1,150,000 not later than the payoff of the construction loan at which time the loan will convert to an amortizing first mortgage with a term of 20 years. The interest rate will be set at the initial closing to the appropriate long-term AFR.  During the construction phase no principal shall be due and interest on the outstanding balance will accrue and be added to the outstanding principal balance. Upon the 100% payoff of the construction loan and other terms contained in the partnership documents and construction loan documents, the DHA Loan will convert to its permanent phase at which time monthly principle and interest payments will be set equal to an amount such that the balance of the all principal and interest will be repaid no later than 20 years from the date of conversion. See the DHA Loan Commitment in Tab #1 and the narrative in Tab #34 for other terms and details of the loan.
</v>
      </c>
      <c r="B412" s="1575"/>
      <c r="C412" s="1575"/>
      <c r="D412" s="1575"/>
      <c r="E412" s="1575"/>
      <c r="F412" s="1575"/>
      <c r="G412" s="1575"/>
      <c r="H412" s="1575"/>
      <c r="I412" s="1575"/>
      <c r="J412" s="1575"/>
      <c r="K412" s="1616">
        <f>'Part III-Sources of Funds'!K56</f>
        <v>0</v>
      </c>
      <c r="L412" s="1575"/>
      <c r="M412" s="1575"/>
      <c r="N412" s="1575"/>
      <c r="O412" s="1575"/>
      <c r="P412" s="1575"/>
      <c r="Q412" s="1575"/>
    </row>
    <row r="415" spans="1:20">
      <c r="A415" s="1656" t="str">
        <f>CONCATENATE("PART FOUR -  USES OF FUNDS","  -  ",'Part I-Project Information'!$O$4," ",'Part I-Project Information'!$F$23,", ",'Part I-Project Information'!F441,", ",'Part I-Project Information'!J442," County")</f>
        <v>PART FOUR -  USES OF FUNDS  -  2014-055 Trinity Walk Phase I, , Fitzgerald/Ben Hill County Development Authority County</v>
      </c>
      <c r="B415" s="1656"/>
      <c r="C415" s="1656"/>
      <c r="D415" s="1656"/>
      <c r="E415" s="1656"/>
      <c r="F415" s="1656"/>
      <c r="G415" s="1656"/>
      <c r="H415" s="1656"/>
      <c r="I415" s="1656"/>
      <c r="J415" s="1656"/>
      <c r="K415" s="1656"/>
      <c r="L415" s="1656"/>
      <c r="M415" s="1656"/>
      <c r="N415" s="1656"/>
      <c r="O415" s="1656"/>
      <c r="P415" s="1656"/>
      <c r="Q415" s="1656"/>
      <c r="R415" s="1656"/>
      <c r="S415" s="1656"/>
      <c r="T415" s="1656"/>
    </row>
    <row r="416" spans="1:20">
      <c r="A416" s="1095"/>
      <c r="B416" s="1095"/>
      <c r="C416" s="1095"/>
      <c r="D416" s="1095"/>
      <c r="E416" s="1095"/>
      <c r="F416" s="1095"/>
      <c r="G416" s="1095"/>
      <c r="H416" s="1095"/>
      <c r="I416" s="1095"/>
      <c r="J416" s="1095"/>
      <c r="K416" s="1095"/>
      <c r="L416" s="1095"/>
      <c r="M416" s="1095"/>
      <c r="N416" s="1095"/>
      <c r="O416" s="1095"/>
      <c r="P416" s="1095"/>
      <c r="Q416" s="1095"/>
      <c r="R416" s="1095"/>
      <c r="S416" s="1095"/>
      <c r="T416" s="1095"/>
    </row>
    <row r="417" spans="1:20">
      <c r="A417" s="835"/>
      <c r="B417" s="835"/>
      <c r="C417" s="835"/>
      <c r="D417" s="835"/>
      <c r="E417" s="835"/>
      <c r="F417" s="835"/>
      <c r="G417" s="835"/>
      <c r="H417" s="835"/>
      <c r="I417" s="835"/>
      <c r="J417" s="835"/>
      <c r="K417" s="835"/>
      <c r="L417" s="835"/>
      <c r="M417" s="835"/>
      <c r="N417" s="835"/>
      <c r="O417" s="835"/>
      <c r="P417" s="835"/>
      <c r="Q417" s="835"/>
      <c r="R417" s="835"/>
      <c r="S417" s="835"/>
      <c r="T417" s="835"/>
    </row>
    <row r="418" spans="1:20" ht="16.5">
      <c r="A418" s="1084"/>
      <c r="B418" s="1084"/>
      <c r="C418" s="1084"/>
      <c r="D418" s="873"/>
      <c r="E418" s="873"/>
      <c r="F418" s="873"/>
      <c r="G418" s="873"/>
      <c r="H418" s="873"/>
      <c r="I418" s="835"/>
      <c r="J418" s="1084"/>
      <c r="K418" s="1084"/>
      <c r="L418" s="1084"/>
      <c r="M418" s="1084"/>
      <c r="N418" s="1084"/>
      <c r="O418" s="1084"/>
      <c r="P418" s="1084"/>
      <c r="Q418" s="1084"/>
      <c r="R418" s="1084"/>
      <c r="S418" s="1084"/>
      <c r="T418" s="1084"/>
    </row>
    <row r="419" spans="1:20" ht="16.5">
      <c r="A419" s="873" t="s">
        <v>657</v>
      </c>
      <c r="B419" s="873" t="s">
        <v>956</v>
      </c>
      <c r="C419" s="1100"/>
      <c r="D419" s="873"/>
      <c r="E419" s="873"/>
      <c r="F419" s="873"/>
      <c r="G419" s="873"/>
      <c r="H419" s="873"/>
      <c r="I419" s="873"/>
      <c r="J419" s="1651" t="s">
        <v>285</v>
      </c>
      <c r="K419" s="1651"/>
      <c r="L419" s="874"/>
      <c r="M419" s="1655" t="s">
        <v>520</v>
      </c>
      <c r="N419" s="1655"/>
      <c r="O419" s="1100"/>
      <c r="P419" s="1651" t="s">
        <v>286</v>
      </c>
      <c r="Q419" s="1651"/>
      <c r="R419" s="1100"/>
      <c r="S419" s="1651" t="s">
        <v>287</v>
      </c>
      <c r="T419" s="1651"/>
    </row>
    <row r="420" spans="1:20">
      <c r="A420" s="1100"/>
      <c r="B420" s="1100"/>
      <c r="C420" s="1100"/>
      <c r="D420" s="1100"/>
      <c r="E420" s="1100"/>
      <c r="F420" s="1100"/>
      <c r="G420" s="1656" t="s">
        <v>104</v>
      </c>
      <c r="H420" s="1656"/>
      <c r="I420" s="1100"/>
      <c r="J420" s="1651"/>
      <c r="K420" s="1651"/>
      <c r="L420" s="874"/>
      <c r="M420" s="1655"/>
      <c r="N420" s="1655"/>
      <c r="O420" s="1100"/>
      <c r="P420" s="1651"/>
      <c r="Q420" s="1651"/>
      <c r="R420" s="1100"/>
      <c r="S420" s="1651"/>
      <c r="T420" s="1651"/>
    </row>
    <row r="421" spans="1:20">
      <c r="A421" s="1100"/>
      <c r="B421" s="835" t="s">
        <v>105</v>
      </c>
      <c r="C421" s="1100"/>
      <c r="D421" s="1100"/>
      <c r="E421" s="1100"/>
      <c r="F421" s="1100"/>
      <c r="G421" s="1100"/>
      <c r="H421" s="1100"/>
      <c r="I421" s="1100"/>
      <c r="J421" s="1100"/>
      <c r="K421" s="1100"/>
      <c r="L421" s="1100"/>
      <c r="M421" s="1100"/>
      <c r="N421" s="1100"/>
      <c r="O421" s="1084" t="str">
        <f>B421</f>
        <v>PRE-DEVELOPMENT COSTS</v>
      </c>
      <c r="P421" s="1100"/>
      <c r="Q421" s="1100"/>
      <c r="R421" s="1100"/>
      <c r="S421" s="1100"/>
      <c r="T421" s="1100"/>
    </row>
    <row r="422" spans="1:20">
      <c r="A422" s="1100"/>
      <c r="B422" s="1100" t="s">
        <v>2137</v>
      </c>
      <c r="C422" s="1100"/>
      <c r="D422" s="1100"/>
      <c r="E422" s="1100"/>
      <c r="F422" s="1100"/>
      <c r="G422" s="1648">
        <f>'Part IV-Uses of Funds'!G8</f>
        <v>9000</v>
      </c>
      <c r="H422" s="1648"/>
      <c r="I422" s="1100"/>
      <c r="J422" s="1648">
        <f>'Part IV-Uses of Funds'!J8</f>
        <v>9000</v>
      </c>
      <c r="K422" s="1648"/>
      <c r="L422" s="1108"/>
      <c r="M422" s="1648">
        <f>'Part IV-Uses of Funds'!M8</f>
        <v>0</v>
      </c>
      <c r="N422" s="1648"/>
      <c r="O422" s="1100"/>
      <c r="P422" s="1648">
        <f>'Part IV-Uses of Funds'!P8</f>
        <v>0</v>
      </c>
      <c r="Q422" s="1648"/>
      <c r="R422" s="1100"/>
      <c r="S422" s="1648">
        <f>'Part IV-Uses of Funds'!S8</f>
        <v>0</v>
      </c>
      <c r="T422" s="1648"/>
    </row>
    <row r="423" spans="1:20">
      <c r="A423" s="1100"/>
      <c r="B423" s="1100" t="s">
        <v>481</v>
      </c>
      <c r="C423" s="1100"/>
      <c r="D423" s="1100"/>
      <c r="E423" s="1100"/>
      <c r="F423" s="1100"/>
      <c r="G423" s="1648">
        <f>'Part IV-Uses of Funds'!G9</f>
        <v>5500</v>
      </c>
      <c r="H423" s="1648"/>
      <c r="I423" s="1100"/>
      <c r="J423" s="1648">
        <f>'Part IV-Uses of Funds'!J9</f>
        <v>5500</v>
      </c>
      <c r="K423" s="1648"/>
      <c r="L423" s="1108"/>
      <c r="M423" s="1648">
        <f>'Part IV-Uses of Funds'!M9</f>
        <v>0</v>
      </c>
      <c r="N423" s="1648"/>
      <c r="O423" s="1100"/>
      <c r="P423" s="1648">
        <f>'Part IV-Uses of Funds'!P9</f>
        <v>0</v>
      </c>
      <c r="Q423" s="1648"/>
      <c r="R423" s="1100"/>
      <c r="S423" s="1648">
        <f>'Part IV-Uses of Funds'!S9</f>
        <v>0</v>
      </c>
      <c r="T423" s="1648"/>
    </row>
    <row r="424" spans="1:20">
      <c r="A424" s="1100"/>
      <c r="B424" s="1100" t="s">
        <v>517</v>
      </c>
      <c r="C424" s="1100"/>
      <c r="D424" s="1100"/>
      <c r="E424" s="1100"/>
      <c r="F424" s="1100"/>
      <c r="G424" s="1648">
        <f>'Part IV-Uses of Funds'!G10</f>
        <v>3000</v>
      </c>
      <c r="H424" s="1648"/>
      <c r="I424" s="1100"/>
      <c r="J424" s="1648">
        <f>'Part IV-Uses of Funds'!J10</f>
        <v>3000</v>
      </c>
      <c r="K424" s="1648"/>
      <c r="L424" s="1108"/>
      <c r="M424" s="1648">
        <f>'Part IV-Uses of Funds'!M10</f>
        <v>0</v>
      </c>
      <c r="N424" s="1648"/>
      <c r="O424" s="1100"/>
      <c r="P424" s="1648">
        <f>'Part IV-Uses of Funds'!P10</f>
        <v>0</v>
      </c>
      <c r="Q424" s="1648"/>
      <c r="R424" s="1100"/>
      <c r="S424" s="1648">
        <f>'Part IV-Uses of Funds'!S10</f>
        <v>0</v>
      </c>
      <c r="T424" s="1648"/>
    </row>
    <row r="425" spans="1:20">
      <c r="A425" s="1100"/>
      <c r="B425" s="1100" t="s">
        <v>518</v>
      </c>
      <c r="C425" s="1100"/>
      <c r="D425" s="1100"/>
      <c r="E425" s="1100"/>
      <c r="F425" s="1100"/>
      <c r="G425" s="1648">
        <f>'Part IV-Uses of Funds'!G11</f>
        <v>5705</v>
      </c>
      <c r="H425" s="1648"/>
      <c r="I425" s="1100"/>
      <c r="J425" s="1648">
        <f>'Part IV-Uses of Funds'!J11</f>
        <v>5705</v>
      </c>
      <c r="K425" s="1648"/>
      <c r="L425" s="1108"/>
      <c r="M425" s="1648">
        <f>'Part IV-Uses of Funds'!M11</f>
        <v>0</v>
      </c>
      <c r="N425" s="1648"/>
      <c r="O425" s="1100"/>
      <c r="P425" s="1648">
        <f>'Part IV-Uses of Funds'!P11</f>
        <v>0</v>
      </c>
      <c r="Q425" s="1648"/>
      <c r="R425" s="1100"/>
      <c r="S425" s="1648">
        <f>'Part IV-Uses of Funds'!S11</f>
        <v>0</v>
      </c>
      <c r="T425" s="1648"/>
    </row>
    <row r="426" spans="1:20">
      <c r="A426" s="1100"/>
      <c r="B426" s="1100" t="s">
        <v>2670</v>
      </c>
      <c r="C426" s="1100"/>
      <c r="D426" s="1100"/>
      <c r="E426" s="1100"/>
      <c r="F426" s="1100"/>
      <c r="G426" s="1648">
        <f>'Part IV-Uses of Funds'!G12</f>
        <v>12600</v>
      </c>
      <c r="H426" s="1648"/>
      <c r="I426" s="1100"/>
      <c r="J426" s="1648">
        <f>'Part IV-Uses of Funds'!J12</f>
        <v>12600</v>
      </c>
      <c r="K426" s="1648"/>
      <c r="L426" s="1108"/>
      <c r="M426" s="1648">
        <f>'Part IV-Uses of Funds'!M12</f>
        <v>0</v>
      </c>
      <c r="N426" s="1648"/>
      <c r="O426" s="1100"/>
      <c r="P426" s="1648">
        <f>'Part IV-Uses of Funds'!P12</f>
        <v>0</v>
      </c>
      <c r="Q426" s="1648"/>
      <c r="R426" s="1100"/>
      <c r="S426" s="1648">
        <f>'Part IV-Uses of Funds'!S12</f>
        <v>0</v>
      </c>
      <c r="T426" s="1648"/>
    </row>
    <row r="427" spans="1:20">
      <c r="A427" s="1100"/>
      <c r="B427" s="1100" t="s">
        <v>198</v>
      </c>
      <c r="C427" s="1100"/>
      <c r="D427" s="1100"/>
      <c r="E427" s="1100"/>
      <c r="F427" s="1100"/>
      <c r="G427" s="1648">
        <f>'Part IV-Uses of Funds'!G13</f>
        <v>2500</v>
      </c>
      <c r="H427" s="1648"/>
      <c r="I427" s="1100"/>
      <c r="J427" s="1648">
        <f>'Part IV-Uses of Funds'!J13</f>
        <v>2500</v>
      </c>
      <c r="K427" s="1648"/>
      <c r="L427" s="1108"/>
      <c r="M427" s="1648">
        <f>'Part IV-Uses of Funds'!M13</f>
        <v>0</v>
      </c>
      <c r="N427" s="1648"/>
      <c r="O427" s="1100"/>
      <c r="P427" s="1648">
        <f>'Part IV-Uses of Funds'!P13</f>
        <v>0</v>
      </c>
      <c r="Q427" s="1648"/>
      <c r="R427" s="1100"/>
      <c r="S427" s="1648">
        <f>'Part IV-Uses of Funds'!S13</f>
        <v>0</v>
      </c>
      <c r="T427" s="1648"/>
    </row>
    <row r="428" spans="1:20" ht="12.75" customHeight="1">
      <c r="A428" s="875" t="str">
        <f>IF(AND(G428&gt;0,OR(C428="",C428="&lt;Enter detailed description here; use Comments section if needed&gt;")),"X","")</f>
        <v/>
      </c>
      <c r="B428" s="1100" t="s">
        <v>791</v>
      </c>
      <c r="C428" s="1649" t="str">
        <f>'Part IV-Uses of Funds'!C14</f>
        <v>&lt;Enter detailed description here; use Comments section if needed&gt;</v>
      </c>
      <c r="D428" s="1649"/>
      <c r="E428" s="1649"/>
      <c r="F428" s="1649"/>
      <c r="G428" s="1648">
        <f>'Part IV-Uses of Funds'!G14</f>
        <v>0</v>
      </c>
      <c r="H428" s="1648"/>
      <c r="I428" s="1100"/>
      <c r="J428" s="1648">
        <f>'Part IV-Uses of Funds'!J14</f>
        <v>0</v>
      </c>
      <c r="K428" s="1648"/>
      <c r="L428" s="1108"/>
      <c r="M428" s="1648">
        <f>'Part IV-Uses of Funds'!M14</f>
        <v>0</v>
      </c>
      <c r="N428" s="1648"/>
      <c r="O428" s="1100"/>
      <c r="P428" s="1648">
        <f>'Part IV-Uses of Funds'!P14</f>
        <v>0</v>
      </c>
      <c r="Q428" s="1648"/>
      <c r="R428" s="1100"/>
      <c r="S428" s="1648">
        <f>'Part IV-Uses of Funds'!S14</f>
        <v>0</v>
      </c>
      <c r="T428" s="1648"/>
    </row>
    <row r="429" spans="1:20" ht="12.75" customHeight="1">
      <c r="A429" s="875" t="str">
        <f>IF(AND(G429&gt;0,OR(C429="",C429="&lt;Enter detailed description here; use Comments section if needed&gt;")),"X","")</f>
        <v/>
      </c>
      <c r="B429" s="1100" t="s">
        <v>791</v>
      </c>
      <c r="C429" s="1649" t="str">
        <f>'Part IV-Uses of Funds'!C15</f>
        <v>&lt;Enter detailed description here; use Comments section if needed&gt;</v>
      </c>
      <c r="D429" s="1649"/>
      <c r="E429" s="1649"/>
      <c r="F429" s="1649"/>
      <c r="G429" s="1648">
        <f>'Part IV-Uses of Funds'!G15</f>
        <v>0</v>
      </c>
      <c r="H429" s="1648"/>
      <c r="I429" s="1100"/>
      <c r="J429" s="1648">
        <f>'Part IV-Uses of Funds'!J15</f>
        <v>0</v>
      </c>
      <c r="K429" s="1648"/>
      <c r="L429" s="1108"/>
      <c r="M429" s="1648">
        <f>'Part IV-Uses of Funds'!M15</f>
        <v>0</v>
      </c>
      <c r="N429" s="1648"/>
      <c r="O429" s="1100"/>
      <c r="P429" s="1648">
        <f>'Part IV-Uses of Funds'!P15</f>
        <v>0</v>
      </c>
      <c r="Q429" s="1648"/>
      <c r="R429" s="1100"/>
      <c r="S429" s="1648">
        <f>'Part IV-Uses of Funds'!S15</f>
        <v>0</v>
      </c>
      <c r="T429" s="1648"/>
    </row>
    <row r="430" spans="1:20" ht="12.75" customHeight="1">
      <c r="A430" s="875" t="str">
        <f>IF(AND(G430&gt;0,OR(C430="",C430="&lt;Enter detailed description here; use Comments section if needed&gt;")),"X","")</f>
        <v/>
      </c>
      <c r="B430" s="1100" t="s">
        <v>791</v>
      </c>
      <c r="C430" s="1649" t="str">
        <f>'Part IV-Uses of Funds'!C16</f>
        <v>&lt;Enter detailed description here; use Comments section if needed&gt;</v>
      </c>
      <c r="D430" s="1649"/>
      <c r="E430" s="1649"/>
      <c r="F430" s="1649"/>
      <c r="G430" s="1648">
        <f>'Part IV-Uses of Funds'!G16</f>
        <v>0</v>
      </c>
      <c r="H430" s="1648"/>
      <c r="I430" s="1100"/>
      <c r="J430" s="1648">
        <f>'Part IV-Uses of Funds'!J16</f>
        <v>0</v>
      </c>
      <c r="K430" s="1648"/>
      <c r="L430" s="1108"/>
      <c r="M430" s="1648">
        <f>'Part IV-Uses of Funds'!M16</f>
        <v>0</v>
      </c>
      <c r="N430" s="1648"/>
      <c r="O430" s="1100"/>
      <c r="P430" s="1648">
        <f>'Part IV-Uses of Funds'!P16</f>
        <v>0</v>
      </c>
      <c r="Q430" s="1648"/>
      <c r="R430" s="1100"/>
      <c r="S430" s="1648">
        <f>'Part IV-Uses of Funds'!S16</f>
        <v>0</v>
      </c>
      <c r="T430" s="1648"/>
    </row>
    <row r="431" spans="1:20">
      <c r="A431" s="1100"/>
      <c r="B431" s="1100"/>
      <c r="C431" s="1100"/>
      <c r="D431" s="1100"/>
      <c r="E431" s="1100"/>
      <c r="F431" s="876" t="s">
        <v>199</v>
      </c>
      <c r="G431" s="1648">
        <f>SUM(G422:H430)</f>
        <v>38305</v>
      </c>
      <c r="H431" s="1648"/>
      <c r="I431" s="1100"/>
      <c r="J431" s="1648">
        <f>SUM(J422:K430)</f>
        <v>38305</v>
      </c>
      <c r="K431" s="1662"/>
      <c r="L431" s="1108"/>
      <c r="M431" s="1648">
        <f>SUM(M422:N430)</f>
        <v>0</v>
      </c>
      <c r="N431" s="1648"/>
      <c r="O431" s="1100"/>
      <c r="P431" s="1648">
        <f>SUM(P422:Q430)</f>
        <v>0</v>
      </c>
      <c r="Q431" s="1648"/>
      <c r="R431" s="1100"/>
      <c r="S431" s="1648">
        <f>SUM(S422:T430)</f>
        <v>0</v>
      </c>
      <c r="T431" s="1648"/>
    </row>
    <row r="432" spans="1:20">
      <c r="A432" s="1100"/>
      <c r="B432" s="835" t="s">
        <v>2339</v>
      </c>
      <c r="C432" s="1100"/>
      <c r="D432" s="1100"/>
      <c r="E432" s="1100"/>
      <c r="F432" s="1100"/>
      <c r="G432" s="1100"/>
      <c r="H432" s="1100"/>
      <c r="I432" s="1100"/>
      <c r="J432" s="874"/>
      <c r="K432" s="874"/>
      <c r="L432" s="1100"/>
      <c r="M432" s="874"/>
      <c r="N432" s="874"/>
      <c r="O432" s="1109" t="str">
        <f>B432</f>
        <v>ACQUISITION</v>
      </c>
      <c r="P432" s="874"/>
      <c r="Q432" s="874"/>
      <c r="R432" s="1100"/>
      <c r="S432" s="874"/>
      <c r="T432" s="874"/>
    </row>
    <row r="433" spans="1:20">
      <c r="A433" s="1100"/>
      <c r="B433" s="1100" t="s">
        <v>2340</v>
      </c>
      <c r="C433" s="1100"/>
      <c r="D433" s="1100"/>
      <c r="E433" s="1100"/>
      <c r="F433" s="1100"/>
      <c r="G433" s="1648">
        <f>'Part IV-Uses of Funds'!G19</f>
        <v>0</v>
      </c>
      <c r="H433" s="1648"/>
      <c r="I433" s="1100"/>
      <c r="J433" s="1108"/>
      <c r="K433" s="874"/>
      <c r="L433" s="1108"/>
      <c r="M433" s="1108"/>
      <c r="N433" s="874"/>
      <c r="O433" s="1100"/>
      <c r="P433" s="1108"/>
      <c r="Q433" s="874"/>
      <c r="R433" s="1100"/>
      <c r="S433" s="1648">
        <f>'Part IV-Uses of Funds'!S19</f>
        <v>0</v>
      </c>
      <c r="T433" s="1648"/>
    </row>
    <row r="434" spans="1:20">
      <c r="A434" s="1100"/>
      <c r="B434" s="1100" t="s">
        <v>1184</v>
      </c>
      <c r="C434" s="1100"/>
      <c r="D434" s="1100"/>
      <c r="E434" s="1100"/>
      <c r="F434" s="1100"/>
      <c r="G434" s="1648">
        <f>'Part IV-Uses of Funds'!G20</f>
        <v>379147</v>
      </c>
      <c r="H434" s="1648"/>
      <c r="I434" s="1100"/>
      <c r="J434" s="1108"/>
      <c r="K434" s="874"/>
      <c r="L434" s="1108"/>
      <c r="M434" s="1108"/>
      <c r="N434" s="874"/>
      <c r="O434" s="1100"/>
      <c r="P434" s="1108"/>
      <c r="Q434" s="874"/>
      <c r="R434" s="1100"/>
      <c r="S434" s="1648">
        <f>'Part IV-Uses of Funds'!S20</f>
        <v>379147</v>
      </c>
      <c r="T434" s="1648"/>
    </row>
    <row r="435" spans="1:20">
      <c r="A435" s="1100"/>
      <c r="B435" s="1100" t="s">
        <v>482</v>
      </c>
      <c r="C435" s="1100"/>
      <c r="D435" s="1100"/>
      <c r="E435" s="1100"/>
      <c r="F435" s="1100"/>
      <c r="G435" s="1648">
        <f>'Part IV-Uses of Funds'!G21</f>
        <v>0</v>
      </c>
      <c r="H435" s="1648"/>
      <c r="I435" s="1100"/>
      <c r="J435" s="1108"/>
      <c r="K435" s="874"/>
      <c r="L435" s="1108"/>
      <c r="M435" s="1648">
        <f>'Part IV-Uses of Funds'!M21</f>
        <v>0</v>
      </c>
      <c r="N435" s="1648"/>
      <c r="O435" s="1100"/>
      <c r="P435" s="1108"/>
      <c r="Q435" s="874"/>
      <c r="R435" s="1100"/>
      <c r="S435" s="1648">
        <f>'Part IV-Uses of Funds'!S21</f>
        <v>0</v>
      </c>
      <c r="T435" s="1648"/>
    </row>
    <row r="436" spans="1:20">
      <c r="A436" s="1100"/>
      <c r="B436" s="1100" t="s">
        <v>451</v>
      </c>
      <c r="C436" s="1100"/>
      <c r="D436" s="1100"/>
      <c r="E436" s="1100"/>
      <c r="F436" s="1100"/>
      <c r="G436" s="1648">
        <f>'Part IV-Uses of Funds'!G22</f>
        <v>0</v>
      </c>
      <c r="H436" s="1648"/>
      <c r="I436" s="1100"/>
      <c r="J436" s="1108"/>
      <c r="K436" s="874"/>
      <c r="L436" s="1108"/>
      <c r="M436" s="1648">
        <f>'Part IV-Uses of Funds'!M22</f>
        <v>0</v>
      </c>
      <c r="N436" s="1648"/>
      <c r="O436" s="1100"/>
      <c r="P436" s="1108"/>
      <c r="Q436" s="874"/>
      <c r="R436" s="1100"/>
      <c r="S436" s="1648">
        <f>'Part IV-Uses of Funds'!S22</f>
        <v>0</v>
      </c>
      <c r="T436" s="1648"/>
    </row>
    <row r="437" spans="1:20">
      <c r="A437" s="1100"/>
      <c r="B437" s="1100"/>
      <c r="C437" s="1100"/>
      <c r="D437" s="1100"/>
      <c r="E437" s="1100"/>
      <c r="F437" s="876" t="s">
        <v>199</v>
      </c>
      <c r="G437" s="1648">
        <f>SUM(G433:H436)</f>
        <v>379147</v>
      </c>
      <c r="H437" s="1648"/>
      <c r="I437" s="1100"/>
      <c r="J437" s="1108"/>
      <c r="K437" s="874"/>
      <c r="L437" s="1108"/>
      <c r="M437" s="1648">
        <f>SUM(M435:N436)</f>
        <v>0</v>
      </c>
      <c r="N437" s="1648"/>
      <c r="O437" s="1100"/>
      <c r="P437" s="1108"/>
      <c r="Q437" s="874"/>
      <c r="R437" s="1100"/>
      <c r="S437" s="1648">
        <f>SUM(S433:T436)</f>
        <v>379147</v>
      </c>
      <c r="T437" s="1648"/>
    </row>
    <row r="438" spans="1:20">
      <c r="A438" s="1100"/>
      <c r="B438" s="835" t="s">
        <v>1185</v>
      </c>
      <c r="C438" s="1100"/>
      <c r="D438" s="1100"/>
      <c r="E438" s="1100"/>
      <c r="F438" s="1100"/>
      <c r="G438" s="1100"/>
      <c r="H438" s="1100"/>
      <c r="I438" s="1100"/>
      <c r="J438" s="1108"/>
      <c r="K438" s="874"/>
      <c r="L438" s="1100"/>
      <c r="M438" s="1108"/>
      <c r="N438" s="874"/>
      <c r="O438" s="1109" t="str">
        <f>B438</f>
        <v>LAND IMPROVEMENTS</v>
      </c>
      <c r="P438" s="1108"/>
      <c r="Q438" s="874"/>
      <c r="R438" s="1100"/>
      <c r="S438" s="1108"/>
      <c r="T438" s="874"/>
    </row>
    <row r="439" spans="1:20">
      <c r="A439" s="1100"/>
      <c r="B439" s="1100" t="s">
        <v>1186</v>
      </c>
      <c r="C439" s="1100"/>
      <c r="D439" s="1100"/>
      <c r="E439" s="1100"/>
      <c r="F439" s="1100"/>
      <c r="G439" s="1648">
        <f>'Part IV-Uses of Funds'!G25</f>
        <v>691336</v>
      </c>
      <c r="H439" s="1648"/>
      <c r="I439" s="1100"/>
      <c r="J439" s="1648">
        <f>'Part IV-Uses of Funds'!J25</f>
        <v>623203</v>
      </c>
      <c r="K439" s="1648"/>
      <c r="L439" s="1108"/>
      <c r="M439" s="1648">
        <f>'Part IV-Uses of Funds'!M25</f>
        <v>0</v>
      </c>
      <c r="N439" s="1648"/>
      <c r="O439" s="1100"/>
      <c r="P439" s="1648">
        <f>'Part IV-Uses of Funds'!P25</f>
        <v>0</v>
      </c>
      <c r="Q439" s="1648"/>
      <c r="R439" s="1100"/>
      <c r="S439" s="1648">
        <f>'Part IV-Uses of Funds'!S25</f>
        <v>68134</v>
      </c>
      <c r="T439" s="1648"/>
    </row>
    <row r="440" spans="1:20">
      <c r="A440" s="1100"/>
      <c r="B440" s="1100" t="s">
        <v>1187</v>
      </c>
      <c r="C440" s="1100"/>
      <c r="D440" s="1100"/>
      <c r="E440" s="1100"/>
      <c r="F440" s="1100"/>
      <c r="G440" s="1648">
        <f>'Part IV-Uses of Funds'!G26</f>
        <v>0</v>
      </c>
      <c r="H440" s="1648"/>
      <c r="I440" s="1100"/>
      <c r="J440" s="1648">
        <f>'Part IV-Uses of Funds'!J26</f>
        <v>0</v>
      </c>
      <c r="K440" s="1648"/>
      <c r="L440" s="877"/>
      <c r="M440" s="1648"/>
      <c r="N440" s="1648"/>
      <c r="O440" s="1100"/>
      <c r="P440" s="1648"/>
      <c r="Q440" s="1648"/>
      <c r="R440" s="1100"/>
      <c r="S440" s="1648">
        <f>'Part IV-Uses of Funds'!S26</f>
        <v>0</v>
      </c>
      <c r="T440" s="1648"/>
    </row>
    <row r="441" spans="1:20">
      <c r="A441" s="1100"/>
      <c r="B441" s="1100"/>
      <c r="C441" s="1100"/>
      <c r="D441" s="1100"/>
      <c r="E441" s="1100"/>
      <c r="F441" s="876" t="s">
        <v>199</v>
      </c>
      <c r="G441" s="1648">
        <f>SUM(G439:H440)</f>
        <v>691336</v>
      </c>
      <c r="H441" s="1648"/>
      <c r="I441" s="1100"/>
      <c r="J441" s="1648">
        <f>SUM(J439:K440)</f>
        <v>623203</v>
      </c>
      <c r="K441" s="1648"/>
      <c r="L441" s="1108"/>
      <c r="M441" s="1648">
        <f>M439</f>
        <v>0</v>
      </c>
      <c r="N441" s="1648"/>
      <c r="O441" s="1100"/>
      <c r="P441" s="1648">
        <f>P439</f>
        <v>0</v>
      </c>
      <c r="Q441" s="1648"/>
      <c r="R441" s="1100"/>
      <c r="S441" s="1648">
        <f>SUM(S439:T440)</f>
        <v>68134</v>
      </c>
      <c r="T441" s="1648"/>
    </row>
    <row r="442" spans="1:20">
      <c r="A442" s="1100"/>
      <c r="B442" s="835" t="s">
        <v>1188</v>
      </c>
      <c r="C442" s="1100"/>
      <c r="D442" s="1100"/>
      <c r="E442" s="1100"/>
      <c r="F442" s="1100"/>
      <c r="G442" s="1100"/>
      <c r="H442" s="1100"/>
      <c r="I442" s="1100"/>
      <c r="J442" s="1108"/>
      <c r="K442" s="874"/>
      <c r="L442" s="1100"/>
      <c r="M442" s="1108"/>
      <c r="N442" s="874"/>
      <c r="O442" s="1109" t="str">
        <f>B442</f>
        <v>STRUCTURES</v>
      </c>
      <c r="P442" s="1108"/>
      <c r="Q442" s="874"/>
      <c r="R442" s="1100"/>
      <c r="S442" s="1108"/>
      <c r="T442" s="874"/>
    </row>
    <row r="443" spans="1:20">
      <c r="A443" s="1100"/>
      <c r="B443" s="1100" t="s">
        <v>1189</v>
      </c>
      <c r="C443" s="1100"/>
      <c r="D443" s="1100"/>
      <c r="E443" s="1100"/>
      <c r="F443" s="1100"/>
      <c r="G443" s="1648">
        <f>'Part IV-Uses of Funds'!G29</f>
        <v>4586951</v>
      </c>
      <c r="H443" s="1648"/>
      <c r="I443" s="1100"/>
      <c r="J443" s="1648">
        <f>'Part IV-Uses of Funds'!J29</f>
        <v>4586951</v>
      </c>
      <c r="K443" s="1648"/>
      <c r="L443" s="1108"/>
      <c r="M443" s="1648">
        <f>'Part IV-Uses of Funds'!M29</f>
        <v>0</v>
      </c>
      <c r="N443" s="1648"/>
      <c r="O443" s="1100"/>
      <c r="P443" s="1648">
        <f>'Part IV-Uses of Funds'!P29</f>
        <v>0</v>
      </c>
      <c r="Q443" s="1648"/>
      <c r="R443" s="1100"/>
      <c r="S443" s="1648">
        <f>'Part IV-Uses of Funds'!S29</f>
        <v>0</v>
      </c>
      <c r="T443" s="1648"/>
    </row>
    <row r="444" spans="1:20">
      <c r="A444" s="1100"/>
      <c r="B444" s="1100" t="s">
        <v>1190</v>
      </c>
      <c r="C444" s="1100"/>
      <c r="D444" s="1100"/>
      <c r="E444" s="1100"/>
      <c r="F444" s="1100"/>
      <c r="G444" s="1648">
        <f>'Part IV-Uses of Funds'!G30</f>
        <v>0</v>
      </c>
      <c r="H444" s="1648"/>
      <c r="I444" s="1100"/>
      <c r="J444" s="1648">
        <f>'Part IV-Uses of Funds'!J30</f>
        <v>0</v>
      </c>
      <c r="K444" s="1648"/>
      <c r="L444" s="1108"/>
      <c r="M444" s="1648">
        <f>'Part IV-Uses of Funds'!M30</f>
        <v>0</v>
      </c>
      <c r="N444" s="1648"/>
      <c r="O444" s="1100"/>
      <c r="P444" s="1648">
        <f>'Part IV-Uses of Funds'!P30</f>
        <v>0</v>
      </c>
      <c r="Q444" s="1648"/>
      <c r="R444" s="1100"/>
      <c r="S444" s="1648">
        <f>'Part IV-Uses of Funds'!S30</f>
        <v>0</v>
      </c>
      <c r="T444" s="1648"/>
    </row>
    <row r="445" spans="1:20">
      <c r="A445" s="1100"/>
      <c r="B445" s="1100" t="s">
        <v>3231</v>
      </c>
      <c r="C445" s="1100"/>
      <c r="D445" s="1100"/>
      <c r="E445" s="1100"/>
      <c r="F445" s="1100"/>
      <c r="G445" s="1648">
        <f>'Part IV-Uses of Funds'!G31</f>
        <v>320000</v>
      </c>
      <c r="H445" s="1648"/>
      <c r="I445" s="1100"/>
      <c r="J445" s="1648">
        <f>'Part IV-Uses of Funds'!J31</f>
        <v>320000</v>
      </c>
      <c r="K445" s="1648"/>
      <c r="L445" s="1108"/>
      <c r="M445" s="1648">
        <f>'Part IV-Uses of Funds'!M31</f>
        <v>0</v>
      </c>
      <c r="N445" s="1648"/>
      <c r="O445" s="1100"/>
      <c r="P445" s="1648">
        <f>'Part IV-Uses of Funds'!P31</f>
        <v>0</v>
      </c>
      <c r="Q445" s="1648"/>
      <c r="R445" s="1100"/>
      <c r="S445" s="1648">
        <f>'Part IV-Uses of Funds'!S31</f>
        <v>0</v>
      </c>
      <c r="T445" s="1648"/>
    </row>
    <row r="446" spans="1:20">
      <c r="A446" s="1095"/>
      <c r="B446" s="1100" t="s">
        <v>3230</v>
      </c>
      <c r="C446" s="1095"/>
      <c r="D446" s="1095"/>
      <c r="E446" s="1095"/>
      <c r="F446" s="1095"/>
      <c r="G446" s="1648">
        <f>'Part IV-Uses of Funds'!G32</f>
        <v>0</v>
      </c>
      <c r="H446" s="1648"/>
      <c r="I446" s="1100"/>
      <c r="J446" s="1648">
        <f>'Part IV-Uses of Funds'!J32</f>
        <v>0</v>
      </c>
      <c r="K446" s="1648"/>
      <c r="L446" s="1108"/>
      <c r="M446" s="1648">
        <f>'Part IV-Uses of Funds'!M32</f>
        <v>0</v>
      </c>
      <c r="N446" s="1648"/>
      <c r="O446" s="1100"/>
      <c r="P446" s="1648">
        <f>'Part IV-Uses of Funds'!P32</f>
        <v>0</v>
      </c>
      <c r="Q446" s="1648"/>
      <c r="R446" s="1100"/>
      <c r="S446" s="1648">
        <f>'Part IV-Uses of Funds'!S32</f>
        <v>0</v>
      </c>
      <c r="T446" s="1648"/>
    </row>
    <row r="447" spans="1:20">
      <c r="A447" s="1100"/>
      <c r="B447" s="1100"/>
      <c r="C447" s="1661"/>
      <c r="D447" s="1661"/>
      <c r="E447" s="1106"/>
      <c r="F447" s="876" t="s">
        <v>199</v>
      </c>
      <c r="G447" s="1648">
        <f>SUM(G443:H446)</f>
        <v>4906951</v>
      </c>
      <c r="H447" s="1648"/>
      <c r="I447" s="1100"/>
      <c r="J447" s="1648">
        <f>SUM(J443:K446)</f>
        <v>4906951</v>
      </c>
      <c r="K447" s="1648"/>
      <c r="L447" s="1108"/>
      <c r="M447" s="1648">
        <f>SUM(M443:N446)</f>
        <v>0</v>
      </c>
      <c r="N447" s="1648"/>
      <c r="O447" s="1100"/>
      <c r="P447" s="1648">
        <f>SUM(P443:Q446)</f>
        <v>0</v>
      </c>
      <c r="Q447" s="1648"/>
      <c r="R447" s="1100"/>
      <c r="S447" s="1648">
        <f>SUM(S443:T446)</f>
        <v>0</v>
      </c>
      <c r="T447" s="1648"/>
    </row>
    <row r="448" spans="1:20">
      <c r="A448" s="1100"/>
      <c r="B448" s="835" t="s">
        <v>2496</v>
      </c>
      <c r="C448" s="1100"/>
      <c r="D448" s="1100"/>
      <c r="E448" s="1112">
        <f>SUM(E449:E451)</f>
        <v>0.14000000000000001</v>
      </c>
      <c r="F448" s="1100"/>
      <c r="G448" s="835"/>
      <c r="H448" s="1095"/>
      <c r="I448" s="1095"/>
      <c r="J448" s="1108"/>
      <c r="K448" s="874"/>
      <c r="L448" s="1100"/>
      <c r="M448" s="1108"/>
      <c r="N448" s="874"/>
      <c r="O448" s="1109" t="str">
        <f>B448</f>
        <v>CONTRACTOR SERVICES</v>
      </c>
      <c r="P448" s="1108"/>
      <c r="Q448" s="874"/>
      <c r="R448" s="1100"/>
      <c r="S448" s="1108"/>
      <c r="T448" s="874"/>
    </row>
    <row r="449" spans="1:20">
      <c r="A449" s="1100"/>
      <c r="B449" s="1100" t="s">
        <v>2497</v>
      </c>
      <c r="C449" s="1100"/>
      <c r="D449" s="1100"/>
      <c r="E449" s="878">
        <f>'Part IV-Uses of Funds'!E35</f>
        <v>0.06</v>
      </c>
      <c r="F449" s="879">
        <f>'Part IV-Uses of Funds'!F35</f>
        <v>335897.22</v>
      </c>
      <c r="G449" s="1648">
        <f>'Part IV-Uses of Funds'!G35</f>
        <v>335897</v>
      </c>
      <c r="H449" s="1648"/>
      <c r="I449" s="1095"/>
      <c r="J449" s="1648">
        <f>'Part IV-Uses of Funds'!J35</f>
        <v>335897</v>
      </c>
      <c r="K449" s="1648"/>
      <c r="L449" s="1108"/>
      <c r="M449" s="1648">
        <f>'Part IV-Uses of Funds'!M35</f>
        <v>0</v>
      </c>
      <c r="N449" s="1648"/>
      <c r="O449" s="1100"/>
      <c r="P449" s="1648">
        <f>'Part IV-Uses of Funds'!P35</f>
        <v>0</v>
      </c>
      <c r="Q449" s="1648"/>
      <c r="R449" s="1100"/>
      <c r="S449" s="1648">
        <f>'Part IV-Uses of Funds'!S35</f>
        <v>0</v>
      </c>
      <c r="T449" s="1648"/>
    </row>
    <row r="450" spans="1:20">
      <c r="A450" s="1100"/>
      <c r="B450" s="1100" t="s">
        <v>3008</v>
      </c>
      <c r="C450" s="1100"/>
      <c r="D450" s="1100"/>
      <c r="E450" s="878">
        <f>'Part IV-Uses of Funds'!E36</f>
        <v>0.02</v>
      </c>
      <c r="F450" s="879">
        <f>'Part IV-Uses of Funds'!F36</f>
        <v>111965.74</v>
      </c>
      <c r="G450" s="1648">
        <f>'Part IV-Uses of Funds'!G36</f>
        <v>111965</v>
      </c>
      <c r="H450" s="1648"/>
      <c r="I450" s="1095"/>
      <c r="J450" s="1648">
        <f>'Part IV-Uses of Funds'!J36</f>
        <v>111965</v>
      </c>
      <c r="K450" s="1648"/>
      <c r="L450" s="1108"/>
      <c r="M450" s="1648">
        <f>'Part IV-Uses of Funds'!M36</f>
        <v>0</v>
      </c>
      <c r="N450" s="1648"/>
      <c r="O450" s="1100"/>
      <c r="P450" s="1648">
        <f>'Part IV-Uses of Funds'!P36</f>
        <v>0</v>
      </c>
      <c r="Q450" s="1648"/>
      <c r="R450" s="1100"/>
      <c r="S450" s="1648">
        <f>'Part IV-Uses of Funds'!S36</f>
        <v>0</v>
      </c>
      <c r="T450" s="1648"/>
    </row>
    <row r="451" spans="1:20">
      <c r="A451" s="1100"/>
      <c r="B451" s="1100" t="s">
        <v>3009</v>
      </c>
      <c r="C451" s="1100"/>
      <c r="D451" s="1100"/>
      <c r="E451" s="878">
        <f>'Part IV-Uses of Funds'!E37</f>
        <v>0.06</v>
      </c>
      <c r="F451" s="879">
        <f>'Part IV-Uses of Funds'!F37</f>
        <v>335897.22</v>
      </c>
      <c r="G451" s="1648">
        <f>'Part IV-Uses of Funds'!G37</f>
        <v>335897</v>
      </c>
      <c r="H451" s="1648"/>
      <c r="I451" s="1095"/>
      <c r="J451" s="1648">
        <f>'Part IV-Uses of Funds'!J37</f>
        <v>335897</v>
      </c>
      <c r="K451" s="1648"/>
      <c r="L451" s="1108"/>
      <c r="M451" s="1648">
        <f>'Part IV-Uses of Funds'!M37</f>
        <v>0</v>
      </c>
      <c r="N451" s="1648"/>
      <c r="O451" s="1100"/>
      <c r="P451" s="1648">
        <f>'Part IV-Uses of Funds'!P37</f>
        <v>0</v>
      </c>
      <c r="Q451" s="1648"/>
      <c r="R451" s="1100"/>
      <c r="S451" s="1648">
        <f>'Part IV-Uses of Funds'!S37</f>
        <v>0</v>
      </c>
      <c r="T451" s="1648"/>
    </row>
    <row r="452" spans="1:20">
      <c r="A452" s="1100"/>
      <c r="B452" s="1100" t="s">
        <v>2178</v>
      </c>
      <c r="C452" s="1100"/>
      <c r="D452" s="880"/>
      <c r="E452" s="1100"/>
      <c r="F452" s="876" t="s">
        <v>199</v>
      </c>
      <c r="G452" s="1648">
        <f>SUM(G449:H451)</f>
        <v>783759</v>
      </c>
      <c r="H452" s="1648"/>
      <c r="I452" s="1100"/>
      <c r="J452" s="1648">
        <f>SUM(J449:K451)</f>
        <v>783759</v>
      </c>
      <c r="K452" s="1648"/>
      <c r="L452" s="1108"/>
      <c r="M452" s="1648">
        <f>SUM(M449:N451)</f>
        <v>0</v>
      </c>
      <c r="N452" s="1648"/>
      <c r="O452" s="1100"/>
      <c r="P452" s="1648">
        <f>SUM(P449:Q451)</f>
        <v>0</v>
      </c>
      <c r="Q452" s="1648"/>
      <c r="R452" s="1100"/>
      <c r="S452" s="1648">
        <f>SUM(S449:T451)</f>
        <v>0</v>
      </c>
      <c r="T452" s="1648"/>
    </row>
    <row r="453" spans="1:20">
      <c r="A453" s="1084"/>
      <c r="B453" s="1084"/>
      <c r="C453" s="1084"/>
      <c r="D453" s="1084"/>
      <c r="E453" s="1084"/>
      <c r="F453" s="1084"/>
      <c r="G453" s="1084"/>
      <c r="H453" s="1084"/>
      <c r="I453" s="1084"/>
      <c r="J453" s="1084"/>
      <c r="K453" s="1084"/>
      <c r="L453" s="1084"/>
      <c r="M453" s="1084"/>
      <c r="N453" s="1084"/>
      <c r="O453" s="1084"/>
      <c r="P453" s="1084"/>
      <c r="Q453" s="1084"/>
      <c r="R453" s="1084"/>
      <c r="S453" s="1084"/>
      <c r="T453" s="1084"/>
    </row>
    <row r="454" spans="1:20">
      <c r="A454" s="1100"/>
      <c r="B454" s="835" t="s">
        <v>3658</v>
      </c>
      <c r="C454" s="1100"/>
      <c r="D454" s="1100"/>
      <c r="E454" s="1100"/>
      <c r="F454" s="1100"/>
      <c r="G454" s="1100"/>
      <c r="H454" s="1100"/>
      <c r="I454" s="1100"/>
      <c r="J454" s="1108"/>
      <c r="K454" s="874"/>
      <c r="L454" s="1100"/>
      <c r="M454" s="1108"/>
      <c r="N454" s="874"/>
      <c r="O454" s="1109" t="str">
        <f>B454</f>
        <v>OTHER CONSTRUCTION HARD COSTS (Non-GC work scope items done by Owner)</v>
      </c>
      <c r="P454" s="1108"/>
      <c r="Q454" s="874"/>
      <c r="R454" s="1100"/>
      <c r="S454" s="1108"/>
      <c r="T454" s="874"/>
    </row>
    <row r="455" spans="1:20">
      <c r="A455" s="1095"/>
      <c r="B455" s="1100" t="s">
        <v>791</v>
      </c>
      <c r="C455" s="1649" t="str">
        <f>'Part IV-Uses of Funds'!C41</f>
        <v>&lt;Enter detailed description here; use Comments section if needed&gt;</v>
      </c>
      <c r="D455" s="1649"/>
      <c r="E455" s="1649"/>
      <c r="F455" s="1649"/>
      <c r="G455" s="1648">
        <f>'Part IV-Uses of Funds'!G41</f>
        <v>0</v>
      </c>
      <c r="H455" s="1648"/>
      <c r="I455" s="1100"/>
      <c r="J455" s="1648">
        <f>'Part IV-Uses of Funds'!J41</f>
        <v>0</v>
      </c>
      <c r="K455" s="1648"/>
      <c r="L455" s="1108"/>
      <c r="M455" s="1648">
        <f>'Part IV-Uses of Funds'!M41</f>
        <v>0</v>
      </c>
      <c r="N455" s="1648"/>
      <c r="O455" s="1100"/>
      <c r="P455" s="1648">
        <f>'Part IV-Uses of Funds'!P41</f>
        <v>0</v>
      </c>
      <c r="Q455" s="1648"/>
      <c r="R455" s="1100"/>
      <c r="S455" s="1648">
        <f>'Part IV-Uses of Funds'!S41</f>
        <v>0</v>
      </c>
      <c r="T455" s="1648"/>
    </row>
    <row r="456" spans="1:20">
      <c r="A456" s="1084"/>
      <c r="B456" s="1084"/>
      <c r="C456" s="1084"/>
      <c r="D456" s="1084"/>
      <c r="E456" s="1084"/>
      <c r="F456" s="1084"/>
      <c r="G456" s="1084"/>
      <c r="H456" s="1084"/>
      <c r="I456" s="1084"/>
      <c r="J456" s="1084"/>
      <c r="K456" s="1084"/>
      <c r="L456" s="1084"/>
      <c r="M456" s="1084"/>
      <c r="N456" s="1084"/>
      <c r="O456" s="1084"/>
      <c r="P456" s="1084"/>
      <c r="Q456" s="1084"/>
      <c r="R456" s="1084"/>
      <c r="S456" s="1084"/>
      <c r="T456" s="1084"/>
    </row>
    <row r="457" spans="1:20">
      <c r="A457" s="1100"/>
      <c r="B457" s="881" t="s">
        <v>3659</v>
      </c>
      <c r="C457" s="882"/>
      <c r="D457" s="1100"/>
      <c r="E457" s="1651" t="s">
        <v>3018</v>
      </c>
      <c r="F457" s="1107">
        <f>B458/'Part VI-Revenues &amp; Expenses'!$M$60</f>
        <v>92493.420289855072</v>
      </c>
      <c r="G457" s="883" t="s">
        <v>3660</v>
      </c>
      <c r="H457" s="1100"/>
      <c r="I457" s="1100"/>
      <c r="J457" s="1657">
        <f>B458/'Part VI-Revenues &amp; Expenses'!$M$62</f>
        <v>92493.420289855072</v>
      </c>
      <c r="K457" s="1657"/>
      <c r="L457" s="1100"/>
      <c r="M457" s="1658" t="s">
        <v>1492</v>
      </c>
      <c r="N457" s="1658"/>
      <c r="O457" s="1100"/>
      <c r="P457" s="1657">
        <f>B458/'Part I-Project Information'!$P$59</f>
        <v>92.674740434182823</v>
      </c>
      <c r="Q457" s="1657"/>
      <c r="R457" s="1100"/>
      <c r="S457" s="1659" t="s">
        <v>3229</v>
      </c>
      <c r="T457" s="1659"/>
    </row>
    <row r="458" spans="1:20">
      <c r="A458" s="1100"/>
      <c r="B458" s="1660">
        <f>G441+G447+G452+G455</f>
        <v>6382046</v>
      </c>
      <c r="C458" s="1660"/>
      <c r="D458" s="1100"/>
      <c r="E458" s="1651"/>
      <c r="F458" s="1107">
        <f>B458/'Part VI-Revenues &amp; Expenses'!$M$98</f>
        <v>97.339220620758027</v>
      </c>
      <c r="G458" s="844" t="s">
        <v>3661</v>
      </c>
      <c r="H458" s="1100"/>
      <c r="I458" s="1100"/>
      <c r="J458" s="1657">
        <f>B458/'Part VI-Revenues &amp; Expenses'!$M$100</f>
        <v>97.339220620758027</v>
      </c>
      <c r="K458" s="1657"/>
      <c r="L458" s="1100"/>
      <c r="M458" s="1659" t="s">
        <v>3228</v>
      </c>
      <c r="N458" s="1659"/>
      <c r="O458" s="1100"/>
      <c r="P458" s="1100"/>
      <c r="Q458" s="1100"/>
      <c r="R458" s="1100"/>
      <c r="S458" s="1100"/>
      <c r="T458" s="1100"/>
    </row>
    <row r="459" spans="1:20">
      <c r="A459" s="1084"/>
      <c r="B459" s="1084"/>
      <c r="C459" s="1084"/>
      <c r="D459" s="1084"/>
      <c r="E459" s="1084"/>
      <c r="F459" s="1084"/>
      <c r="G459" s="1084"/>
      <c r="H459" s="1084"/>
      <c r="I459" s="1084"/>
      <c r="J459" s="1084"/>
      <c r="K459" s="1084"/>
      <c r="L459" s="1084"/>
      <c r="M459" s="1084"/>
      <c r="N459" s="1084"/>
      <c r="O459" s="1084"/>
      <c r="P459" s="1084"/>
      <c r="Q459" s="1084"/>
      <c r="R459" s="1084"/>
      <c r="S459" s="1084"/>
      <c r="T459" s="1084"/>
    </row>
    <row r="460" spans="1:20">
      <c r="A460" s="1100"/>
      <c r="B460" s="835" t="s">
        <v>1191</v>
      </c>
      <c r="C460" s="1100"/>
      <c r="D460" s="1100"/>
      <c r="E460" s="1100"/>
      <c r="F460" s="1100"/>
      <c r="G460" s="1100"/>
      <c r="H460" s="1100"/>
      <c r="I460" s="1100"/>
      <c r="J460" s="1108"/>
      <c r="K460" s="874"/>
      <c r="L460" s="1100"/>
      <c r="M460" s="1108"/>
      <c r="N460" s="874"/>
      <c r="O460" s="1109" t="str">
        <f>B460</f>
        <v>CONSTRUCTION CONTINGENCY</v>
      </c>
      <c r="P460" s="1108"/>
      <c r="Q460" s="874"/>
      <c r="R460" s="1100"/>
      <c r="S460" s="1108"/>
      <c r="T460" s="874"/>
    </row>
    <row r="461" spans="1:20">
      <c r="A461" s="1095"/>
      <c r="B461" s="1100" t="s">
        <v>2097</v>
      </c>
      <c r="C461" s="1095"/>
      <c r="D461" s="1095"/>
      <c r="E461" s="1095"/>
      <c r="F461" s="884" t="e">
        <f>G461/$B$44</f>
        <v>#DIV/0!</v>
      </c>
      <c r="G461" s="1648">
        <f>'Part IV-Uses of Funds'!G47</f>
        <v>319102</v>
      </c>
      <c r="H461" s="1648"/>
      <c r="I461" s="1100"/>
      <c r="J461" s="1648">
        <f>'Part IV-Uses of Funds'!J47</f>
        <v>319102</v>
      </c>
      <c r="K461" s="1648"/>
      <c r="L461" s="1108"/>
      <c r="M461" s="1648">
        <f>'Part IV-Uses of Funds'!M47</f>
        <v>0</v>
      </c>
      <c r="N461" s="1648"/>
      <c r="O461" s="1100"/>
      <c r="P461" s="1648">
        <f>'Part IV-Uses of Funds'!P47</f>
        <v>0</v>
      </c>
      <c r="Q461" s="1648"/>
      <c r="R461" s="1100"/>
      <c r="S461" s="1648">
        <f>'Part IV-Uses of Funds'!S47</f>
        <v>0</v>
      </c>
      <c r="T461" s="1648"/>
    </row>
    <row r="462" spans="1:20">
      <c r="A462" s="1084"/>
      <c r="B462" s="1084"/>
      <c r="C462" s="1084"/>
      <c r="D462" s="1084"/>
      <c r="E462" s="1084"/>
      <c r="F462" s="1084"/>
      <c r="G462" s="1084"/>
      <c r="H462" s="1084"/>
      <c r="I462" s="1084"/>
      <c r="J462" s="1084"/>
      <c r="K462" s="1084"/>
      <c r="L462" s="1084"/>
      <c r="M462" s="1084"/>
      <c r="N462" s="1084"/>
      <c r="O462" s="1084"/>
      <c r="P462" s="1084"/>
      <c r="Q462" s="1084"/>
      <c r="R462" s="1084"/>
      <c r="S462" s="1084"/>
      <c r="T462" s="1084"/>
    </row>
    <row r="463" spans="1:20">
      <c r="A463" s="1084"/>
      <c r="B463" s="1084"/>
      <c r="C463" s="1084"/>
      <c r="D463" s="1084"/>
      <c r="E463" s="1084"/>
      <c r="F463" s="1084"/>
      <c r="G463" s="1084"/>
      <c r="H463" s="1084"/>
      <c r="I463" s="1084"/>
      <c r="J463" s="1084"/>
      <c r="K463" s="1084"/>
      <c r="L463" s="1084"/>
      <c r="M463" s="1084"/>
      <c r="N463" s="1084"/>
      <c r="O463" s="1084"/>
      <c r="P463" s="1084"/>
      <c r="Q463" s="1084"/>
      <c r="R463" s="1084"/>
      <c r="S463" s="1084"/>
      <c r="T463" s="1084"/>
    </row>
    <row r="464" spans="1:20" ht="16.5">
      <c r="A464" s="873" t="s">
        <v>657</v>
      </c>
      <c r="B464" s="873" t="s">
        <v>3662</v>
      </c>
      <c r="C464" s="1100"/>
      <c r="D464" s="1100"/>
      <c r="E464" s="1100"/>
      <c r="F464" s="1100"/>
      <c r="G464" s="1100"/>
      <c r="H464" s="1100"/>
      <c r="I464" s="1100"/>
      <c r="J464" s="1651" t="s">
        <v>285</v>
      </c>
      <c r="K464" s="1651"/>
      <c r="L464" s="874"/>
      <c r="M464" s="1655" t="s">
        <v>520</v>
      </c>
      <c r="N464" s="1655"/>
      <c r="O464" s="1100"/>
      <c r="P464" s="1651" t="s">
        <v>286</v>
      </c>
      <c r="Q464" s="1651"/>
      <c r="R464" s="1100"/>
      <c r="S464" s="1651" t="s">
        <v>287</v>
      </c>
      <c r="T464" s="1651"/>
    </row>
    <row r="465" spans="1:20">
      <c r="A465" s="1100"/>
      <c r="B465" s="1100"/>
      <c r="C465" s="1100"/>
      <c r="D465" s="1100"/>
      <c r="E465" s="1100"/>
      <c r="F465" s="1100"/>
      <c r="G465" s="1656" t="s">
        <v>104</v>
      </c>
      <c r="H465" s="1656"/>
      <c r="I465" s="1100"/>
      <c r="J465" s="1651"/>
      <c r="K465" s="1651"/>
      <c r="L465" s="874"/>
      <c r="M465" s="1655"/>
      <c r="N465" s="1655"/>
      <c r="O465" s="1100"/>
      <c r="P465" s="1651"/>
      <c r="Q465" s="1651"/>
      <c r="R465" s="1100"/>
      <c r="S465" s="1651"/>
      <c r="T465" s="1651"/>
    </row>
    <row r="466" spans="1:20">
      <c r="A466" s="1100"/>
      <c r="B466" s="835" t="s">
        <v>772</v>
      </c>
      <c r="C466" s="1100"/>
      <c r="D466" s="1100"/>
      <c r="E466" s="1100"/>
      <c r="F466" s="1100"/>
      <c r="G466" s="1100"/>
      <c r="H466" s="1100"/>
      <c r="I466" s="1100"/>
      <c r="J466" s="1108"/>
      <c r="K466" s="874"/>
      <c r="L466" s="1100"/>
      <c r="M466" s="1108"/>
      <c r="N466" s="874"/>
      <c r="O466" s="1109" t="str">
        <f>B466</f>
        <v>CONSTRUCTION PERIOD FINANCING</v>
      </c>
      <c r="P466" s="1108"/>
      <c r="Q466" s="874"/>
      <c r="R466" s="1100"/>
      <c r="S466" s="1108"/>
      <c r="T466" s="874"/>
    </row>
    <row r="467" spans="1:20">
      <c r="A467" s="1100"/>
      <c r="B467" s="1100" t="s">
        <v>2499</v>
      </c>
      <c r="C467" s="1100"/>
      <c r="D467" s="1100"/>
      <c r="E467" s="1100"/>
      <c r="F467" s="1100"/>
      <c r="G467" s="1648">
        <f>'Part IV-Uses of Funds'!G53</f>
        <v>71000</v>
      </c>
      <c r="H467" s="1648"/>
      <c r="I467" s="1100"/>
      <c r="J467" s="1648">
        <f>'Part IV-Uses of Funds'!J53</f>
        <v>63900</v>
      </c>
      <c r="K467" s="1648"/>
      <c r="L467" s="1108"/>
      <c r="M467" s="1648">
        <f>'Part IV-Uses of Funds'!M53</f>
        <v>0</v>
      </c>
      <c r="N467" s="1648"/>
      <c r="O467" s="1100"/>
      <c r="P467" s="1648">
        <f>'Part IV-Uses of Funds'!P53</f>
        <v>0</v>
      </c>
      <c r="Q467" s="1648"/>
      <c r="R467" s="1100"/>
      <c r="S467" s="1648">
        <f>'Part IV-Uses of Funds'!S53</f>
        <v>7100</v>
      </c>
      <c r="T467" s="1648"/>
    </row>
    <row r="468" spans="1:20">
      <c r="A468" s="1100"/>
      <c r="B468" s="1100" t="s">
        <v>2500</v>
      </c>
      <c r="C468" s="1100"/>
      <c r="D468" s="1100"/>
      <c r="E468" s="1100"/>
      <c r="F468" s="1100"/>
      <c r="G468" s="1648">
        <f>'Part IV-Uses of Funds'!G54</f>
        <v>175760</v>
      </c>
      <c r="H468" s="1648"/>
      <c r="I468" s="1100"/>
      <c r="J468" s="1648">
        <f>'Part IV-Uses of Funds'!J54</f>
        <v>108928</v>
      </c>
      <c r="K468" s="1648"/>
      <c r="L468" s="1108"/>
      <c r="M468" s="1648">
        <f>'Part IV-Uses of Funds'!M54</f>
        <v>0</v>
      </c>
      <c r="N468" s="1648"/>
      <c r="O468" s="1100"/>
      <c r="P468" s="1648">
        <f>'Part IV-Uses of Funds'!P54</f>
        <v>0</v>
      </c>
      <c r="Q468" s="1648"/>
      <c r="R468" s="1100"/>
      <c r="S468" s="1648">
        <f>'Part IV-Uses of Funds'!S54</f>
        <v>66832</v>
      </c>
      <c r="T468" s="1648"/>
    </row>
    <row r="469" spans="1:20">
      <c r="A469" s="1100"/>
      <c r="B469" s="1100" t="s">
        <v>2501</v>
      </c>
      <c r="C469" s="1100"/>
      <c r="D469" s="1100"/>
      <c r="E469" s="1100"/>
      <c r="F469" s="1100"/>
      <c r="G469" s="1648">
        <f>'Part IV-Uses of Funds'!G55</f>
        <v>45000</v>
      </c>
      <c r="H469" s="1648"/>
      <c r="I469" s="1100"/>
      <c r="J469" s="1648">
        <f>'Part IV-Uses of Funds'!J55</f>
        <v>45000</v>
      </c>
      <c r="K469" s="1648"/>
      <c r="L469" s="1108"/>
      <c r="M469" s="1648">
        <f>'Part IV-Uses of Funds'!M55</f>
        <v>0</v>
      </c>
      <c r="N469" s="1648"/>
      <c r="O469" s="1100"/>
      <c r="P469" s="1648">
        <f>'Part IV-Uses of Funds'!P55</f>
        <v>0</v>
      </c>
      <c r="Q469" s="1648"/>
      <c r="R469" s="1100"/>
      <c r="S469" s="1648">
        <f>'Part IV-Uses of Funds'!S55</f>
        <v>0</v>
      </c>
      <c r="T469" s="1648"/>
    </row>
    <row r="470" spans="1:20">
      <c r="A470" s="1100"/>
      <c r="B470" s="1100" t="s">
        <v>2915</v>
      </c>
      <c r="C470" s="1100"/>
      <c r="D470" s="1100"/>
      <c r="E470" s="1100"/>
      <c r="F470" s="1100"/>
      <c r="G470" s="1648">
        <f>'Part IV-Uses of Funds'!G56</f>
        <v>65000</v>
      </c>
      <c r="H470" s="1648"/>
      <c r="I470" s="1100"/>
      <c r="J470" s="1648">
        <f>'Part IV-Uses of Funds'!J56</f>
        <v>65000</v>
      </c>
      <c r="K470" s="1648"/>
      <c r="L470" s="1108"/>
      <c r="M470" s="1648">
        <f>'Part IV-Uses of Funds'!M56</f>
        <v>0</v>
      </c>
      <c r="N470" s="1648"/>
      <c r="O470" s="1100"/>
      <c r="P470" s="1648">
        <f>'Part IV-Uses of Funds'!P56</f>
        <v>0</v>
      </c>
      <c r="Q470" s="1648"/>
      <c r="R470" s="1100"/>
      <c r="S470" s="1648">
        <f>'Part IV-Uses of Funds'!S56</f>
        <v>0</v>
      </c>
      <c r="T470" s="1648"/>
    </row>
    <row r="471" spans="1:20">
      <c r="A471" s="1100"/>
      <c r="B471" s="1100" t="s">
        <v>773</v>
      </c>
      <c r="C471" s="1100"/>
      <c r="D471" s="1100"/>
      <c r="E471" s="1100"/>
      <c r="F471" s="1100"/>
      <c r="G471" s="1648">
        <f>'Part IV-Uses of Funds'!G57</f>
        <v>8000</v>
      </c>
      <c r="H471" s="1648"/>
      <c r="I471" s="1100"/>
      <c r="J471" s="1648">
        <f>'Part IV-Uses of Funds'!J57</f>
        <v>8000</v>
      </c>
      <c r="K471" s="1648"/>
      <c r="L471" s="1108"/>
      <c r="M471" s="1648">
        <f>'Part IV-Uses of Funds'!M57</f>
        <v>0</v>
      </c>
      <c r="N471" s="1648"/>
      <c r="O471" s="1100"/>
      <c r="P471" s="1648">
        <f>'Part IV-Uses of Funds'!P57</f>
        <v>0</v>
      </c>
      <c r="Q471" s="1648"/>
      <c r="R471" s="1100"/>
      <c r="S471" s="1648">
        <f>'Part IV-Uses of Funds'!S57</f>
        <v>0</v>
      </c>
      <c r="T471" s="1648"/>
    </row>
    <row r="472" spans="1:20">
      <c r="A472" s="1100"/>
      <c r="B472" s="1100" t="s">
        <v>2502</v>
      </c>
      <c r="C472" s="1100"/>
      <c r="D472" s="1100"/>
      <c r="E472" s="1100"/>
      <c r="F472" s="1100"/>
      <c r="G472" s="1648">
        <f>'Part IV-Uses of Funds'!G58</f>
        <v>15000</v>
      </c>
      <c r="H472" s="1648"/>
      <c r="I472" s="1100"/>
      <c r="J472" s="1648">
        <f>'Part IV-Uses of Funds'!J58</f>
        <v>15000</v>
      </c>
      <c r="K472" s="1648"/>
      <c r="L472" s="1108"/>
      <c r="M472" s="1648">
        <f>'Part IV-Uses of Funds'!M58</f>
        <v>0</v>
      </c>
      <c r="N472" s="1648"/>
      <c r="O472" s="1100"/>
      <c r="P472" s="1648">
        <f>'Part IV-Uses of Funds'!P58</f>
        <v>0</v>
      </c>
      <c r="Q472" s="1648"/>
      <c r="R472" s="1100"/>
      <c r="S472" s="1648">
        <f>'Part IV-Uses of Funds'!S58</f>
        <v>0</v>
      </c>
      <c r="T472" s="1648"/>
    </row>
    <row r="473" spans="1:20">
      <c r="A473" s="1100"/>
      <c r="B473" s="1100" t="s">
        <v>1356</v>
      </c>
      <c r="C473" s="1100"/>
      <c r="D473" s="1100"/>
      <c r="E473" s="1100"/>
      <c r="F473" s="1100"/>
      <c r="G473" s="1648">
        <f>'Part IV-Uses of Funds'!G59</f>
        <v>25000</v>
      </c>
      <c r="H473" s="1648"/>
      <c r="I473" s="1100"/>
      <c r="J473" s="1648">
        <f>'Part IV-Uses of Funds'!J59</f>
        <v>25000</v>
      </c>
      <c r="K473" s="1648"/>
      <c r="L473" s="1108"/>
      <c r="M473" s="1648">
        <f>'Part IV-Uses of Funds'!M59</f>
        <v>0</v>
      </c>
      <c r="N473" s="1648"/>
      <c r="O473" s="1100"/>
      <c r="P473" s="1648">
        <f>'Part IV-Uses of Funds'!P59</f>
        <v>0</v>
      </c>
      <c r="Q473" s="1648"/>
      <c r="R473" s="1100"/>
      <c r="S473" s="1648">
        <f>'Part IV-Uses of Funds'!S59</f>
        <v>0</v>
      </c>
      <c r="T473" s="1648"/>
    </row>
    <row r="474" spans="1:20">
      <c r="A474" s="1100"/>
      <c r="B474" s="1100" t="s">
        <v>295</v>
      </c>
      <c r="C474" s="1100"/>
      <c r="D474" s="1100"/>
      <c r="E474" s="1100"/>
      <c r="F474" s="1100"/>
      <c r="G474" s="1648">
        <f>'Part IV-Uses of Funds'!G60</f>
        <v>0</v>
      </c>
      <c r="H474" s="1648"/>
      <c r="I474" s="1100"/>
      <c r="J474" s="1648">
        <f>'Part IV-Uses of Funds'!J60</f>
        <v>0</v>
      </c>
      <c r="K474" s="1648"/>
      <c r="L474" s="1108"/>
      <c r="M474" s="1648">
        <f>'Part IV-Uses of Funds'!M60</f>
        <v>0</v>
      </c>
      <c r="N474" s="1648"/>
      <c r="O474" s="1100"/>
      <c r="P474" s="1648">
        <f>'Part IV-Uses of Funds'!P60</f>
        <v>0</v>
      </c>
      <c r="Q474" s="1648"/>
      <c r="R474" s="1100"/>
      <c r="S474" s="1648">
        <f>'Part IV-Uses of Funds'!S60</f>
        <v>0</v>
      </c>
      <c r="T474" s="1648"/>
    </row>
    <row r="475" spans="1:20">
      <c r="A475" s="1100"/>
      <c r="B475" s="880" t="s">
        <v>1222</v>
      </c>
      <c r="C475" s="1100"/>
      <c r="D475" s="878"/>
      <c r="E475" s="878"/>
      <c r="F475" s="879"/>
      <c r="G475" s="1648">
        <f>'Part IV-Uses of Funds'!G61</f>
        <v>62560</v>
      </c>
      <c r="H475" s="1648"/>
      <c r="I475" s="1095"/>
      <c r="J475" s="1648">
        <f>'Part IV-Uses of Funds'!J61</f>
        <v>46304</v>
      </c>
      <c r="K475" s="1648"/>
      <c r="L475" s="1108"/>
      <c r="M475" s="1648">
        <f>'Part IV-Uses of Funds'!M61</f>
        <v>0</v>
      </c>
      <c r="N475" s="1648"/>
      <c r="O475" s="1100"/>
      <c r="P475" s="1648">
        <f>'Part IV-Uses of Funds'!P61</f>
        <v>0</v>
      </c>
      <c r="Q475" s="1648"/>
      <c r="R475" s="1100"/>
      <c r="S475" s="1648">
        <f>'Part IV-Uses of Funds'!S61</f>
        <v>16256</v>
      </c>
      <c r="T475" s="1648"/>
    </row>
    <row r="476" spans="1:20" ht="12.75" customHeight="1">
      <c r="A476" s="875" t="str">
        <f>IF(AND(G476&gt;0,OR(C476="",C476="&lt;Enter detailed description here; use Comments section if needed&gt;")),"X","")</f>
        <v/>
      </c>
      <c r="B476" s="1100" t="s">
        <v>791</v>
      </c>
      <c r="C476" s="1649" t="str">
        <f>'Part IV-Uses of Funds'!C62</f>
        <v>&lt;Enter detailed description here; use Comments section if needed&gt;</v>
      </c>
      <c r="D476" s="1649"/>
      <c r="E476" s="1649"/>
      <c r="F476" s="1649"/>
      <c r="G476" s="1648">
        <f>'Part IV-Uses of Funds'!G62</f>
        <v>0</v>
      </c>
      <c r="H476" s="1648"/>
      <c r="I476" s="1100"/>
      <c r="J476" s="1648">
        <f>'Part IV-Uses of Funds'!J62</f>
        <v>0</v>
      </c>
      <c r="K476" s="1648"/>
      <c r="L476" s="1108"/>
      <c r="M476" s="1648">
        <f>'Part IV-Uses of Funds'!M62</f>
        <v>0</v>
      </c>
      <c r="N476" s="1648"/>
      <c r="O476" s="1100"/>
      <c r="P476" s="1648">
        <f>'Part IV-Uses of Funds'!P62</f>
        <v>0</v>
      </c>
      <c r="Q476" s="1648"/>
      <c r="R476" s="1100"/>
      <c r="S476" s="1648">
        <f>'Part IV-Uses of Funds'!S62</f>
        <v>0</v>
      </c>
      <c r="T476" s="1648"/>
    </row>
    <row r="477" spans="1:20" ht="12.75" customHeight="1">
      <c r="A477" s="875" t="str">
        <f>IF(AND(G477&gt;0,OR(C477="",C477="&lt;Enter detailed description here; use Comments section if needed&gt;")),"X","")</f>
        <v/>
      </c>
      <c r="B477" s="1100" t="s">
        <v>791</v>
      </c>
      <c r="C477" s="1649" t="str">
        <f>'Part IV-Uses of Funds'!C63</f>
        <v>&lt;Enter detailed description here; use Comments section if needed&gt;</v>
      </c>
      <c r="D477" s="1649"/>
      <c r="E477" s="1649"/>
      <c r="F477" s="1649"/>
      <c r="G477" s="1648">
        <f>'Part IV-Uses of Funds'!G63</f>
        <v>0</v>
      </c>
      <c r="H477" s="1648"/>
      <c r="I477" s="1100"/>
      <c r="J477" s="1648">
        <f>'Part IV-Uses of Funds'!J63</f>
        <v>0</v>
      </c>
      <c r="K477" s="1648"/>
      <c r="L477" s="1108"/>
      <c r="M477" s="1648">
        <f>'Part IV-Uses of Funds'!M63</f>
        <v>0</v>
      </c>
      <c r="N477" s="1648"/>
      <c r="O477" s="1100"/>
      <c r="P477" s="1648">
        <f>'Part IV-Uses of Funds'!P63</f>
        <v>0</v>
      </c>
      <c r="Q477" s="1648"/>
      <c r="R477" s="1100"/>
      <c r="S477" s="1648">
        <f>'Part IV-Uses of Funds'!S63</f>
        <v>0</v>
      </c>
      <c r="T477" s="1648"/>
    </row>
    <row r="478" spans="1:20">
      <c r="A478" s="1100"/>
      <c r="B478" s="1100"/>
      <c r="C478" s="1100"/>
      <c r="D478" s="1100"/>
      <c r="E478" s="1100"/>
      <c r="F478" s="876" t="s">
        <v>199</v>
      </c>
      <c r="G478" s="1648">
        <f>SUM(G467:H477)</f>
        <v>467320</v>
      </c>
      <c r="H478" s="1648"/>
      <c r="I478" s="1100"/>
      <c r="J478" s="1648">
        <f>SUM(J467:K477)</f>
        <v>377132</v>
      </c>
      <c r="K478" s="1648"/>
      <c r="L478" s="1108"/>
      <c r="M478" s="1648">
        <f>SUM(M467:N477)</f>
        <v>0</v>
      </c>
      <c r="N478" s="1648"/>
      <c r="O478" s="1100"/>
      <c r="P478" s="1648">
        <f>SUM(P467:Q477)</f>
        <v>0</v>
      </c>
      <c r="Q478" s="1648"/>
      <c r="R478" s="1100"/>
      <c r="S478" s="1648">
        <f>SUM(S467:T477)</f>
        <v>90188</v>
      </c>
      <c r="T478" s="1648"/>
    </row>
    <row r="479" spans="1:20">
      <c r="A479" s="1100"/>
      <c r="B479" s="835" t="s">
        <v>505</v>
      </c>
      <c r="C479" s="1100"/>
      <c r="D479" s="1100"/>
      <c r="E479" s="1100"/>
      <c r="F479" s="1100"/>
      <c r="G479" s="874"/>
      <c r="H479" s="874"/>
      <c r="I479" s="1100"/>
      <c r="J479" s="874"/>
      <c r="K479" s="874"/>
      <c r="L479" s="1100"/>
      <c r="M479" s="874"/>
      <c r="N479" s="874"/>
      <c r="O479" s="1109" t="str">
        <f>B479</f>
        <v>PROFESSIONAL SERVICES</v>
      </c>
      <c r="P479" s="874"/>
      <c r="Q479" s="874"/>
      <c r="R479" s="1100"/>
      <c r="S479" s="874"/>
      <c r="T479" s="874"/>
    </row>
    <row r="480" spans="1:20">
      <c r="A480" s="1100"/>
      <c r="B480" s="1100" t="s">
        <v>506</v>
      </c>
      <c r="C480" s="1100"/>
      <c r="D480" s="1100"/>
      <c r="E480" s="1100"/>
      <c r="F480" s="1100"/>
      <c r="G480" s="1648">
        <f>'Part IV-Uses of Funds'!G66</f>
        <v>251160</v>
      </c>
      <c r="H480" s="1648"/>
      <c r="I480" s="1100"/>
      <c r="J480" s="1648">
        <f>'Part IV-Uses of Funds'!J66</f>
        <v>251160</v>
      </c>
      <c r="K480" s="1648"/>
      <c r="L480" s="1108"/>
      <c r="M480" s="1648">
        <f>'Part IV-Uses of Funds'!M66</f>
        <v>0</v>
      </c>
      <c r="N480" s="1648"/>
      <c r="O480" s="1100"/>
      <c r="P480" s="1648">
        <f>'Part IV-Uses of Funds'!P66</f>
        <v>0</v>
      </c>
      <c r="Q480" s="1648"/>
      <c r="R480" s="1100"/>
      <c r="S480" s="1648">
        <f>'Part IV-Uses of Funds'!S66</f>
        <v>0</v>
      </c>
      <c r="T480" s="1648"/>
    </row>
    <row r="481" spans="1:20">
      <c r="A481" s="1100"/>
      <c r="B481" s="1100" t="s">
        <v>507</v>
      </c>
      <c r="C481" s="1100"/>
      <c r="D481" s="1100"/>
      <c r="E481" s="1100"/>
      <c r="F481" s="1100"/>
      <c r="G481" s="1648">
        <f>'Part IV-Uses of Funds'!G67</f>
        <v>100890</v>
      </c>
      <c r="H481" s="1648"/>
      <c r="I481" s="1100"/>
      <c r="J481" s="1648">
        <f>'Part IV-Uses of Funds'!J67</f>
        <v>100890</v>
      </c>
      <c r="K481" s="1648"/>
      <c r="L481" s="1108"/>
      <c r="M481" s="1648">
        <f>'Part IV-Uses of Funds'!M67</f>
        <v>0</v>
      </c>
      <c r="N481" s="1648"/>
      <c r="O481" s="1100"/>
      <c r="P481" s="1648">
        <f>'Part IV-Uses of Funds'!P67</f>
        <v>0</v>
      </c>
      <c r="Q481" s="1648"/>
      <c r="R481" s="1100"/>
      <c r="S481" s="1648">
        <f>'Part IV-Uses of Funds'!S67</f>
        <v>0</v>
      </c>
      <c r="T481" s="1648"/>
    </row>
    <row r="482" spans="1:20">
      <c r="A482" s="1100"/>
      <c r="B482" s="1100" t="s">
        <v>1193</v>
      </c>
      <c r="C482" s="1100"/>
      <c r="D482" s="1100"/>
      <c r="E482" s="1100"/>
      <c r="F482" s="1100" t="s">
        <v>3148</v>
      </c>
      <c r="G482" s="1648">
        <f>'Part IV-Uses of Funds'!G68</f>
        <v>5000</v>
      </c>
      <c r="H482" s="1648"/>
      <c r="I482" s="1100"/>
      <c r="J482" s="1648">
        <f>'Part IV-Uses of Funds'!J68</f>
        <v>5000</v>
      </c>
      <c r="K482" s="1648"/>
      <c r="L482" s="1108"/>
      <c r="M482" s="1648">
        <f>'Part IV-Uses of Funds'!M68</f>
        <v>0</v>
      </c>
      <c r="N482" s="1648"/>
      <c r="O482" s="1100"/>
      <c r="P482" s="1648">
        <f>'Part IV-Uses of Funds'!P68</f>
        <v>0</v>
      </c>
      <c r="Q482" s="1648"/>
      <c r="R482" s="1100"/>
      <c r="S482" s="1648">
        <f>'Part IV-Uses of Funds'!S68</f>
        <v>0</v>
      </c>
      <c r="T482" s="1648"/>
    </row>
    <row r="483" spans="1:20">
      <c r="A483" s="1100"/>
      <c r="B483" s="1100" t="s">
        <v>1194</v>
      </c>
      <c r="C483" s="1100"/>
      <c r="D483" s="1100"/>
      <c r="E483" s="1100"/>
      <c r="F483" s="1100"/>
      <c r="G483" s="1648">
        <f>'Part IV-Uses of Funds'!G69</f>
        <v>37000</v>
      </c>
      <c r="H483" s="1648"/>
      <c r="I483" s="1100"/>
      <c r="J483" s="1648">
        <f>'Part IV-Uses of Funds'!J69</f>
        <v>37000</v>
      </c>
      <c r="K483" s="1648"/>
      <c r="L483" s="1108"/>
      <c r="M483" s="1648">
        <f>'Part IV-Uses of Funds'!M69</f>
        <v>0</v>
      </c>
      <c r="N483" s="1648"/>
      <c r="O483" s="1100"/>
      <c r="P483" s="1648">
        <f>'Part IV-Uses of Funds'!P69</f>
        <v>0</v>
      </c>
      <c r="Q483" s="1648"/>
      <c r="R483" s="1100"/>
      <c r="S483" s="1648">
        <f>'Part IV-Uses of Funds'!S69</f>
        <v>0</v>
      </c>
      <c r="T483" s="1648"/>
    </row>
    <row r="484" spans="1:20">
      <c r="A484" s="1100"/>
      <c r="B484" s="1100" t="s">
        <v>1195</v>
      </c>
      <c r="C484" s="1100"/>
      <c r="D484" s="1100"/>
      <c r="E484" s="1100"/>
      <c r="F484" s="1100"/>
      <c r="G484" s="1648">
        <f>'Part IV-Uses of Funds'!G70</f>
        <v>10500</v>
      </c>
      <c r="H484" s="1648"/>
      <c r="I484" s="1100"/>
      <c r="J484" s="1648">
        <f>'Part IV-Uses of Funds'!J70</f>
        <v>10500</v>
      </c>
      <c r="K484" s="1648"/>
      <c r="L484" s="1108"/>
      <c r="M484" s="1648">
        <f>'Part IV-Uses of Funds'!M70</f>
        <v>0</v>
      </c>
      <c r="N484" s="1648"/>
      <c r="O484" s="1100"/>
      <c r="P484" s="1648">
        <f>'Part IV-Uses of Funds'!P70</f>
        <v>0</v>
      </c>
      <c r="Q484" s="1648"/>
      <c r="R484" s="1100"/>
      <c r="S484" s="1648">
        <f>'Part IV-Uses of Funds'!S70</f>
        <v>0</v>
      </c>
      <c r="T484" s="1648"/>
    </row>
    <row r="485" spans="1:20">
      <c r="A485" s="1100"/>
      <c r="B485" s="1100" t="s">
        <v>1196</v>
      </c>
      <c r="C485" s="1100"/>
      <c r="D485" s="1100"/>
      <c r="E485" s="1100"/>
      <c r="F485" s="1100"/>
      <c r="G485" s="1648">
        <f>'Part IV-Uses of Funds'!G71</f>
        <v>50000</v>
      </c>
      <c r="H485" s="1648"/>
      <c r="I485" s="1100"/>
      <c r="J485" s="1648">
        <f>'Part IV-Uses of Funds'!J71</f>
        <v>50000</v>
      </c>
      <c r="K485" s="1648"/>
      <c r="L485" s="1108"/>
      <c r="M485" s="1648">
        <f>'Part IV-Uses of Funds'!M71</f>
        <v>0</v>
      </c>
      <c r="N485" s="1648"/>
      <c r="O485" s="1100"/>
      <c r="P485" s="1648">
        <f>'Part IV-Uses of Funds'!P71</f>
        <v>0</v>
      </c>
      <c r="Q485" s="1648"/>
      <c r="R485" s="1100"/>
      <c r="S485" s="1648">
        <f>'Part IV-Uses of Funds'!S71</f>
        <v>0</v>
      </c>
      <c r="T485" s="1648"/>
    </row>
    <row r="486" spans="1:20">
      <c r="A486" s="1100"/>
      <c r="B486" s="1100" t="s">
        <v>508</v>
      </c>
      <c r="C486" s="1100"/>
      <c r="D486" s="1100"/>
      <c r="E486" s="1100"/>
      <c r="F486" s="1100"/>
      <c r="G486" s="1648">
        <f>'Part IV-Uses of Funds'!G72</f>
        <v>115705</v>
      </c>
      <c r="H486" s="1648"/>
      <c r="I486" s="1100"/>
      <c r="J486" s="1648">
        <f>'Part IV-Uses of Funds'!J72</f>
        <v>115705</v>
      </c>
      <c r="K486" s="1648"/>
      <c r="L486" s="1108"/>
      <c r="M486" s="1648">
        <f>'Part IV-Uses of Funds'!M72</f>
        <v>0</v>
      </c>
      <c r="N486" s="1648"/>
      <c r="O486" s="1100"/>
      <c r="P486" s="1648">
        <f>'Part IV-Uses of Funds'!P72</f>
        <v>0</v>
      </c>
      <c r="Q486" s="1648"/>
      <c r="R486" s="1100"/>
      <c r="S486" s="1648">
        <f>'Part IV-Uses of Funds'!S72</f>
        <v>0</v>
      </c>
      <c r="T486" s="1648"/>
    </row>
    <row r="487" spans="1:20">
      <c r="A487" s="1100"/>
      <c r="B487" s="1100" t="s">
        <v>509</v>
      </c>
      <c r="C487" s="1100"/>
      <c r="D487" s="1100"/>
      <c r="E487" s="1100"/>
      <c r="F487" s="1100"/>
      <c r="G487" s="1648">
        <f>'Part IV-Uses of Funds'!G73</f>
        <v>10000</v>
      </c>
      <c r="H487" s="1648"/>
      <c r="I487" s="1100"/>
      <c r="J487" s="1648">
        <f>'Part IV-Uses of Funds'!J73</f>
        <v>0</v>
      </c>
      <c r="K487" s="1648"/>
      <c r="L487" s="1108"/>
      <c r="M487" s="1648">
        <f>'Part IV-Uses of Funds'!M73</f>
        <v>0</v>
      </c>
      <c r="N487" s="1648"/>
      <c r="O487" s="1100"/>
      <c r="P487" s="1648">
        <f>'Part IV-Uses of Funds'!P73</f>
        <v>0</v>
      </c>
      <c r="Q487" s="1648"/>
      <c r="R487" s="1100"/>
      <c r="S487" s="1648">
        <f>'Part IV-Uses of Funds'!S73</f>
        <v>10000</v>
      </c>
      <c r="T487" s="1648"/>
    </row>
    <row r="488" spans="1:20">
      <c r="A488" s="1100"/>
      <c r="B488" s="1100" t="s">
        <v>2188</v>
      </c>
      <c r="C488" s="1100"/>
      <c r="D488" s="1100"/>
      <c r="E488" s="1100"/>
      <c r="F488" s="1100"/>
      <c r="G488" s="1648">
        <f>'Part IV-Uses of Funds'!G74</f>
        <v>72598</v>
      </c>
      <c r="H488" s="1648"/>
      <c r="I488" s="1100"/>
      <c r="J488" s="1648">
        <f>'Part IV-Uses of Funds'!J74</f>
        <v>72598</v>
      </c>
      <c r="K488" s="1648"/>
      <c r="L488" s="1108"/>
      <c r="M488" s="1648">
        <f>'Part IV-Uses of Funds'!M74</f>
        <v>0</v>
      </c>
      <c r="N488" s="1648"/>
      <c r="O488" s="1100"/>
      <c r="P488" s="1648">
        <f>'Part IV-Uses of Funds'!P74</f>
        <v>0</v>
      </c>
      <c r="Q488" s="1648"/>
      <c r="R488" s="1100"/>
      <c r="S488" s="1648">
        <f>'Part IV-Uses of Funds'!S74</f>
        <v>0</v>
      </c>
      <c r="T488" s="1648"/>
    </row>
    <row r="489" spans="1:20">
      <c r="A489" s="1100"/>
      <c r="B489" s="1100" t="s">
        <v>1357</v>
      </c>
      <c r="C489" s="1100"/>
      <c r="D489" s="1100"/>
      <c r="E489" s="1100"/>
      <c r="F489" s="1100"/>
      <c r="G489" s="1648">
        <f>'Part IV-Uses of Funds'!G75</f>
        <v>2500</v>
      </c>
      <c r="H489" s="1648"/>
      <c r="I489" s="1100"/>
      <c r="J489" s="1648">
        <f>'Part IV-Uses of Funds'!J75</f>
        <v>2500</v>
      </c>
      <c r="K489" s="1648"/>
      <c r="L489" s="1108"/>
      <c r="M489" s="1648">
        <f>'Part IV-Uses of Funds'!M75</f>
        <v>0</v>
      </c>
      <c r="N489" s="1648"/>
      <c r="O489" s="1100"/>
      <c r="P489" s="1648">
        <f>'Part IV-Uses of Funds'!P75</f>
        <v>0</v>
      </c>
      <c r="Q489" s="1648"/>
      <c r="R489" s="1100"/>
      <c r="S489" s="1648">
        <f>'Part IV-Uses of Funds'!S75</f>
        <v>0</v>
      </c>
      <c r="T489" s="1648"/>
    </row>
    <row r="490" spans="1:20" ht="12.75" customHeight="1">
      <c r="A490" s="875" t="str">
        <f>IF(AND(G490&gt;0,OR(C490="",C490="&lt;Enter detailed description here; use Comments section if needed&gt;")),"X","")</f>
        <v/>
      </c>
      <c r="B490" s="1100" t="s">
        <v>791</v>
      </c>
      <c r="C490" s="1649" t="str">
        <f>'Part IV-Uses of Funds'!C76</f>
        <v>&lt;Enter detailed description here; use Comments section if needed&gt;</v>
      </c>
      <c r="D490" s="1649"/>
      <c r="E490" s="1649"/>
      <c r="F490" s="1649"/>
      <c r="G490" s="1648">
        <f>'Part IV-Uses of Funds'!G76</f>
        <v>0</v>
      </c>
      <c r="H490" s="1648"/>
      <c r="I490" s="1100"/>
      <c r="J490" s="1648">
        <f>'Part IV-Uses of Funds'!J76</f>
        <v>0</v>
      </c>
      <c r="K490" s="1648"/>
      <c r="L490" s="1108"/>
      <c r="M490" s="1648">
        <f>'Part IV-Uses of Funds'!M76</f>
        <v>0</v>
      </c>
      <c r="N490" s="1648"/>
      <c r="O490" s="1100"/>
      <c r="P490" s="1648">
        <f>'Part IV-Uses of Funds'!P76</f>
        <v>0</v>
      </c>
      <c r="Q490" s="1648"/>
      <c r="R490" s="1100"/>
      <c r="S490" s="1648">
        <f>'Part IV-Uses of Funds'!S76</f>
        <v>0</v>
      </c>
      <c r="T490" s="1648"/>
    </row>
    <row r="491" spans="1:20">
      <c r="A491" s="1100"/>
      <c r="B491" s="1100"/>
      <c r="C491" s="1100"/>
      <c r="D491" s="1100"/>
      <c r="E491" s="1100"/>
      <c r="F491" s="876" t="s">
        <v>199</v>
      </c>
      <c r="G491" s="1648">
        <f>SUM(G480:H490)</f>
        <v>655353</v>
      </c>
      <c r="H491" s="1648"/>
      <c r="I491" s="1100"/>
      <c r="J491" s="1648">
        <f>SUM(J480:K490)</f>
        <v>645353</v>
      </c>
      <c r="K491" s="1648"/>
      <c r="L491" s="1108"/>
      <c r="M491" s="1648">
        <f>SUM(M480:N490)</f>
        <v>0</v>
      </c>
      <c r="N491" s="1648"/>
      <c r="O491" s="1100"/>
      <c r="P491" s="1648">
        <f>SUM(P480:Q490)</f>
        <v>0</v>
      </c>
      <c r="Q491" s="1648"/>
      <c r="R491" s="1100"/>
      <c r="S491" s="1648">
        <f>SUM(S480:T490)</f>
        <v>10000</v>
      </c>
      <c r="T491" s="1648"/>
    </row>
    <row r="492" spans="1:20">
      <c r="A492" s="1100"/>
      <c r="B492" s="835" t="s">
        <v>1349</v>
      </c>
      <c r="C492" s="1100"/>
      <c r="D492" s="1100"/>
      <c r="E492" s="1100"/>
      <c r="F492" s="1100"/>
      <c r="G492" s="1100"/>
      <c r="H492" s="1100"/>
      <c r="I492" s="1100"/>
      <c r="J492" s="1108"/>
      <c r="K492" s="1108"/>
      <c r="L492" s="1095"/>
      <c r="M492" s="1108"/>
      <c r="N492" s="1108"/>
      <c r="O492" s="1109" t="str">
        <f>B492</f>
        <v>LOCAL GOVERNMENT FEES</v>
      </c>
      <c r="P492" s="1108"/>
      <c r="Q492" s="1108"/>
      <c r="R492" s="1095"/>
      <c r="S492" s="1108"/>
      <c r="T492" s="1108"/>
    </row>
    <row r="493" spans="1:20">
      <c r="A493" s="1100"/>
      <c r="B493" s="1100" t="s">
        <v>1350</v>
      </c>
      <c r="C493" s="1100"/>
      <c r="D493" s="1100"/>
      <c r="E493" s="1100"/>
      <c r="F493" s="1100"/>
      <c r="G493" s="1648">
        <f>'Part IV-Uses of Funds'!G79</f>
        <v>50000</v>
      </c>
      <c r="H493" s="1648"/>
      <c r="I493" s="1100"/>
      <c r="J493" s="1648">
        <f>'Part IV-Uses of Funds'!J79</f>
        <v>50000</v>
      </c>
      <c r="K493" s="1648"/>
      <c r="L493" s="1108"/>
      <c r="M493" s="1648">
        <f>'Part IV-Uses of Funds'!M79</f>
        <v>0</v>
      </c>
      <c r="N493" s="1648"/>
      <c r="O493" s="1100"/>
      <c r="P493" s="1648">
        <f>'Part IV-Uses of Funds'!P79</f>
        <v>0</v>
      </c>
      <c r="Q493" s="1648"/>
      <c r="R493" s="1100"/>
      <c r="S493" s="1648">
        <f>'Part IV-Uses of Funds'!S79</f>
        <v>0</v>
      </c>
      <c r="T493" s="1648"/>
    </row>
    <row r="494" spans="1:20">
      <c r="A494" s="1100"/>
      <c r="B494" s="1100" t="s">
        <v>1351</v>
      </c>
      <c r="C494" s="1100"/>
      <c r="D494" s="1100"/>
      <c r="E494" s="1100"/>
      <c r="F494" s="1100"/>
      <c r="G494" s="1648">
        <f>'Part IV-Uses of Funds'!G80</f>
        <v>172921</v>
      </c>
      <c r="H494" s="1648"/>
      <c r="I494" s="1100"/>
      <c r="J494" s="1648">
        <f>'Part IV-Uses of Funds'!J80</f>
        <v>172921</v>
      </c>
      <c r="K494" s="1648"/>
      <c r="L494" s="1108"/>
      <c r="M494" s="1648">
        <f>'Part IV-Uses of Funds'!M80</f>
        <v>0</v>
      </c>
      <c r="N494" s="1648"/>
      <c r="O494" s="1100"/>
      <c r="P494" s="1648">
        <f>'Part IV-Uses of Funds'!P80</f>
        <v>0</v>
      </c>
      <c r="Q494" s="1648"/>
      <c r="R494" s="1100"/>
      <c r="S494" s="1648">
        <f>'Part IV-Uses of Funds'!S80</f>
        <v>0</v>
      </c>
      <c r="T494" s="1648"/>
    </row>
    <row r="495" spans="1:20">
      <c r="A495" s="1100"/>
      <c r="B495" s="1100" t="s">
        <v>1352</v>
      </c>
      <c r="C495" s="1100"/>
      <c r="D495" s="885" t="s">
        <v>1493</v>
      </c>
      <c r="E495" s="893">
        <f>'Part IV-Uses of Funds'!E81</f>
        <v>0</v>
      </c>
      <c r="F495" s="1100"/>
      <c r="G495" s="1648">
        <f>'Part IV-Uses of Funds'!G81</f>
        <v>12000</v>
      </c>
      <c r="H495" s="1648"/>
      <c r="I495" s="1095"/>
      <c r="J495" s="1648">
        <f>'Part IV-Uses of Funds'!J81</f>
        <v>12000</v>
      </c>
      <c r="K495" s="1648"/>
      <c r="L495" s="1108"/>
      <c r="M495" s="1648">
        <f>'Part IV-Uses of Funds'!M81</f>
        <v>0</v>
      </c>
      <c r="N495" s="1648"/>
      <c r="O495" s="1100"/>
      <c r="P495" s="1648">
        <f>'Part IV-Uses of Funds'!P81</f>
        <v>0</v>
      </c>
      <c r="Q495" s="1648"/>
      <c r="R495" s="1100"/>
      <c r="S495" s="1648">
        <f>'Part IV-Uses of Funds'!S81</f>
        <v>0</v>
      </c>
      <c r="T495" s="1648"/>
    </row>
    <row r="496" spans="1:20">
      <c r="A496" s="1100"/>
      <c r="B496" s="1100" t="s">
        <v>1353</v>
      </c>
      <c r="C496" s="1100"/>
      <c r="D496" s="885" t="s">
        <v>1493</v>
      </c>
      <c r="E496" s="893">
        <f>'Part IV-Uses of Funds'!E82</f>
        <v>0</v>
      </c>
      <c r="F496" s="1100"/>
      <c r="G496" s="1648">
        <f>'Part IV-Uses of Funds'!G82</f>
        <v>0</v>
      </c>
      <c r="H496" s="1648"/>
      <c r="I496" s="1095"/>
      <c r="J496" s="1648">
        <f>'Part IV-Uses of Funds'!J82</f>
        <v>0</v>
      </c>
      <c r="K496" s="1648"/>
      <c r="L496" s="1108"/>
      <c r="M496" s="1648">
        <f>'Part IV-Uses of Funds'!M82</f>
        <v>0</v>
      </c>
      <c r="N496" s="1648"/>
      <c r="O496" s="1100"/>
      <c r="P496" s="1648">
        <f>'Part IV-Uses of Funds'!P82</f>
        <v>0</v>
      </c>
      <c r="Q496" s="1648"/>
      <c r="R496" s="1100"/>
      <c r="S496" s="1648">
        <f>'Part IV-Uses of Funds'!S82</f>
        <v>0</v>
      </c>
      <c r="T496" s="1648"/>
    </row>
    <row r="497" spans="1:20">
      <c r="A497" s="1100"/>
      <c r="B497" s="1100"/>
      <c r="C497" s="1100"/>
      <c r="D497" s="1100"/>
      <c r="E497" s="1100"/>
      <c r="F497" s="876" t="s">
        <v>199</v>
      </c>
      <c r="G497" s="1648">
        <f>SUM(G493:H496)</f>
        <v>234921</v>
      </c>
      <c r="H497" s="1648"/>
      <c r="I497" s="1100"/>
      <c r="J497" s="1648">
        <f>SUM(J493:K496)</f>
        <v>234921</v>
      </c>
      <c r="K497" s="1648"/>
      <c r="L497" s="1108"/>
      <c r="M497" s="1648">
        <f>SUM(M493:N496)</f>
        <v>0</v>
      </c>
      <c r="N497" s="1648"/>
      <c r="O497" s="1100"/>
      <c r="P497" s="1648">
        <f>SUM(P493:Q496)</f>
        <v>0</v>
      </c>
      <c r="Q497" s="1648"/>
      <c r="R497" s="1100"/>
      <c r="S497" s="1648">
        <f>SUM(S493:T496)</f>
        <v>0</v>
      </c>
      <c r="T497" s="1648"/>
    </row>
    <row r="498" spans="1:20">
      <c r="A498" s="1100"/>
      <c r="B498" s="835" t="s">
        <v>774</v>
      </c>
      <c r="C498" s="1100"/>
      <c r="D498" s="1100"/>
      <c r="E498" s="1100"/>
      <c r="F498" s="1100"/>
      <c r="G498" s="1100"/>
      <c r="H498" s="1100"/>
      <c r="I498" s="1100"/>
      <c r="J498" s="1108"/>
      <c r="K498" s="1108"/>
      <c r="L498" s="1100"/>
      <c r="M498" s="1108"/>
      <c r="N498" s="1108"/>
      <c r="O498" s="1109" t="str">
        <f>B498</f>
        <v>PERMANENT FINANCING FEES</v>
      </c>
      <c r="P498" s="1108"/>
      <c r="Q498" s="1108"/>
      <c r="R498" s="1100"/>
      <c r="S498" s="1108"/>
      <c r="T498" s="1108"/>
    </row>
    <row r="499" spans="1:20">
      <c r="A499" s="1100"/>
      <c r="B499" s="1100" t="s">
        <v>1354</v>
      </c>
      <c r="C499" s="1100"/>
      <c r="D499" s="1100"/>
      <c r="E499" s="1100"/>
      <c r="F499" s="1100"/>
      <c r="G499" s="1648">
        <f>'Part IV-Uses of Funds'!G85</f>
        <v>0</v>
      </c>
      <c r="H499" s="1648"/>
      <c r="I499" s="1100"/>
      <c r="J499" s="1653"/>
      <c r="K499" s="1653"/>
      <c r="L499" s="1108"/>
      <c r="M499" s="1653"/>
      <c r="N499" s="1653"/>
      <c r="O499" s="1100"/>
      <c r="P499" s="1653"/>
      <c r="Q499" s="1653"/>
      <c r="R499" s="1100"/>
      <c r="S499" s="1648">
        <f>'Part IV-Uses of Funds'!S85</f>
        <v>0</v>
      </c>
      <c r="T499" s="1648"/>
    </row>
    <row r="500" spans="1:20">
      <c r="A500" s="1100"/>
      <c r="B500" s="1100" t="s">
        <v>1355</v>
      </c>
      <c r="C500" s="1100"/>
      <c r="D500" s="1100"/>
      <c r="E500" s="1100"/>
      <c r="F500" s="1100"/>
      <c r="G500" s="1648">
        <f>'Part IV-Uses of Funds'!G86</f>
        <v>0</v>
      </c>
      <c r="H500" s="1648"/>
      <c r="I500" s="1100"/>
      <c r="J500" s="1653"/>
      <c r="K500" s="1653"/>
      <c r="L500" s="1108"/>
      <c r="M500" s="1653"/>
      <c r="N500" s="1653"/>
      <c r="O500" s="1100"/>
      <c r="P500" s="1653"/>
      <c r="Q500" s="1653"/>
      <c r="R500" s="1100"/>
      <c r="S500" s="1648">
        <f>'Part IV-Uses of Funds'!S86</f>
        <v>0</v>
      </c>
      <c r="T500" s="1648"/>
    </row>
    <row r="501" spans="1:20">
      <c r="A501" s="1100"/>
      <c r="B501" s="1100" t="s">
        <v>1356</v>
      </c>
      <c r="C501" s="1100"/>
      <c r="D501" s="1100"/>
      <c r="E501" s="1100"/>
      <c r="F501" s="1100"/>
      <c r="G501" s="1648">
        <f>'Part IV-Uses of Funds'!G87</f>
        <v>5000</v>
      </c>
      <c r="H501" s="1648"/>
      <c r="I501" s="1100"/>
      <c r="J501" s="1653"/>
      <c r="K501" s="1653"/>
      <c r="L501" s="1108"/>
      <c r="M501" s="1653"/>
      <c r="N501" s="1653"/>
      <c r="O501" s="1100"/>
      <c r="P501" s="1653"/>
      <c r="Q501" s="1653"/>
      <c r="R501" s="1100"/>
      <c r="S501" s="1648">
        <f>'Part IV-Uses of Funds'!S87</f>
        <v>5000</v>
      </c>
      <c r="T501" s="1648"/>
    </row>
    <row r="502" spans="1:20">
      <c r="A502" s="1100"/>
      <c r="B502" s="1100" t="s">
        <v>1358</v>
      </c>
      <c r="C502" s="1100"/>
      <c r="D502" s="1100"/>
      <c r="E502" s="1100"/>
      <c r="F502" s="1100"/>
      <c r="G502" s="1648">
        <f>'Part IV-Uses of Funds'!G88</f>
        <v>0</v>
      </c>
      <c r="H502" s="1648"/>
      <c r="I502" s="1100"/>
      <c r="J502" s="1653"/>
      <c r="K502" s="1653"/>
      <c r="L502" s="1108"/>
      <c r="M502" s="1653"/>
      <c r="N502" s="1653"/>
      <c r="O502" s="1100"/>
      <c r="P502" s="1653"/>
      <c r="Q502" s="1653"/>
      <c r="R502" s="1100"/>
      <c r="S502" s="1648">
        <f>'Part IV-Uses of Funds'!S88</f>
        <v>0</v>
      </c>
      <c r="T502" s="1648"/>
    </row>
    <row r="503" spans="1:20">
      <c r="A503" s="1100"/>
      <c r="B503" s="1100" t="s">
        <v>2449</v>
      </c>
      <c r="C503" s="1100"/>
      <c r="D503" s="1100"/>
      <c r="E503" s="1100"/>
      <c r="F503" s="1100"/>
      <c r="G503" s="1648">
        <f>'Part IV-Uses of Funds'!G89</f>
        <v>0</v>
      </c>
      <c r="H503" s="1648"/>
      <c r="I503" s="1100"/>
      <c r="J503" s="1653"/>
      <c r="K503" s="1653"/>
      <c r="L503" s="1108"/>
      <c r="M503" s="1653"/>
      <c r="N503" s="1653"/>
      <c r="O503" s="1100"/>
      <c r="P503" s="1653"/>
      <c r="Q503" s="1653"/>
      <c r="R503" s="1100"/>
      <c r="S503" s="1648">
        <f>'Part IV-Uses of Funds'!S89</f>
        <v>0</v>
      </c>
      <c r="T503" s="1648"/>
    </row>
    <row r="504" spans="1:20" ht="15.75">
      <c r="A504" s="875" t="str">
        <f>IF(AND(G504&gt;0,OR(C504="",C504="&lt;Enter detailed description here; use Comments section if needed&gt;")),"X","")</f>
        <v/>
      </c>
      <c r="B504" s="1100" t="s">
        <v>791</v>
      </c>
      <c r="C504" s="1649" t="str">
        <f>'Part IV-Uses of Funds'!C90</f>
        <v>&lt;Enter detailed description here; use Comments section if needed&gt;</v>
      </c>
      <c r="D504" s="1649"/>
      <c r="E504" s="1649"/>
      <c r="F504" s="1649"/>
      <c r="G504" s="1648">
        <f>'Part IV-Uses of Funds'!G90</f>
        <v>0</v>
      </c>
      <c r="H504" s="1648"/>
      <c r="I504" s="1100"/>
      <c r="J504" s="1653"/>
      <c r="K504" s="1653"/>
      <c r="L504" s="1108"/>
      <c r="M504" s="1653"/>
      <c r="N504" s="1653"/>
      <c r="O504" s="1100"/>
      <c r="P504" s="1653"/>
      <c r="Q504" s="1653"/>
      <c r="R504" s="1100"/>
      <c r="S504" s="1648">
        <f>'Part IV-Uses of Funds'!S90</f>
        <v>0</v>
      </c>
      <c r="T504" s="1648"/>
    </row>
    <row r="505" spans="1:20">
      <c r="A505" s="1100"/>
      <c r="B505" s="1100"/>
      <c r="C505" s="1100"/>
      <c r="D505" s="1100"/>
      <c r="E505" s="1100"/>
      <c r="F505" s="876" t="s">
        <v>199</v>
      </c>
      <c r="G505" s="1648">
        <f>SUM(G499:H504)</f>
        <v>5000</v>
      </c>
      <c r="H505" s="1648"/>
      <c r="I505" s="1100"/>
      <c r="J505" s="1653"/>
      <c r="K505" s="1653"/>
      <c r="L505" s="1108"/>
      <c r="M505" s="1653"/>
      <c r="N505" s="1653"/>
      <c r="O505" s="1100"/>
      <c r="P505" s="1653"/>
      <c r="Q505" s="1653"/>
      <c r="R505" s="1100"/>
      <c r="S505" s="1648">
        <f>SUM(S499:T504)</f>
        <v>5000</v>
      </c>
      <c r="T505" s="1648"/>
    </row>
    <row r="506" spans="1:20">
      <c r="A506" s="1084"/>
      <c r="B506" s="1084"/>
      <c r="C506" s="1084"/>
      <c r="D506" s="1084"/>
      <c r="E506" s="1084"/>
      <c r="F506" s="1084"/>
      <c r="G506" s="1084"/>
      <c r="H506" s="1084"/>
      <c r="I506" s="1084"/>
      <c r="J506" s="1084"/>
      <c r="K506" s="1084"/>
      <c r="L506" s="1084"/>
      <c r="M506" s="1084"/>
      <c r="N506" s="1084"/>
      <c r="O506" s="1084"/>
      <c r="P506" s="1084"/>
      <c r="Q506" s="1084"/>
      <c r="R506" s="1084"/>
      <c r="S506" s="1084"/>
      <c r="T506" s="1084"/>
    </row>
    <row r="507" spans="1:20" ht="16.5">
      <c r="A507" s="873" t="s">
        <v>657</v>
      </c>
      <c r="B507" s="873" t="s">
        <v>3663</v>
      </c>
      <c r="C507" s="1100"/>
      <c r="D507" s="1100"/>
      <c r="E507" s="1100"/>
      <c r="F507" s="1100"/>
      <c r="G507" s="1100"/>
      <c r="H507" s="1100"/>
      <c r="I507" s="1100"/>
      <c r="J507" s="1651" t="s">
        <v>285</v>
      </c>
      <c r="K507" s="1651"/>
      <c r="L507" s="874"/>
      <c r="M507" s="1655" t="s">
        <v>520</v>
      </c>
      <c r="N507" s="1655"/>
      <c r="O507" s="1100"/>
      <c r="P507" s="1651" t="s">
        <v>286</v>
      </c>
      <c r="Q507" s="1651"/>
      <c r="R507" s="1100"/>
      <c r="S507" s="1651" t="s">
        <v>287</v>
      </c>
      <c r="T507" s="1651"/>
    </row>
    <row r="508" spans="1:20">
      <c r="A508" s="1100"/>
      <c r="B508" s="1100"/>
      <c r="C508" s="1100"/>
      <c r="D508" s="1100"/>
      <c r="E508" s="1100"/>
      <c r="F508" s="1100"/>
      <c r="G508" s="1656" t="s">
        <v>104</v>
      </c>
      <c r="H508" s="1656"/>
      <c r="I508" s="1100"/>
      <c r="J508" s="1651"/>
      <c r="K508" s="1651"/>
      <c r="L508" s="874"/>
      <c r="M508" s="1655"/>
      <c r="N508" s="1655"/>
      <c r="O508" s="1100"/>
      <c r="P508" s="1651"/>
      <c r="Q508" s="1651"/>
      <c r="R508" s="1100"/>
      <c r="S508" s="1651"/>
      <c r="T508" s="1651"/>
    </row>
    <row r="509" spans="1:20">
      <c r="A509" s="1100"/>
      <c r="B509" s="835" t="s">
        <v>775</v>
      </c>
      <c r="C509" s="1100"/>
      <c r="D509" s="1100"/>
      <c r="E509" s="1100"/>
      <c r="F509" s="1100"/>
      <c r="G509" s="1100"/>
      <c r="H509" s="1100"/>
      <c r="I509" s="1100"/>
      <c r="J509" s="1108"/>
      <c r="K509" s="1108"/>
      <c r="L509" s="1100"/>
      <c r="M509" s="1108"/>
      <c r="N509" s="1108"/>
      <c r="O509" s="1109" t="str">
        <f>B509</f>
        <v>DCA-RELATED COSTS</v>
      </c>
      <c r="P509" s="1108"/>
      <c r="Q509" s="1108"/>
      <c r="R509" s="1100"/>
      <c r="S509" s="1108"/>
      <c r="T509" s="1108"/>
    </row>
    <row r="510" spans="1:20">
      <c r="A510" s="1100"/>
      <c r="B510" s="1100" t="s">
        <v>1643</v>
      </c>
      <c r="C510" s="1100"/>
      <c r="D510" s="1100"/>
      <c r="E510" s="1100"/>
      <c r="F510" s="1100"/>
      <c r="G510" s="1648">
        <f>'Part IV-Uses of Funds'!G96</f>
        <v>2500</v>
      </c>
      <c r="H510" s="1648"/>
      <c r="I510" s="1100"/>
      <c r="J510" s="1108"/>
      <c r="K510" s="1108"/>
      <c r="L510" s="1108"/>
      <c r="M510" s="1108"/>
      <c r="N510" s="1108"/>
      <c r="O510" s="1100"/>
      <c r="P510" s="1108"/>
      <c r="Q510" s="1108"/>
      <c r="R510" s="1100"/>
      <c r="S510" s="1648">
        <f>'Part IV-Uses of Funds'!S96</f>
        <v>2500</v>
      </c>
      <c r="T510" s="1648"/>
    </row>
    <row r="511" spans="1:20">
      <c r="A511" s="1100"/>
      <c r="B511" s="1100" t="s">
        <v>1274</v>
      </c>
      <c r="C511" s="1100"/>
      <c r="D511" s="1100"/>
      <c r="E511" s="1100"/>
      <c r="F511" s="1100"/>
      <c r="G511" s="1648">
        <f>'Part IV-Uses of Funds'!G97</f>
        <v>5500</v>
      </c>
      <c r="H511" s="1648"/>
      <c r="I511" s="1100"/>
      <c r="J511" s="1108"/>
      <c r="K511" s="1108"/>
      <c r="L511" s="886"/>
      <c r="M511" s="1108"/>
      <c r="N511" s="1108"/>
      <c r="O511" s="1100"/>
      <c r="P511" s="1108"/>
      <c r="Q511" s="1108"/>
      <c r="R511" s="1100"/>
      <c r="S511" s="1648">
        <f>'Part IV-Uses of Funds'!S97</f>
        <v>5500</v>
      </c>
      <c r="T511" s="1648"/>
    </row>
    <row r="512" spans="1:20">
      <c r="A512" s="1100"/>
      <c r="B512" s="1100" t="s">
        <v>2920</v>
      </c>
      <c r="C512" s="1100"/>
      <c r="D512" s="1100"/>
      <c r="E512" s="1100"/>
      <c r="F512" s="1100"/>
      <c r="G512" s="1648">
        <f>'Part IV-Uses of Funds'!G98</f>
        <v>0</v>
      </c>
      <c r="H512" s="1648"/>
      <c r="I512" s="1100"/>
      <c r="J512" s="1108"/>
      <c r="K512" s="1108"/>
      <c r="L512" s="886"/>
      <c r="M512" s="1108"/>
      <c r="N512" s="1108"/>
      <c r="O512" s="1100"/>
      <c r="P512" s="1108"/>
      <c r="Q512" s="1108"/>
      <c r="R512" s="1100"/>
      <c r="S512" s="1648">
        <f>'Part IV-Uses of Funds'!S98</f>
        <v>0</v>
      </c>
      <c r="T512" s="1648"/>
    </row>
    <row r="513" spans="1:20">
      <c r="A513" s="1100"/>
      <c r="B513" s="1100" t="s">
        <v>552</v>
      </c>
      <c r="C513" s="1100"/>
      <c r="D513" s="1100"/>
      <c r="E513" s="1654">
        <f>'DCA Underwriting Assumptions'!$Q$40*$J$173</f>
        <v>0</v>
      </c>
      <c r="F513" s="1654"/>
      <c r="G513" s="1648">
        <f>'Part IV-Uses of Funds'!G99</f>
        <v>57637</v>
      </c>
      <c r="H513" s="1648"/>
      <c r="I513" s="1100"/>
      <c r="J513" s="1108"/>
      <c r="K513" s="1108"/>
      <c r="L513" s="1108"/>
      <c r="M513" s="1108"/>
      <c r="N513" s="1108"/>
      <c r="O513" s="1100"/>
      <c r="P513" s="1108"/>
      <c r="Q513" s="1108"/>
      <c r="R513" s="1100"/>
      <c r="S513" s="1648">
        <f>'Part IV-Uses of Funds'!S99</f>
        <v>57637</v>
      </c>
      <c r="T513" s="1648"/>
    </row>
    <row r="514" spans="1:20">
      <c r="A514" s="1100"/>
      <c r="B514" s="1100" t="s">
        <v>803</v>
      </c>
      <c r="C514" s="1100"/>
      <c r="D514" s="1100"/>
      <c r="E514" s="165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55200</v>
      </c>
      <c r="F514" s="1654"/>
      <c r="G514" s="1648">
        <f>'Part IV-Uses of Funds'!G100</f>
        <v>55200</v>
      </c>
      <c r="H514" s="1648"/>
      <c r="I514" s="1100"/>
      <c r="J514" s="1095"/>
      <c r="K514" s="1095"/>
      <c r="L514" s="1095"/>
      <c r="M514" s="1095"/>
      <c r="N514" s="1095"/>
      <c r="O514" s="1095"/>
      <c r="P514" s="1095"/>
      <c r="Q514" s="1095"/>
      <c r="R514" s="1100"/>
      <c r="S514" s="1648">
        <f>'Part IV-Uses of Funds'!S100</f>
        <v>55200</v>
      </c>
      <c r="T514" s="1648"/>
    </row>
    <row r="515" spans="1:20">
      <c r="A515" s="1100"/>
      <c r="B515" s="1100" t="s">
        <v>515</v>
      </c>
      <c r="C515" s="1100"/>
      <c r="D515" s="1100"/>
      <c r="E515" s="1100"/>
      <c r="F515" s="1100"/>
      <c r="G515" s="1648">
        <f>'Part IV-Uses of Funds'!G101</f>
        <v>0</v>
      </c>
      <c r="H515" s="1648"/>
      <c r="I515" s="1100"/>
      <c r="J515" s="1095"/>
      <c r="K515" s="1095"/>
      <c r="L515" s="1095"/>
      <c r="M515" s="1095"/>
      <c r="N515" s="1095"/>
      <c r="O515" s="1095"/>
      <c r="P515" s="1095"/>
      <c r="Q515" s="1095"/>
      <c r="R515" s="1100"/>
      <c r="S515" s="1648">
        <f>'Part IV-Uses of Funds'!S101</f>
        <v>0</v>
      </c>
      <c r="T515" s="1648"/>
    </row>
    <row r="516" spans="1:20">
      <c r="A516" s="1100"/>
      <c r="B516" s="1100" t="s">
        <v>2506</v>
      </c>
      <c r="C516" s="1100"/>
      <c r="D516" s="1100"/>
      <c r="E516" s="1100"/>
      <c r="F516" s="1100"/>
      <c r="G516" s="1648">
        <f>'Part IV-Uses of Funds'!G102</f>
        <v>3000</v>
      </c>
      <c r="H516" s="1648"/>
      <c r="I516" s="1100"/>
      <c r="J516" s="1095"/>
      <c r="K516" s="1095"/>
      <c r="L516" s="1095"/>
      <c r="M516" s="1095"/>
      <c r="N516" s="1095"/>
      <c r="O516" s="1095"/>
      <c r="P516" s="1095"/>
      <c r="Q516" s="1095"/>
      <c r="R516" s="1100"/>
      <c r="S516" s="1648">
        <f>'Part IV-Uses of Funds'!S102</f>
        <v>3000</v>
      </c>
      <c r="T516" s="1648"/>
    </row>
    <row r="517" spans="1:20" ht="15.75">
      <c r="A517" s="875" t="str">
        <f>IF(AND(G517&gt;0,OR(C517="",C517="&lt;Enter detailed description here; use Comments section if needed&gt;")),"X","")</f>
        <v/>
      </c>
      <c r="B517" s="1100" t="s">
        <v>791</v>
      </c>
      <c r="C517" s="1649" t="str">
        <f>'Part IV-Uses of Funds'!C103</f>
        <v>&lt;Enter detailed description here; use Comments section if needed&gt;</v>
      </c>
      <c r="D517" s="1649"/>
      <c r="E517" s="1649"/>
      <c r="F517" s="1649"/>
      <c r="G517" s="1648">
        <f>'Part IV-Uses of Funds'!G103</f>
        <v>0</v>
      </c>
      <c r="H517" s="1648"/>
      <c r="I517" s="1100"/>
      <c r="J517" s="1095"/>
      <c r="K517" s="1095"/>
      <c r="L517" s="1095"/>
      <c r="M517" s="1095"/>
      <c r="N517" s="1095"/>
      <c r="O517" s="1095"/>
      <c r="P517" s="1095"/>
      <c r="Q517" s="1095"/>
      <c r="R517" s="1100"/>
      <c r="S517" s="1648">
        <f>'Part IV-Uses of Funds'!S103</f>
        <v>0</v>
      </c>
      <c r="T517" s="1648"/>
    </row>
    <row r="518" spans="1:20" ht="15.75">
      <c r="A518" s="875" t="str">
        <f>IF(AND(G518&gt;0,OR(C518="",C518="&lt;Enter detailed description here; use Comments section if needed&gt;")),"X","")</f>
        <v/>
      </c>
      <c r="B518" s="1100" t="s">
        <v>791</v>
      </c>
      <c r="C518" s="1649" t="str">
        <f>'Part IV-Uses of Funds'!C104</f>
        <v>&lt;Enter detailed description here; use Comments section if needed&gt;</v>
      </c>
      <c r="D518" s="1649"/>
      <c r="E518" s="1649"/>
      <c r="F518" s="1649"/>
      <c r="G518" s="1648">
        <f>'Part IV-Uses of Funds'!G104</f>
        <v>0</v>
      </c>
      <c r="H518" s="1648"/>
      <c r="I518" s="1100"/>
      <c r="J518" s="1095"/>
      <c r="K518" s="1095"/>
      <c r="L518" s="1095"/>
      <c r="M518" s="1095"/>
      <c r="N518" s="1095"/>
      <c r="O518" s="1095"/>
      <c r="P518" s="1095"/>
      <c r="Q518" s="1095"/>
      <c r="R518" s="1100"/>
      <c r="S518" s="1648">
        <f>'Part IV-Uses of Funds'!S104</f>
        <v>0</v>
      </c>
      <c r="T518" s="1648"/>
    </row>
    <row r="519" spans="1:20">
      <c r="A519" s="1100"/>
      <c r="B519" s="1100"/>
      <c r="C519" s="1100"/>
      <c r="D519" s="1100"/>
      <c r="E519" s="1100"/>
      <c r="F519" s="876" t="s">
        <v>199</v>
      </c>
      <c r="G519" s="1648">
        <f>SUM(G510:H518)</f>
        <v>123837</v>
      </c>
      <c r="H519" s="1648"/>
      <c r="I519" s="1100"/>
      <c r="J519" s="1108"/>
      <c r="K519" s="1108"/>
      <c r="L519" s="1108"/>
      <c r="M519" s="1108"/>
      <c r="N519" s="1108"/>
      <c r="O519" s="1100"/>
      <c r="P519" s="1108"/>
      <c r="Q519" s="1108"/>
      <c r="R519" s="1100"/>
      <c r="S519" s="1648">
        <f>SUM(S510:T518)</f>
        <v>123837</v>
      </c>
      <c r="T519" s="1648"/>
    </row>
    <row r="520" spans="1:20">
      <c r="A520" s="1100"/>
      <c r="B520" s="835" t="s">
        <v>2450</v>
      </c>
      <c r="C520" s="1100"/>
      <c r="D520" s="1100"/>
      <c r="E520" s="1100"/>
      <c r="F520" s="1100"/>
      <c r="G520" s="1100"/>
      <c r="H520" s="1100"/>
      <c r="I520" s="1100"/>
      <c r="J520" s="1108"/>
      <c r="K520" s="1108"/>
      <c r="L520" s="1100"/>
      <c r="M520" s="1108"/>
      <c r="N520" s="1108"/>
      <c r="O520" s="1109" t="str">
        <f>B520</f>
        <v>EQUITY COSTS</v>
      </c>
      <c r="P520" s="1108"/>
      <c r="Q520" s="1108"/>
      <c r="R520" s="1100"/>
      <c r="S520" s="1108"/>
      <c r="T520" s="1108"/>
    </row>
    <row r="521" spans="1:20">
      <c r="A521" s="1100"/>
      <c r="B521" s="1100" t="s">
        <v>294</v>
      </c>
      <c r="C521" s="1100"/>
      <c r="D521" s="1100"/>
      <c r="E521" s="1100"/>
      <c r="F521" s="1100"/>
      <c r="G521" s="1648">
        <f>'Part IV-Uses of Funds'!G107</f>
        <v>90000</v>
      </c>
      <c r="H521" s="1648"/>
      <c r="I521" s="1100"/>
      <c r="J521" s="1653"/>
      <c r="K521" s="1653"/>
      <c r="L521" s="1108"/>
      <c r="M521" s="1653"/>
      <c r="N521" s="1653"/>
      <c r="O521" s="1100"/>
      <c r="P521" s="1653"/>
      <c r="Q521" s="1653"/>
      <c r="R521" s="1100"/>
      <c r="S521" s="1648">
        <f>'Part IV-Uses of Funds'!S107</f>
        <v>90000</v>
      </c>
      <c r="T521" s="1648"/>
    </row>
    <row r="522" spans="1:20">
      <c r="A522" s="1100"/>
      <c r="B522" s="1100" t="s">
        <v>296</v>
      </c>
      <c r="C522" s="1100"/>
      <c r="D522" s="1100"/>
      <c r="E522" s="1100"/>
      <c r="F522" s="1100"/>
      <c r="G522" s="1648">
        <f>'Part IV-Uses of Funds'!G108</f>
        <v>20000</v>
      </c>
      <c r="H522" s="1648"/>
      <c r="I522" s="1100"/>
      <c r="J522" s="1653"/>
      <c r="K522" s="1653"/>
      <c r="L522" s="1108"/>
      <c r="M522" s="1653"/>
      <c r="N522" s="1653"/>
      <c r="O522" s="1100"/>
      <c r="P522" s="1653"/>
      <c r="Q522" s="1653"/>
      <c r="R522" s="1100"/>
      <c r="S522" s="1648">
        <f>'Part IV-Uses of Funds'!S108</f>
        <v>20000</v>
      </c>
      <c r="T522" s="1648"/>
    </row>
    <row r="523" spans="1:20">
      <c r="A523" s="1100"/>
      <c r="B523" s="1100" t="s">
        <v>2544</v>
      </c>
      <c r="C523" s="1100"/>
      <c r="D523" s="1100"/>
      <c r="E523" s="1100"/>
      <c r="F523" s="1100"/>
      <c r="G523" s="1648">
        <f>'Part IV-Uses of Funds'!G109</f>
        <v>70000</v>
      </c>
      <c r="H523" s="1648"/>
      <c r="I523" s="1100"/>
      <c r="J523" s="1653"/>
      <c r="K523" s="1653"/>
      <c r="L523" s="1108"/>
      <c r="M523" s="1653"/>
      <c r="N523" s="1653"/>
      <c r="O523" s="1100"/>
      <c r="P523" s="1653"/>
      <c r="Q523" s="1653"/>
      <c r="R523" s="1100"/>
      <c r="S523" s="1648">
        <f>'Part IV-Uses of Funds'!S109</f>
        <v>70000</v>
      </c>
      <c r="T523" s="1648"/>
    </row>
    <row r="524" spans="1:20" ht="15.75">
      <c r="A524" s="875" t="str">
        <f>IF(AND(G524&gt;0,OR(C524="",C524="&lt;Enter detailed description here; use Comments section if needed&gt;")),"X","")</f>
        <v/>
      </c>
      <c r="B524" s="1100" t="s">
        <v>791</v>
      </c>
      <c r="C524" s="1649" t="str">
        <f>'Part IV-Uses of Funds'!C110</f>
        <v>&lt;Enter detailed description here; use Comments section if needed&gt;</v>
      </c>
      <c r="D524" s="1649"/>
      <c r="E524" s="1649"/>
      <c r="F524" s="1649"/>
      <c r="G524" s="1648">
        <f>'Part IV-Uses of Funds'!G110</f>
        <v>0</v>
      </c>
      <c r="H524" s="1648"/>
      <c r="I524" s="1100"/>
      <c r="J524" s="1653"/>
      <c r="K524" s="1653"/>
      <c r="L524" s="1108"/>
      <c r="M524" s="1653"/>
      <c r="N524" s="1653"/>
      <c r="O524" s="1100"/>
      <c r="P524" s="1653"/>
      <c r="Q524" s="1653"/>
      <c r="R524" s="1100"/>
      <c r="S524" s="1648">
        <f>'Part IV-Uses of Funds'!S110</f>
        <v>0</v>
      </c>
      <c r="T524" s="1648"/>
    </row>
    <row r="525" spans="1:20">
      <c r="A525" s="1100"/>
      <c r="B525" s="1100"/>
      <c r="C525" s="1100"/>
      <c r="D525" s="1100"/>
      <c r="E525" s="1100"/>
      <c r="F525" s="876" t="s">
        <v>199</v>
      </c>
      <c r="G525" s="1648">
        <f>SUM(G521:H524)</f>
        <v>180000</v>
      </c>
      <c r="H525" s="1648"/>
      <c r="I525" s="1100"/>
      <c r="J525" s="1653"/>
      <c r="K525" s="1653"/>
      <c r="L525" s="1108"/>
      <c r="M525" s="1653"/>
      <c r="N525" s="1653"/>
      <c r="O525" s="1100"/>
      <c r="P525" s="1653"/>
      <c r="Q525" s="1653"/>
      <c r="R525" s="1100"/>
      <c r="S525" s="1648">
        <f>SUM(S521:T524)</f>
        <v>180000</v>
      </c>
      <c r="T525" s="1648"/>
    </row>
    <row r="526" spans="1:20">
      <c r="A526" s="1100"/>
      <c r="B526" s="835" t="s">
        <v>297</v>
      </c>
      <c r="C526" s="1100"/>
      <c r="D526" s="1100"/>
      <c r="E526" s="1100"/>
      <c r="F526" s="1100"/>
      <c r="G526" s="1100"/>
      <c r="H526" s="1100"/>
      <c r="I526" s="1100"/>
      <c r="J526" s="1108"/>
      <c r="K526" s="874"/>
      <c r="L526" s="1100"/>
      <c r="M526" s="1108"/>
      <c r="N526" s="874"/>
      <c r="O526" s="1109" t="str">
        <f>B526</f>
        <v>DEVELOPER'S FEE</v>
      </c>
      <c r="P526" s="1108"/>
      <c r="Q526" s="874"/>
      <c r="R526" s="1100"/>
      <c r="S526" s="1108"/>
      <c r="T526" s="874"/>
    </row>
    <row r="527" spans="1:20">
      <c r="A527" s="1100"/>
      <c r="B527" s="1100" t="s">
        <v>1990</v>
      </c>
      <c r="C527" s="1100"/>
      <c r="D527" s="1100"/>
      <c r="E527" s="1100"/>
      <c r="F527" s="867" t="e">
        <f>G527/$G$116</f>
        <v>#DIV/0!</v>
      </c>
      <c r="G527" s="1648">
        <f>'Part IV-Uses of Funds'!G113</f>
        <v>267862</v>
      </c>
      <c r="H527" s="1648"/>
      <c r="I527" s="1100"/>
      <c r="J527" s="1648">
        <f>'Part IV-Uses of Funds'!J113</f>
        <v>267862</v>
      </c>
      <c r="K527" s="1648"/>
      <c r="L527" s="1109"/>
      <c r="M527" s="1648">
        <f>'Part IV-Uses of Funds'!M113</f>
        <v>0</v>
      </c>
      <c r="N527" s="1648"/>
      <c r="O527" s="1100"/>
      <c r="P527" s="1648">
        <f>'Part IV-Uses of Funds'!P113</f>
        <v>0</v>
      </c>
      <c r="Q527" s="1648"/>
      <c r="R527" s="1100"/>
      <c r="S527" s="1648">
        <f>'Part IV-Uses of Funds'!S113</f>
        <v>0</v>
      </c>
      <c r="T527" s="1648"/>
    </row>
    <row r="528" spans="1:20">
      <c r="A528" s="1100"/>
      <c r="B528" s="1100" t="s">
        <v>1991</v>
      </c>
      <c r="C528" s="1100"/>
      <c r="D528" s="1100"/>
      <c r="E528" s="1100"/>
      <c r="F528" s="867" t="e">
        <f>G528/$G$116</f>
        <v>#DIV/0!</v>
      </c>
      <c r="G528" s="1648">
        <f>'Part IV-Uses of Funds'!G114</f>
        <v>0</v>
      </c>
      <c r="H528" s="1648"/>
      <c r="I528" s="1100"/>
      <c r="J528" s="1648">
        <f>'Part IV-Uses of Funds'!J114</f>
        <v>0</v>
      </c>
      <c r="K528" s="1648"/>
      <c r="L528" s="1108"/>
      <c r="M528" s="1648">
        <f>'Part IV-Uses of Funds'!M114</f>
        <v>0</v>
      </c>
      <c r="N528" s="1648"/>
      <c r="O528" s="1100"/>
      <c r="P528" s="1648">
        <f>'Part IV-Uses of Funds'!P114</f>
        <v>0</v>
      </c>
      <c r="Q528" s="1648"/>
      <c r="R528" s="1100"/>
      <c r="S528" s="1648">
        <f>'Part IV-Uses of Funds'!S114</f>
        <v>0</v>
      </c>
      <c r="T528" s="1648"/>
    </row>
    <row r="529" spans="1:20">
      <c r="A529" s="1100"/>
      <c r="B529" s="1100" t="s">
        <v>1983</v>
      </c>
      <c r="C529" s="1100"/>
      <c r="D529" s="1100"/>
      <c r="E529" s="1100"/>
      <c r="F529" s="867" t="e">
        <f>G529/$G$116</f>
        <v>#DIV/0!</v>
      </c>
      <c r="G529" s="1648">
        <f>'Part IV-Uses of Funds'!G115</f>
        <v>1071449</v>
      </c>
      <c r="H529" s="1648"/>
      <c r="I529" s="1100"/>
      <c r="J529" s="1648">
        <f>'Part IV-Uses of Funds'!J115</f>
        <v>1071449</v>
      </c>
      <c r="K529" s="1648"/>
      <c r="L529" s="1108"/>
      <c r="M529" s="1648">
        <f>'Part IV-Uses of Funds'!M115</f>
        <v>0</v>
      </c>
      <c r="N529" s="1648"/>
      <c r="O529" s="1100"/>
      <c r="P529" s="1648">
        <f>'Part IV-Uses of Funds'!P115</f>
        <v>0</v>
      </c>
      <c r="Q529" s="1648"/>
      <c r="R529" s="1100"/>
      <c r="S529" s="1648">
        <f>'Part IV-Uses of Funds'!S115</f>
        <v>0</v>
      </c>
      <c r="T529" s="1648"/>
    </row>
    <row r="530" spans="1:20">
      <c r="A530" s="1100"/>
      <c r="B530" s="1100"/>
      <c r="C530" s="834" t="str">
        <f>IF(G530&lt;='DCA Underwriting Assumptions'!$Q$48,"","Developer Fee exceeds DCA Program Maximum !!!")</f>
        <v/>
      </c>
      <c r="D530" s="1100"/>
      <c r="E530" s="1100"/>
      <c r="F530" s="876" t="s">
        <v>199</v>
      </c>
      <c r="G530" s="1648">
        <f>SUM(G527:H529)</f>
        <v>1339311</v>
      </c>
      <c r="H530" s="1648"/>
      <c r="I530" s="1100"/>
      <c r="J530" s="1648">
        <f>SUM(J527:K529)</f>
        <v>1339311</v>
      </c>
      <c r="K530" s="1648"/>
      <c r="L530" s="1108"/>
      <c r="M530" s="1648">
        <f>SUM(M527:N529)</f>
        <v>0</v>
      </c>
      <c r="N530" s="1648"/>
      <c r="O530" s="1100"/>
      <c r="P530" s="1648">
        <f>SUM(P527:Q529)</f>
        <v>0</v>
      </c>
      <c r="Q530" s="1648"/>
      <c r="R530" s="1100"/>
      <c r="S530" s="1648">
        <f>SUM(S527:T529)</f>
        <v>0</v>
      </c>
      <c r="T530" s="1648"/>
    </row>
    <row r="531" spans="1:20">
      <c r="A531" s="1100"/>
      <c r="B531" s="835" t="s">
        <v>1395</v>
      </c>
      <c r="C531" s="1100"/>
      <c r="D531" s="1100"/>
      <c r="E531" s="1100"/>
      <c r="F531" s="1100"/>
      <c r="G531" s="1100"/>
      <c r="H531" s="1100"/>
      <c r="I531" s="1100"/>
      <c r="J531" s="874"/>
      <c r="K531" s="874"/>
      <c r="L531" s="1100"/>
      <c r="M531" s="874"/>
      <c r="N531" s="874"/>
      <c r="O531" s="1109" t="str">
        <f>B531</f>
        <v>START-UP AND RESERVES</v>
      </c>
      <c r="P531" s="874"/>
      <c r="Q531" s="874"/>
      <c r="R531" s="1100"/>
      <c r="S531" s="874"/>
      <c r="T531" s="874"/>
    </row>
    <row r="532" spans="1:20">
      <c r="A532" s="1100"/>
      <c r="B532" s="1100" t="s">
        <v>264</v>
      </c>
      <c r="C532" s="1100"/>
      <c r="D532" s="1100"/>
      <c r="E532" s="1100"/>
      <c r="F532" s="1100"/>
      <c r="G532" s="1648">
        <f>'Part IV-Uses of Funds'!G118</f>
        <v>0</v>
      </c>
      <c r="H532" s="1648"/>
      <c r="I532" s="1100"/>
      <c r="J532" s="886"/>
      <c r="K532" s="886"/>
      <c r="L532" s="886"/>
      <c r="M532" s="886"/>
      <c r="N532" s="886"/>
      <c r="O532" s="1100"/>
      <c r="P532" s="886"/>
      <c r="Q532" s="886"/>
      <c r="R532" s="1100"/>
      <c r="S532" s="1648">
        <f>'Part IV-Uses of Funds'!S118</f>
        <v>0</v>
      </c>
      <c r="T532" s="1648"/>
    </row>
    <row r="533" spans="1:20">
      <c r="A533" s="1100"/>
      <c r="B533" s="1100" t="s">
        <v>1642</v>
      </c>
      <c r="C533" s="1100"/>
      <c r="D533" s="1100"/>
      <c r="E533" s="1100"/>
      <c r="F533" s="887">
        <f>+'Part VI-Revenues &amp; Expenses'!P571*('DCA Underwriting Assumptions'!$Q$60/12)</f>
        <v>0</v>
      </c>
      <c r="G533" s="1648">
        <f>'Part IV-Uses of Funds'!G119</f>
        <v>84977</v>
      </c>
      <c r="H533" s="1648"/>
      <c r="I533" s="1100"/>
      <c r="J533" s="1653"/>
      <c r="K533" s="1653"/>
      <c r="L533" s="1108"/>
      <c r="M533" s="1653"/>
      <c r="N533" s="1653"/>
      <c r="O533" s="1100"/>
      <c r="P533" s="1653"/>
      <c r="Q533" s="1653"/>
      <c r="R533" s="1100"/>
      <c r="S533" s="1648">
        <f>'Part IV-Uses of Funds'!S119</f>
        <v>84977</v>
      </c>
      <c r="T533" s="1648"/>
    </row>
    <row r="534" spans="1:20">
      <c r="A534" s="1100"/>
      <c r="B534" s="1100" t="s">
        <v>724</v>
      </c>
      <c r="C534" s="1100"/>
      <c r="D534" s="1100"/>
      <c r="E534" s="1100"/>
      <c r="F534" s="888">
        <f>'Part VI-Revenues &amp; Expenses'!P571*('DCA Underwriting Assumptions'!Q473/12)+('Part VII-Pro Forma'!B437+'Part VII-Pro Forma'!B438+'Part VII-Pro Forma'!B439+'Part VII-Pro Forma'!B440)*'DCA Underwriting Assumptions'!Q472/(-12)</f>
        <v>0</v>
      </c>
      <c r="G534" s="1648">
        <f>'Part IV-Uses of Funds'!G120</f>
        <v>208916</v>
      </c>
      <c r="H534" s="1648"/>
      <c r="I534" s="1100"/>
      <c r="J534" s="886"/>
      <c r="K534" s="886"/>
      <c r="L534" s="886"/>
      <c r="M534" s="886"/>
      <c r="N534" s="886"/>
      <c r="O534" s="1100"/>
      <c r="P534" s="886"/>
      <c r="Q534" s="886"/>
      <c r="R534" s="1100"/>
      <c r="S534" s="1648">
        <f>'Part IV-Uses of Funds'!S120</f>
        <v>208916</v>
      </c>
      <c r="T534" s="1648"/>
    </row>
    <row r="535" spans="1:20">
      <c r="A535" s="1100"/>
      <c r="B535" s="1100" t="s">
        <v>1322</v>
      </c>
      <c r="C535" s="1100"/>
      <c r="D535" s="1100"/>
      <c r="E535" s="1100"/>
      <c r="F535" s="1100"/>
      <c r="G535" s="1648">
        <f>'Part IV-Uses of Funds'!G121</f>
        <v>17250</v>
      </c>
      <c r="H535" s="1648"/>
      <c r="I535" s="1100"/>
      <c r="J535" s="886"/>
      <c r="K535" s="886"/>
      <c r="L535" s="886"/>
      <c r="M535" s="886"/>
      <c r="N535" s="886"/>
      <c r="O535" s="1100"/>
      <c r="P535" s="886"/>
      <c r="Q535" s="886"/>
      <c r="R535" s="1100"/>
      <c r="S535" s="1648">
        <f>'Part IV-Uses of Funds'!S121</f>
        <v>17250</v>
      </c>
      <c r="T535" s="1648"/>
    </row>
    <row r="536" spans="1:20">
      <c r="A536" s="1100"/>
      <c r="B536" s="1100" t="s">
        <v>1323</v>
      </c>
      <c r="C536" s="1100"/>
      <c r="D536" s="1100"/>
      <c r="E536" s="1100" t="s">
        <v>3140</v>
      </c>
      <c r="F536" s="889">
        <f>G536/'Part VI-Revenues &amp; Expenses'!$M$62</f>
        <v>2266.927536231884</v>
      </c>
      <c r="G536" s="1648">
        <f>'Part IV-Uses of Funds'!G122</f>
        <v>156418</v>
      </c>
      <c r="H536" s="1648"/>
      <c r="I536" s="1100"/>
      <c r="J536" s="1648">
        <f>'Part IV-Uses of Funds'!J122</f>
        <v>156418</v>
      </c>
      <c r="K536" s="1648"/>
      <c r="L536" s="1108"/>
      <c r="M536" s="1648">
        <f>'Part IV-Uses of Funds'!M122</f>
        <v>0</v>
      </c>
      <c r="N536" s="1648"/>
      <c r="O536" s="1100"/>
      <c r="P536" s="1648">
        <f>'Part IV-Uses of Funds'!P122</f>
        <v>0</v>
      </c>
      <c r="Q536" s="1648"/>
      <c r="R536" s="1100"/>
      <c r="S536" s="1648">
        <f>'Part IV-Uses of Funds'!S122</f>
        <v>0</v>
      </c>
      <c r="T536" s="1648"/>
    </row>
    <row r="537" spans="1:20" ht="15.75">
      <c r="A537" s="875" t="str">
        <f>IF(AND(G537&gt;0,OR(C537="",C537="&lt;Enter detailed description here; use Comments section if needed&gt;")),"X","")</f>
        <v/>
      </c>
      <c r="B537" s="1100" t="s">
        <v>791</v>
      </c>
      <c r="C537" s="1649" t="str">
        <f>'Part IV-Uses of Funds'!C123</f>
        <v>&lt;Enter detailed description here; use Comments section if needed&gt;</v>
      </c>
      <c r="D537" s="1649"/>
      <c r="E537" s="1649"/>
      <c r="F537" s="1649"/>
      <c r="G537" s="1648">
        <f>'Part IV-Uses of Funds'!G123</f>
        <v>0</v>
      </c>
      <c r="H537" s="1648"/>
      <c r="I537" s="1100"/>
      <c r="J537" s="1648">
        <f>'Part IV-Uses of Funds'!J123</f>
        <v>0</v>
      </c>
      <c r="K537" s="1648"/>
      <c r="L537" s="1108"/>
      <c r="M537" s="1648">
        <f>'Part IV-Uses of Funds'!M123</f>
        <v>0</v>
      </c>
      <c r="N537" s="1648"/>
      <c r="O537" s="1100"/>
      <c r="P537" s="1648">
        <f>'Part IV-Uses of Funds'!P123</f>
        <v>0</v>
      </c>
      <c r="Q537" s="1648"/>
      <c r="R537" s="1100"/>
      <c r="S537" s="1648">
        <f>'Part IV-Uses of Funds'!S123</f>
        <v>0</v>
      </c>
      <c r="T537" s="1648"/>
    </row>
    <row r="538" spans="1:20">
      <c r="A538" s="1100"/>
      <c r="B538" s="890"/>
      <c r="C538" s="1100"/>
      <c r="D538" s="1100"/>
      <c r="E538" s="1100"/>
      <c r="F538" s="876" t="s">
        <v>199</v>
      </c>
      <c r="G538" s="1648">
        <f>SUM(G532:H537)</f>
        <v>467561</v>
      </c>
      <c r="H538" s="1648"/>
      <c r="I538" s="1100"/>
      <c r="J538" s="1648">
        <f>SUM(J536:K537)</f>
        <v>156418</v>
      </c>
      <c r="K538" s="1648"/>
      <c r="L538" s="1108"/>
      <c r="M538" s="1648">
        <f>SUM(M536:N537)</f>
        <v>0</v>
      </c>
      <c r="N538" s="1648"/>
      <c r="O538" s="1100"/>
      <c r="P538" s="1648">
        <f>SUM(P536:Q537)</f>
        <v>0</v>
      </c>
      <c r="Q538" s="1648"/>
      <c r="R538" s="1100"/>
      <c r="S538" s="1648">
        <f>SUM(S532:T537)</f>
        <v>311143</v>
      </c>
      <c r="T538" s="1648"/>
    </row>
    <row r="539" spans="1:20">
      <c r="A539" s="1100"/>
      <c r="B539" s="835" t="s">
        <v>651</v>
      </c>
      <c r="C539" s="1085"/>
      <c r="D539" s="1100"/>
      <c r="E539" s="1100"/>
      <c r="F539" s="1100"/>
      <c r="G539" s="1100"/>
      <c r="H539" s="891"/>
      <c r="I539" s="891"/>
      <c r="J539" s="874"/>
      <c r="K539" s="874"/>
      <c r="L539" s="1100"/>
      <c r="M539" s="874"/>
      <c r="N539" s="874"/>
      <c r="O539" s="1109" t="str">
        <f>B539</f>
        <v>OTHER COSTS</v>
      </c>
      <c r="P539" s="874"/>
      <c r="Q539" s="874"/>
      <c r="R539" s="1100"/>
      <c r="S539" s="874"/>
      <c r="T539" s="874"/>
    </row>
    <row r="540" spans="1:20">
      <c r="A540" s="1100"/>
      <c r="B540" s="1100" t="s">
        <v>652</v>
      </c>
      <c r="C540" s="1085"/>
      <c r="D540" s="1100"/>
      <c r="E540" s="1100"/>
      <c r="F540" s="1100"/>
      <c r="G540" s="1648">
        <f>'Part IV-Uses of Funds'!G126</f>
        <v>55294</v>
      </c>
      <c r="H540" s="1648"/>
      <c r="I540" s="1100"/>
      <c r="J540" s="1648">
        <f>'Part IV-Uses of Funds'!J126</f>
        <v>55294</v>
      </c>
      <c r="K540" s="1648"/>
      <c r="L540" s="1109"/>
      <c r="M540" s="1648">
        <f>'Part IV-Uses of Funds'!M126</f>
        <v>0</v>
      </c>
      <c r="N540" s="1648"/>
      <c r="O540" s="1100"/>
      <c r="P540" s="1648">
        <f>'Part IV-Uses of Funds'!P126</f>
        <v>0</v>
      </c>
      <c r="Q540" s="1648"/>
      <c r="R540" s="1100"/>
      <c r="S540" s="1648">
        <f>'Part IV-Uses of Funds'!S126</f>
        <v>0</v>
      </c>
      <c r="T540" s="1648"/>
    </row>
    <row r="541" spans="1:20" ht="14.25" customHeight="1">
      <c r="A541" s="875" t="str">
        <f>IF(AND(G541&gt;0,OR(C541="",C541="&lt;Enter detailed description here; use Comments section if needed&gt;")),"X","")</f>
        <v/>
      </c>
      <c r="B541" s="1100" t="s">
        <v>791</v>
      </c>
      <c r="C541" s="1649" t="str">
        <f>'Part IV-Uses of Funds'!C127</f>
        <v>&lt;Enter detailed description here; use Comments section if needed&gt;</v>
      </c>
      <c r="D541" s="1649"/>
      <c r="E541" s="1649"/>
      <c r="F541" s="1649"/>
      <c r="G541" s="1648">
        <f>'Part IV-Uses of Funds'!G127</f>
        <v>0</v>
      </c>
      <c r="H541" s="1648"/>
      <c r="I541" s="1100"/>
      <c r="J541" s="1648">
        <f>'Part IV-Uses of Funds'!J127</f>
        <v>0</v>
      </c>
      <c r="K541" s="1648"/>
      <c r="L541" s="1108"/>
      <c r="M541" s="1648">
        <f>'Part IV-Uses of Funds'!M127</f>
        <v>0</v>
      </c>
      <c r="N541" s="1648"/>
      <c r="O541" s="1100"/>
      <c r="P541" s="1648">
        <f>'Part IV-Uses of Funds'!P127</f>
        <v>0</v>
      </c>
      <c r="Q541" s="1648"/>
      <c r="R541" s="1100"/>
      <c r="S541" s="1648">
        <f>'Part IV-Uses of Funds'!S127</f>
        <v>0</v>
      </c>
      <c r="T541" s="1648"/>
    </row>
    <row r="542" spans="1:20">
      <c r="A542" s="1100"/>
      <c r="B542" s="1100"/>
      <c r="C542" s="1085"/>
      <c r="D542" s="1100"/>
      <c r="E542" s="1100"/>
      <c r="F542" s="876" t="s">
        <v>199</v>
      </c>
      <c r="G542" s="1648">
        <f>SUM(G540:H541)</f>
        <v>55294</v>
      </c>
      <c r="H542" s="1648"/>
      <c r="I542" s="1100"/>
      <c r="J542" s="1648">
        <f>SUM(J540:K541)</f>
        <v>55294</v>
      </c>
      <c r="K542" s="1648"/>
      <c r="L542" s="1108"/>
      <c r="M542" s="1648">
        <f>SUM(M540:N541)</f>
        <v>0</v>
      </c>
      <c r="N542" s="1648"/>
      <c r="O542" s="1100"/>
      <c r="P542" s="1648">
        <f>SUM(P540:Q541)</f>
        <v>0</v>
      </c>
      <c r="Q542" s="1648"/>
      <c r="R542" s="1100"/>
      <c r="S542" s="1648">
        <f>SUM(S540:T541)</f>
        <v>0</v>
      </c>
      <c r="T542" s="1648"/>
    </row>
    <row r="543" spans="1:20">
      <c r="A543" s="1100"/>
      <c r="B543" s="1100"/>
      <c r="C543" s="1085"/>
      <c r="D543" s="1100"/>
      <c r="E543" s="1100"/>
      <c r="F543" s="1100"/>
      <c r="G543" s="1100"/>
      <c r="H543" s="891"/>
      <c r="I543" s="891"/>
      <c r="J543" s="1100"/>
      <c r="K543" s="1100"/>
      <c r="L543" s="1100"/>
      <c r="M543" s="1100"/>
      <c r="N543" s="1100"/>
      <c r="O543" s="1100"/>
      <c r="P543" s="1100"/>
      <c r="Q543" s="1100"/>
      <c r="R543" s="1100"/>
      <c r="S543" s="1100"/>
      <c r="T543" s="1100"/>
    </row>
    <row r="544" spans="1:20">
      <c r="A544" s="1100"/>
      <c r="B544" s="834" t="s">
        <v>3664</v>
      </c>
      <c r="C544" s="1100"/>
      <c r="D544" s="1100"/>
      <c r="E544" s="1100"/>
      <c r="F544" s="1100"/>
      <c r="G544" s="1652">
        <f>G431+G437+G441+G447+G452+G455+G461+G478+G491+G497+G505+G519+G525+G530+G538+G542</f>
        <v>10647197</v>
      </c>
      <c r="H544" s="1652"/>
      <c r="I544" s="1100"/>
      <c r="J544" s="1652">
        <f>J431+J437+J441+J447+J452+J455+J461+J478+J491+J497+J505+J519+J525+J530+J538+J542</f>
        <v>9479749</v>
      </c>
      <c r="K544" s="1652"/>
      <c r="L544" s="1100"/>
      <c r="M544" s="1652">
        <f>M431+M437+M441+M447+M452+M455+M461+M478+M491+M497+M505+M519+M525+M530+M538+M542</f>
        <v>0</v>
      </c>
      <c r="N544" s="1652"/>
      <c r="O544" s="1100"/>
      <c r="P544" s="1652">
        <f>P431+P437+P441+P447+P452+P455+P461+P478+P491+P497+P505+P519+P525+P530+P538+P542</f>
        <v>0</v>
      </c>
      <c r="Q544" s="1652"/>
      <c r="R544" s="1100"/>
      <c r="S544" s="1652">
        <f>S431+S437+S441+S447+S452+S455+S461+S478+S491+S497+S505+S519+S525+S530+S538+S542</f>
        <v>1167449</v>
      </c>
      <c r="T544" s="1652"/>
    </row>
    <row r="545" spans="1:20">
      <c r="A545" s="1100"/>
      <c r="B545" s="1100"/>
      <c r="C545" s="1085"/>
      <c r="D545" s="1100"/>
      <c r="E545" s="1100"/>
      <c r="F545" s="1100"/>
      <c r="G545" s="1100"/>
      <c r="H545" s="891"/>
      <c r="I545" s="891"/>
      <c r="J545" s="1100"/>
      <c r="K545" s="1100"/>
      <c r="L545" s="1100"/>
      <c r="M545" s="1100"/>
      <c r="N545" s="1100"/>
      <c r="O545" s="1100"/>
      <c r="P545" s="1100"/>
      <c r="Q545" s="1100"/>
      <c r="R545" s="1100"/>
      <c r="S545" s="1100"/>
      <c r="T545" s="1100"/>
    </row>
    <row r="546" spans="1:20">
      <c r="A546" s="1100"/>
      <c r="B546" s="892" t="s">
        <v>3665</v>
      </c>
      <c r="C546" s="882"/>
      <c r="D546" s="1650">
        <f>G544/'Part VI-Revenues &amp; Expenses'!$M$62</f>
        <v>154307.20289855072</v>
      </c>
      <c r="E546" s="1650"/>
      <c r="F546" s="893" t="s">
        <v>3154</v>
      </c>
      <c r="G546" s="1650">
        <f>G544/'Part VI-Revenues &amp; Expenses'!$M$100</f>
        <v>162.39147410966217</v>
      </c>
      <c r="H546" s="1650"/>
      <c r="I546" s="1103"/>
      <c r="J546" s="1100"/>
      <c r="K546" s="1100"/>
      <c r="L546" s="1100"/>
      <c r="M546" s="1100"/>
      <c r="N546" s="1100"/>
      <c r="O546" s="1100"/>
      <c r="P546" s="1100"/>
      <c r="Q546" s="1100"/>
      <c r="R546" s="1100"/>
      <c r="S546" s="1100"/>
      <c r="T546" s="1100"/>
    </row>
    <row r="547" spans="1:20">
      <c r="A547" s="1100"/>
      <c r="B547" s="1100"/>
      <c r="C547" s="1100"/>
      <c r="D547" s="1100"/>
      <c r="E547" s="1100"/>
      <c r="F547" s="1100"/>
      <c r="G547" s="1100"/>
      <c r="H547" s="1100"/>
      <c r="I547" s="1103"/>
      <c r="J547" s="1100"/>
      <c r="K547" s="1100"/>
      <c r="L547" s="1103"/>
      <c r="M547" s="1100"/>
      <c r="N547" s="1100"/>
      <c r="O547" s="1100"/>
      <c r="P547" s="1100"/>
      <c r="Q547" s="1100"/>
      <c r="R547" s="1100"/>
      <c r="S547" s="1100"/>
      <c r="T547" s="1100"/>
    </row>
    <row r="548" spans="1:20">
      <c r="A548" s="1100"/>
      <c r="B548" s="1100"/>
      <c r="C548" s="1100"/>
      <c r="D548" s="1085"/>
      <c r="E548" s="1085"/>
      <c r="F548" s="1100"/>
      <c r="G548" s="1100"/>
      <c r="H548" s="1100"/>
      <c r="I548" s="891"/>
      <c r="J548" s="891"/>
      <c r="K548" s="894"/>
      <c r="L548" s="1085"/>
      <c r="M548" s="1100"/>
      <c r="N548" s="1100"/>
      <c r="O548" s="1100"/>
      <c r="P548" s="1100"/>
      <c r="Q548" s="1100"/>
      <c r="R548" s="1100"/>
      <c r="S548" s="1100"/>
      <c r="T548" s="1100"/>
    </row>
    <row r="549" spans="1:20" ht="16.5">
      <c r="A549" s="873" t="s">
        <v>790</v>
      </c>
      <c r="B549" s="895" t="s">
        <v>1520</v>
      </c>
      <c r="C549" s="1084"/>
      <c r="D549" s="1108"/>
      <c r="E549" s="1108"/>
      <c r="F549" s="1108"/>
      <c r="G549" s="1100"/>
      <c r="H549" s="1100"/>
      <c r="I549" s="896"/>
      <c r="J549" s="1651" t="s">
        <v>285</v>
      </c>
      <c r="K549" s="1651"/>
      <c r="L549" s="1100"/>
      <c r="M549" s="1651" t="s">
        <v>103</v>
      </c>
      <c r="N549" s="1651"/>
      <c r="O549" s="1100"/>
      <c r="P549" s="1651" t="s">
        <v>286</v>
      </c>
      <c r="Q549" s="1651"/>
      <c r="R549" s="1100"/>
      <c r="S549" s="1100"/>
      <c r="T549" s="1100"/>
    </row>
    <row r="550" spans="1:20">
      <c r="A550" s="1100"/>
      <c r="B550" s="834" t="s">
        <v>2183</v>
      </c>
      <c r="C550" s="1100"/>
      <c r="D550" s="1108"/>
      <c r="E550" s="1108"/>
      <c r="F550" s="1100"/>
      <c r="G550" s="1100"/>
      <c r="H550" s="1100"/>
      <c r="I550" s="896"/>
      <c r="J550" s="1651"/>
      <c r="K550" s="1651"/>
      <c r="L550" s="1084"/>
      <c r="M550" s="1651"/>
      <c r="N550" s="1651"/>
      <c r="O550" s="1100"/>
      <c r="P550" s="1651"/>
      <c r="Q550" s="1651"/>
      <c r="R550" s="1100"/>
      <c r="S550" s="1100"/>
      <c r="T550" s="1100"/>
    </row>
    <row r="551" spans="1:20">
      <c r="A551" s="1100"/>
      <c r="B551" s="1100"/>
      <c r="C551" s="1100"/>
      <c r="D551" s="1085"/>
      <c r="E551" s="1085"/>
      <c r="F551" s="1100"/>
      <c r="G551" s="1100"/>
      <c r="H551" s="1100"/>
      <c r="I551" s="891"/>
      <c r="J551" s="891"/>
      <c r="K551" s="894"/>
      <c r="L551" s="1085"/>
      <c r="M551" s="1100"/>
      <c r="N551" s="1100"/>
      <c r="O551" s="1100"/>
      <c r="P551" s="1100"/>
      <c r="Q551" s="1100"/>
      <c r="R551" s="1100"/>
      <c r="S551" s="1100"/>
      <c r="T551" s="1100"/>
    </row>
    <row r="552" spans="1:20">
      <c r="A552" s="1100"/>
      <c r="B552" s="1085" t="s">
        <v>147</v>
      </c>
      <c r="C552" s="1100"/>
      <c r="D552" s="1100"/>
      <c r="E552" s="1100"/>
      <c r="F552" s="1100"/>
      <c r="G552" s="1100"/>
      <c r="H552" s="1100"/>
      <c r="I552" s="896"/>
      <c r="J552" s="1648">
        <f>'Part IV-Uses of Funds'!J138</f>
        <v>0</v>
      </c>
      <c r="K552" s="1648"/>
      <c r="L552" s="1100"/>
      <c r="M552" s="1100"/>
      <c r="N552" s="1100"/>
      <c r="O552" s="1100"/>
      <c r="P552" s="1648">
        <f>'Part IV-Uses of Funds'!P138</f>
        <v>0</v>
      </c>
      <c r="Q552" s="1648"/>
      <c r="R552" s="1100"/>
      <c r="S552" s="1100"/>
      <c r="T552" s="1100"/>
    </row>
    <row r="553" spans="1:20">
      <c r="A553" s="1100"/>
      <c r="B553" s="1100" t="s">
        <v>2292</v>
      </c>
      <c r="C553" s="1100"/>
      <c r="D553" s="1100"/>
      <c r="E553" s="1100"/>
      <c r="F553" s="1100"/>
      <c r="G553" s="1100"/>
      <c r="H553" s="1100"/>
      <c r="I553" s="896"/>
      <c r="J553" s="1648">
        <f>'Part IV-Uses of Funds'!J139</f>
        <v>0</v>
      </c>
      <c r="K553" s="1648"/>
      <c r="L553" s="1100"/>
      <c r="M553" s="1100"/>
      <c r="N553" s="1100"/>
      <c r="O553" s="1100"/>
      <c r="P553" s="1648">
        <f>'Part IV-Uses of Funds'!P139</f>
        <v>0</v>
      </c>
      <c r="Q553" s="1648"/>
      <c r="R553" s="1100"/>
      <c r="S553" s="1100"/>
      <c r="T553" s="1100"/>
    </row>
    <row r="554" spans="1:20">
      <c r="A554" s="1100"/>
      <c r="B554" s="1100" t="s">
        <v>1993</v>
      </c>
      <c r="C554" s="1100"/>
      <c r="D554" s="1100"/>
      <c r="E554" s="1100"/>
      <c r="F554" s="1100"/>
      <c r="G554" s="1100"/>
      <c r="H554" s="1100"/>
      <c r="I554" s="896"/>
      <c r="J554" s="1648">
        <f>'Part IV-Uses of Funds'!J140</f>
        <v>0</v>
      </c>
      <c r="K554" s="1648"/>
      <c r="L554" s="1100"/>
      <c r="M554" s="1100"/>
      <c r="N554" s="1100"/>
      <c r="O554" s="1100"/>
      <c r="P554" s="1648">
        <f>'Part IV-Uses of Funds'!P140</f>
        <v>0</v>
      </c>
      <c r="Q554" s="1648"/>
      <c r="R554" s="1100"/>
      <c r="S554" s="1100"/>
      <c r="T554" s="1100"/>
    </row>
    <row r="555" spans="1:20">
      <c r="A555" s="1100"/>
      <c r="B555" s="1100" t="s">
        <v>1994</v>
      </c>
      <c r="C555" s="1100"/>
      <c r="D555" s="1100"/>
      <c r="E555" s="1100"/>
      <c r="F555" s="1100"/>
      <c r="G555" s="1100"/>
      <c r="H555" s="1100"/>
      <c r="I555" s="896"/>
      <c r="J555" s="1648">
        <f>'Part IV-Uses of Funds'!J141</f>
        <v>0</v>
      </c>
      <c r="K555" s="1648"/>
      <c r="L555" s="1100"/>
      <c r="M555" s="1100"/>
      <c r="N555" s="1100"/>
      <c r="O555" s="1100"/>
      <c r="P555" s="1648">
        <f>'Part IV-Uses of Funds'!P141</f>
        <v>0</v>
      </c>
      <c r="Q555" s="1648"/>
      <c r="R555" s="1100"/>
      <c r="S555" s="1100"/>
      <c r="T555" s="1100"/>
    </row>
    <row r="556" spans="1:20">
      <c r="A556" s="1100"/>
      <c r="B556" s="1100" t="s">
        <v>267</v>
      </c>
      <c r="C556" s="1100"/>
      <c r="D556" s="1100"/>
      <c r="E556" s="1100"/>
      <c r="F556" s="1100"/>
      <c r="G556" s="1100"/>
      <c r="H556" s="1100"/>
      <c r="I556" s="896"/>
      <c r="J556" s="1648">
        <f>'Part IV-Uses of Funds'!J142</f>
        <v>0</v>
      </c>
      <c r="K556" s="1648"/>
      <c r="L556" s="1100"/>
      <c r="M556" s="1100"/>
      <c r="N556" s="1100"/>
      <c r="O556" s="1100"/>
      <c r="P556" s="1648">
        <f>'Part IV-Uses of Funds'!P142</f>
        <v>0</v>
      </c>
      <c r="Q556" s="1648"/>
      <c r="R556" s="1100"/>
      <c r="S556" s="1100"/>
      <c r="T556" s="1100"/>
    </row>
    <row r="557" spans="1:20">
      <c r="A557" s="1100"/>
      <c r="B557" s="1100" t="s">
        <v>1710</v>
      </c>
      <c r="C557" s="1649" t="str">
        <f>'Part IV-Uses of Funds'!C143</f>
        <v>&lt;Enter detailed description here; use Comments section if needed&gt;</v>
      </c>
      <c r="D557" s="1649"/>
      <c r="E557" s="1649"/>
      <c r="F557" s="1649"/>
      <c r="G557" s="1649"/>
      <c r="H557" s="1649"/>
      <c r="I557" s="1649"/>
      <c r="J557" s="1648">
        <f>'Part IV-Uses of Funds'!J143</f>
        <v>0</v>
      </c>
      <c r="K557" s="1648"/>
      <c r="L557" s="1100"/>
      <c r="M557" s="1100"/>
      <c r="N557" s="1100"/>
      <c r="O557" s="1100"/>
      <c r="P557" s="1648">
        <f>'Part IV-Uses of Funds'!P143</f>
        <v>0</v>
      </c>
      <c r="Q557" s="1648"/>
      <c r="R557" s="1100"/>
      <c r="S557" s="1100"/>
      <c r="T557" s="1100"/>
    </row>
    <row r="558" spans="1:20">
      <c r="A558" s="1100"/>
      <c r="B558" s="835" t="s">
        <v>1995</v>
      </c>
      <c r="C558" s="840"/>
      <c r="D558" s="1100"/>
      <c r="E558" s="1100"/>
      <c r="F558" s="1100"/>
      <c r="G558" s="1100"/>
      <c r="H558" s="1100"/>
      <c r="I558" s="1100"/>
      <c r="J558" s="1636">
        <f>SUM(J552:K557)</f>
        <v>0</v>
      </c>
      <c r="K558" s="1636"/>
      <c r="L558" s="1100"/>
      <c r="M558" s="1100"/>
      <c r="N558" s="1100"/>
      <c r="O558" s="1100"/>
      <c r="P558" s="1636">
        <f>SUM(P552:Q557)</f>
        <v>0</v>
      </c>
      <c r="Q558" s="1636"/>
      <c r="R558" s="1100"/>
      <c r="S558" s="1100"/>
      <c r="T558" s="1100"/>
    </row>
    <row r="559" spans="1:20">
      <c r="A559" s="1100"/>
      <c r="B559" s="1100"/>
      <c r="C559" s="1100"/>
      <c r="D559" s="1100"/>
      <c r="E559" s="1100"/>
      <c r="F559" s="1100"/>
      <c r="G559" s="1100"/>
      <c r="H559" s="1100"/>
      <c r="I559" s="1100"/>
      <c r="J559" s="1100"/>
      <c r="K559" s="1100"/>
      <c r="L559" s="1100"/>
      <c r="M559" s="1100"/>
      <c r="N559" s="1100"/>
      <c r="O559" s="1100"/>
      <c r="P559" s="1100"/>
      <c r="Q559" s="1100"/>
      <c r="R559" s="1100"/>
      <c r="S559" s="1100"/>
      <c r="T559" s="1100"/>
    </row>
    <row r="560" spans="1:20">
      <c r="A560" s="1100"/>
      <c r="B560" s="835" t="s">
        <v>2492</v>
      </c>
      <c r="C560" s="1100"/>
      <c r="D560" s="1100"/>
      <c r="E560" s="1100"/>
      <c r="F560" s="1100"/>
      <c r="G560" s="1100"/>
      <c r="H560" s="1100"/>
      <c r="I560" s="1100"/>
      <c r="J560" s="1100"/>
      <c r="K560" s="1100"/>
      <c r="L560" s="1100"/>
      <c r="M560" s="1100"/>
      <c r="N560" s="1100"/>
      <c r="O560" s="1100"/>
      <c r="P560" s="1100"/>
      <c r="Q560" s="1100"/>
      <c r="R560" s="1100"/>
      <c r="S560" s="1100"/>
      <c r="T560" s="1100"/>
    </row>
    <row r="561" spans="1:20">
      <c r="A561" s="1100"/>
      <c r="B561" s="1100" t="s">
        <v>1914</v>
      </c>
      <c r="C561" s="1100"/>
      <c r="D561" s="1100"/>
      <c r="E561" s="1100"/>
      <c r="F561" s="1100"/>
      <c r="G561" s="1100"/>
      <c r="H561" s="1100"/>
      <c r="I561" s="1100"/>
      <c r="J561" s="1639">
        <f>J544</f>
        <v>9479749</v>
      </c>
      <c r="K561" s="1639"/>
      <c r="L561" s="1100"/>
      <c r="M561" s="1639">
        <f>M544</f>
        <v>0</v>
      </c>
      <c r="N561" s="1639"/>
      <c r="O561" s="1100"/>
      <c r="P561" s="1639">
        <f>P544</f>
        <v>0</v>
      </c>
      <c r="Q561" s="1639"/>
      <c r="R561" s="1100"/>
      <c r="S561" s="1100"/>
      <c r="T561" s="1100"/>
    </row>
    <row r="562" spans="1:20">
      <c r="A562" s="1100"/>
      <c r="B562" s="1100" t="s">
        <v>2367</v>
      </c>
      <c r="C562" s="1100"/>
      <c r="D562" s="1100"/>
      <c r="E562" s="1100"/>
      <c r="F562" s="1100"/>
      <c r="G562" s="1100"/>
      <c r="H562" s="1100"/>
      <c r="I562" s="1100"/>
      <c r="J562" s="1639">
        <f>J558</f>
        <v>0</v>
      </c>
      <c r="K562" s="1639"/>
      <c r="L562" s="1100"/>
      <c r="M562" s="1639"/>
      <c r="N562" s="1639"/>
      <c r="O562" s="1100"/>
      <c r="P562" s="1639">
        <f>P558</f>
        <v>0</v>
      </c>
      <c r="Q562" s="1639"/>
      <c r="R562" s="1100"/>
      <c r="S562" s="1100"/>
      <c r="T562" s="1100"/>
    </row>
    <row r="563" spans="1:20">
      <c r="A563" s="1100"/>
      <c r="B563" s="1100" t="s">
        <v>2368</v>
      </c>
      <c r="C563" s="1100"/>
      <c r="D563" s="1100"/>
      <c r="E563" s="1100"/>
      <c r="F563" s="1100"/>
      <c r="G563" s="1100"/>
      <c r="H563" s="1100"/>
      <c r="I563" s="1100"/>
      <c r="J563" s="1639">
        <f>J561-J562</f>
        <v>9479749</v>
      </c>
      <c r="K563" s="1639"/>
      <c r="L563" s="1100"/>
      <c r="M563" s="1639">
        <f>M561</f>
        <v>0</v>
      </c>
      <c r="N563" s="1639"/>
      <c r="O563" s="1100"/>
      <c r="P563" s="1639">
        <f>P561-P562</f>
        <v>0</v>
      </c>
      <c r="Q563" s="1639"/>
      <c r="R563" s="1100"/>
      <c r="S563" s="1100"/>
      <c r="T563" s="1100"/>
    </row>
    <row r="564" spans="1:20">
      <c r="A564" s="1100"/>
      <c r="B564" s="1100" t="s">
        <v>1587</v>
      </c>
      <c r="C564" s="1100"/>
      <c r="D564" s="1100"/>
      <c r="E564" s="1100"/>
      <c r="F564" s="1100"/>
      <c r="G564" s="1087" t="s">
        <v>1833</v>
      </c>
      <c r="H564" s="1638" t="str">
        <f>'Part IV-Uses of Funds'!H150</f>
        <v>&lt;&lt;Select&gt;&gt;</v>
      </c>
      <c r="I564" s="1638"/>
      <c r="J564" s="1648">
        <f>'Part IV-Uses of Funds'!J150</f>
        <v>1</v>
      </c>
      <c r="K564" s="1648"/>
      <c r="L564" s="1100"/>
      <c r="M564" s="1646"/>
      <c r="N564" s="1646"/>
      <c r="O564" s="1100"/>
      <c r="P564" s="1648">
        <f>'Part IV-Uses of Funds'!P150</f>
        <v>0</v>
      </c>
      <c r="Q564" s="1648"/>
      <c r="R564" s="1100"/>
      <c r="S564" s="1100"/>
      <c r="T564" s="1100"/>
    </row>
    <row r="565" spans="1:20">
      <c r="A565" s="1100"/>
      <c r="B565" s="1100" t="s">
        <v>2193</v>
      </c>
      <c r="C565" s="1100"/>
      <c r="D565" s="1100"/>
      <c r="E565" s="1100"/>
      <c r="F565" s="1100"/>
      <c r="G565" s="1100"/>
      <c r="H565" s="1100"/>
      <c r="I565" s="1100"/>
      <c r="J565" s="1639">
        <f>J563*J564</f>
        <v>9479749</v>
      </c>
      <c r="K565" s="1639"/>
      <c r="L565" s="1100"/>
      <c r="M565" s="1639">
        <f>+M563</f>
        <v>0</v>
      </c>
      <c r="N565" s="1639"/>
      <c r="O565" s="1100"/>
      <c r="P565" s="1639">
        <f>P563*P564</f>
        <v>0</v>
      </c>
      <c r="Q565" s="1639"/>
      <c r="R565" s="1100"/>
      <c r="S565" s="1100"/>
      <c r="T565" s="1100"/>
    </row>
    <row r="566" spans="1:20">
      <c r="A566" s="1100"/>
      <c r="B566" s="1100" t="s">
        <v>2725</v>
      </c>
      <c r="C566" s="1100"/>
      <c r="D566" s="1100"/>
      <c r="E566" s="1100"/>
      <c r="F566" s="1100"/>
      <c r="G566" s="1100"/>
      <c r="H566" s="1100"/>
      <c r="I566" s="1100"/>
      <c r="J566" s="1647">
        <f>MIN('Part VI-Revenues &amp; Expenses'!$M$58/'Part VI-Revenues &amp; Expenses'!$M$60,'Part VI-Revenues &amp; Expenses'!$M$96/'Part VI-Revenues &amp; Expenses'!$M$98)</f>
        <v>1</v>
      </c>
      <c r="K566" s="1647"/>
      <c r="L566" s="1100"/>
      <c r="M566" s="1647">
        <f>MIN('Part VI-Revenues &amp; Expenses'!$M$58/'Part VI-Revenues &amp; Expenses'!$M$60,'Part VI-Revenues &amp; Expenses'!$M$96/'Part VI-Revenues &amp; Expenses'!$M$98)</f>
        <v>1</v>
      </c>
      <c r="N566" s="1647"/>
      <c r="O566" s="1100"/>
      <c r="P566" s="1647">
        <f>MIN('Part VI-Revenues &amp; Expenses'!$M$58/'Part VI-Revenues &amp; Expenses'!$M$60,'Part VI-Revenues &amp; Expenses'!$M$96/'Part VI-Revenues &amp; Expenses'!$M$98)</f>
        <v>1</v>
      </c>
      <c r="Q566" s="1647"/>
      <c r="R566" s="1100"/>
      <c r="S566" s="1100"/>
      <c r="T566" s="1100"/>
    </row>
    <row r="567" spans="1:20">
      <c r="A567" s="1100"/>
      <c r="B567" s="1100" t="s">
        <v>2184</v>
      </c>
      <c r="C567" s="1100"/>
      <c r="D567" s="1100"/>
      <c r="E567" s="1100"/>
      <c r="F567" s="1100"/>
      <c r="G567" s="1100"/>
      <c r="H567" s="1100"/>
      <c r="I567" s="1100"/>
      <c r="J567" s="1639">
        <f>J565*J566</f>
        <v>9479749</v>
      </c>
      <c r="K567" s="1639"/>
      <c r="L567" s="1100"/>
      <c r="M567" s="1639">
        <f>M565*M566</f>
        <v>0</v>
      </c>
      <c r="N567" s="1639"/>
      <c r="O567" s="1100"/>
      <c r="P567" s="1639">
        <f>P565*P566</f>
        <v>0</v>
      </c>
      <c r="Q567" s="1639"/>
      <c r="R567" s="1100"/>
      <c r="S567" s="1100"/>
      <c r="T567" s="1100"/>
    </row>
    <row r="568" spans="1:20">
      <c r="A568" s="1100"/>
      <c r="B568" s="1100" t="s">
        <v>2185</v>
      </c>
      <c r="C568" s="1100"/>
      <c r="D568" s="1100"/>
      <c r="E568" s="1100"/>
      <c r="F568" s="1100"/>
      <c r="G568" s="1100"/>
      <c r="H568" s="1100"/>
      <c r="I568" s="1100"/>
      <c r="J568" s="1646">
        <f>'Part IV-Uses of Funds'!J154</f>
        <v>7.5999999999999998E-2</v>
      </c>
      <c r="K568" s="1646"/>
      <c r="L568" s="1100"/>
      <c r="M568" s="1646">
        <f>'Part IV-Uses of Funds'!M154</f>
        <v>0</v>
      </c>
      <c r="N568" s="1646"/>
      <c r="O568" s="1100"/>
      <c r="P568" s="1646">
        <f>'Part IV-Uses of Funds'!P154</f>
        <v>0</v>
      </c>
      <c r="Q568" s="1646"/>
      <c r="R568" s="1100"/>
      <c r="S568" s="1100"/>
      <c r="T568" s="1100"/>
    </row>
    <row r="569" spans="1:20">
      <c r="A569" s="1100"/>
      <c r="B569" s="1100" t="s">
        <v>2726</v>
      </c>
      <c r="C569" s="1100"/>
      <c r="D569" s="1100"/>
      <c r="E569" s="1100"/>
      <c r="F569" s="1100"/>
      <c r="G569" s="1100"/>
      <c r="H569" s="1100"/>
      <c r="I569" s="1100"/>
      <c r="J569" s="1639">
        <f>J567*J568</f>
        <v>720460.924</v>
      </c>
      <c r="K569" s="1639"/>
      <c r="L569" s="1100"/>
      <c r="M569" s="1639">
        <f>M567*M568</f>
        <v>0</v>
      </c>
      <c r="N569" s="1639"/>
      <c r="O569" s="1100"/>
      <c r="P569" s="1639">
        <f>P567*P568</f>
        <v>0</v>
      </c>
      <c r="Q569" s="1639"/>
      <c r="R569" s="1100"/>
      <c r="S569" s="1100"/>
      <c r="T569" s="1100"/>
    </row>
    <row r="570" spans="1:20">
      <c r="A570" s="1100"/>
      <c r="B570" s="835" t="s">
        <v>1518</v>
      </c>
      <c r="C570" s="1100"/>
      <c r="D570" s="1100"/>
      <c r="E570" s="1100"/>
      <c r="F570" s="1100"/>
      <c r="G570" s="1100"/>
      <c r="H570" s="1100"/>
      <c r="I570" s="1100"/>
      <c r="J570" s="1636">
        <f>J569+M569+P569</f>
        <v>720460.924</v>
      </c>
      <c r="K570" s="1636"/>
      <c r="L570" s="1636"/>
      <c r="M570" s="1636"/>
      <c r="N570" s="1636"/>
      <c r="O570" s="1636"/>
      <c r="P570" s="1636"/>
      <c r="Q570" s="1636"/>
      <c r="R570" s="1100"/>
      <c r="S570" s="1100"/>
      <c r="T570" s="1100"/>
    </row>
    <row r="571" spans="1:20">
      <c r="A571" s="1100"/>
      <c r="B571" s="897"/>
      <c r="C571" s="1100"/>
      <c r="D571" s="1100"/>
      <c r="E571" s="1100"/>
      <c r="F571" s="1100"/>
      <c r="G571" s="1100"/>
      <c r="H571" s="1100"/>
      <c r="I571" s="1100"/>
      <c r="J571" s="1100"/>
      <c r="K571" s="1100"/>
      <c r="L571" s="1105"/>
      <c r="M571" s="1105"/>
      <c r="N571" s="1105"/>
      <c r="O571" s="1105"/>
      <c r="P571" s="1100"/>
      <c r="Q571" s="1100"/>
      <c r="R571" s="1100"/>
      <c r="S571" s="1100"/>
      <c r="T571" s="1100"/>
    </row>
    <row r="572" spans="1:20" ht="16.5">
      <c r="A572" s="898" t="s">
        <v>792</v>
      </c>
      <c r="B572" s="898" t="s">
        <v>1521</v>
      </c>
      <c r="C572" s="1100"/>
      <c r="D572" s="1100"/>
      <c r="E572" s="1100"/>
      <c r="F572" s="1100"/>
      <c r="G572" s="1100"/>
      <c r="H572" s="891"/>
      <c r="I572" s="891"/>
      <c r="J572" s="1100"/>
      <c r="K572" s="1100"/>
      <c r="L572" s="1100"/>
      <c r="M572" s="899"/>
      <c r="N572" s="1100"/>
      <c r="O572" s="1100"/>
      <c r="P572" s="1100"/>
      <c r="Q572" s="1100"/>
      <c r="R572" s="1100"/>
      <c r="S572" s="1100"/>
      <c r="T572" s="1100"/>
    </row>
    <row r="573" spans="1:20" ht="13.5">
      <c r="A573" s="1100"/>
      <c r="B573" s="835" t="s">
        <v>181</v>
      </c>
      <c r="C573" s="1100"/>
      <c r="D573" s="1100"/>
      <c r="E573" s="1100"/>
      <c r="F573" s="1100"/>
      <c r="G573" s="1100"/>
      <c r="H573" s="860"/>
      <c r="I573" s="1100"/>
      <c r="J573" s="1100"/>
      <c r="K573" s="1100"/>
      <c r="L573" s="1100"/>
      <c r="M573" s="899"/>
      <c r="N573" s="1100"/>
      <c r="O573" s="1100"/>
      <c r="P573" s="1100"/>
      <c r="Q573" s="1100"/>
      <c r="R573" s="1100"/>
      <c r="S573" s="1100"/>
      <c r="T573" s="1100"/>
    </row>
    <row r="574" spans="1:20" ht="13.5">
      <c r="A574" s="1100"/>
      <c r="B574" s="1086" t="s">
        <v>3666</v>
      </c>
      <c r="C574" s="1100"/>
      <c r="D574" s="1100"/>
      <c r="E574" s="1100"/>
      <c r="F574" s="1100"/>
      <c r="G574" s="1644" t="str">
        <f>IF(J575&gt;J574,"TDC exceeds QAP PUCL!","")</f>
        <v/>
      </c>
      <c r="H574" s="1644"/>
      <c r="I574" s="1644"/>
      <c r="J574" s="1645">
        <f>'Part VIII-Threshold Criteria'!$P$47</f>
        <v>10648053</v>
      </c>
      <c r="K574" s="1645"/>
      <c r="L574" s="1645"/>
      <c r="M574" s="1581" t="s">
        <v>3020</v>
      </c>
      <c r="N574" s="1581"/>
      <c r="O574" s="1581"/>
      <c r="P574" s="1581"/>
      <c r="Q574" s="1581"/>
      <c r="R574" s="1581"/>
      <c r="S574" s="1608" t="s">
        <v>2977</v>
      </c>
      <c r="T574" s="1608"/>
    </row>
    <row r="575" spans="1:20">
      <c r="A575" s="1100"/>
      <c r="B575" s="1100" t="s">
        <v>3667</v>
      </c>
      <c r="C575" s="1100"/>
      <c r="D575" s="1100"/>
      <c r="E575" s="1100"/>
      <c r="F575" s="1100"/>
      <c r="G575" s="1100"/>
      <c r="H575" s="1100"/>
      <c r="I575" s="1100"/>
      <c r="J575" s="1639">
        <f>'Part IV-Uses of Funds'!J161</f>
        <v>10647197</v>
      </c>
      <c r="K575" s="1639"/>
      <c r="L575" s="1639"/>
      <c r="M575" s="1581"/>
      <c r="N575" s="1581"/>
      <c r="O575" s="1581"/>
      <c r="P575" s="1581"/>
      <c r="Q575" s="1581"/>
      <c r="R575" s="1581"/>
      <c r="S575" s="1608"/>
      <c r="T575" s="1608"/>
    </row>
    <row r="576" spans="1:20">
      <c r="A576" s="1100"/>
      <c r="B576" s="1100" t="s">
        <v>277</v>
      </c>
      <c r="C576" s="1100"/>
      <c r="D576" s="1100"/>
      <c r="E576" s="1100"/>
      <c r="F576" s="1100"/>
      <c r="G576" s="1100"/>
      <c r="H576" s="1100"/>
      <c r="I576" s="1100"/>
      <c r="J576" s="1639">
        <f>'Part III-Sources of Funds'!$H$49-'Part III-Sources of Funds'!H450-'Part III-Sources of Funds'!$H$37-'Part III-Sources of Funds'!$H$40-'Part III-Sources of Funds'!$H$41</f>
        <v>1150000</v>
      </c>
      <c r="K576" s="1639"/>
      <c r="L576" s="1639"/>
      <c r="M576" s="1581"/>
      <c r="N576" s="1581"/>
      <c r="O576" s="1581"/>
      <c r="P576" s="1581"/>
      <c r="Q576" s="1581"/>
      <c r="R576" s="1581"/>
      <c r="S576" s="1608"/>
      <c r="T576" s="1608"/>
    </row>
    <row r="577" spans="1:20" ht="13.5">
      <c r="A577" s="1100"/>
      <c r="B577" s="1100" t="s">
        <v>2380</v>
      </c>
      <c r="C577" s="1100"/>
      <c r="D577" s="1100"/>
      <c r="E577" s="1100"/>
      <c r="F577" s="1100"/>
      <c r="G577" s="1100"/>
      <c r="H577" s="1100"/>
      <c r="I577" s="1100"/>
      <c r="J577" s="1639">
        <f>+J575-J576</f>
        <v>9497197</v>
      </c>
      <c r="K577" s="1639"/>
      <c r="L577" s="1639"/>
      <c r="M577" s="1642" t="s">
        <v>3021</v>
      </c>
      <c r="N577" s="1642"/>
      <c r="O577" s="1643">
        <f>'Part III-Sources of Funds'!H450</f>
        <v>0</v>
      </c>
      <c r="P577" s="1643"/>
      <c r="Q577" s="1643"/>
      <c r="R577" s="1643"/>
      <c r="S577" s="900" t="s">
        <v>1775</v>
      </c>
      <c r="T577" s="1033">
        <f>'Part IV-Uses of Funds'!T163</f>
        <v>0</v>
      </c>
    </row>
    <row r="578" spans="1:20" ht="13.5">
      <c r="A578" s="1100"/>
      <c r="B578" s="1100" t="s">
        <v>1372</v>
      </c>
      <c r="C578" s="1100"/>
      <c r="D578" s="1100"/>
      <c r="E578" s="1100"/>
      <c r="F578" s="1100"/>
      <c r="G578" s="1100"/>
      <c r="H578" s="1100"/>
      <c r="I578" s="1100"/>
      <c r="J578" s="1638" t="str">
        <f>"/ 10"</f>
        <v>/ 10</v>
      </c>
      <c r="K578" s="1638"/>
      <c r="L578" s="1638"/>
      <c r="M578" s="1100"/>
      <c r="N578" s="901"/>
      <c r="O578" s="901"/>
      <c r="P578" s="901"/>
      <c r="Q578" s="901"/>
      <c r="R578" s="901"/>
      <c r="S578" s="1100"/>
      <c r="T578" s="1100"/>
    </row>
    <row r="579" spans="1:20">
      <c r="A579" s="1100"/>
      <c r="B579" s="1100" t="s">
        <v>1373</v>
      </c>
      <c r="C579" s="1100"/>
      <c r="D579" s="1100"/>
      <c r="E579" s="1100"/>
      <c r="F579" s="1100"/>
      <c r="G579" s="1100"/>
      <c r="H579" s="1100"/>
      <c r="I579" s="1100"/>
      <c r="J579" s="1639">
        <f>J577/10</f>
        <v>949719.7</v>
      </c>
      <c r="K579" s="1639"/>
      <c r="L579" s="1639"/>
      <c r="M579" s="1095"/>
      <c r="N579" s="1638" t="s">
        <v>1374</v>
      </c>
      <c r="O579" s="1638"/>
      <c r="P579" s="1100"/>
      <c r="Q579" s="1638" t="s">
        <v>1923</v>
      </c>
      <c r="R579" s="1638"/>
      <c r="S579" s="1100"/>
      <c r="T579" s="1100"/>
    </row>
    <row r="580" spans="1:20">
      <c r="A580" s="1100"/>
      <c r="B580" s="1100" t="s">
        <v>3668</v>
      </c>
      <c r="C580" s="1100"/>
      <c r="D580" s="1100"/>
      <c r="E580" s="1100"/>
      <c r="F580" s="1100"/>
      <c r="G580" s="1100"/>
      <c r="H580" s="1100"/>
      <c r="I580" s="1100"/>
      <c r="J580" s="1640">
        <f>N580+Q580</f>
        <v>1.2604908400000001</v>
      </c>
      <c r="K580" s="1640"/>
      <c r="L580" s="1640"/>
      <c r="M580" s="1087" t="s">
        <v>1375</v>
      </c>
      <c r="N580" s="1641">
        <f>'Part IV-Uses of Funds'!N166</f>
        <v>0.94049084000000005</v>
      </c>
      <c r="O580" s="1641"/>
      <c r="P580" s="1087" t="s">
        <v>653</v>
      </c>
      <c r="Q580" s="1641">
        <f>'Part IV-Uses of Funds'!Q166</f>
        <v>0.32</v>
      </c>
      <c r="R580" s="1641"/>
      <c r="S580" s="1100"/>
      <c r="T580" s="1100"/>
    </row>
    <row r="581" spans="1:20">
      <c r="A581" s="1100"/>
      <c r="B581" s="835" t="s">
        <v>1519</v>
      </c>
      <c r="C581" s="1100"/>
      <c r="D581" s="1100"/>
      <c r="E581" s="1100"/>
      <c r="F581" s="1100"/>
      <c r="G581" s="1100"/>
      <c r="H581" s="1100"/>
      <c r="I581" s="1100"/>
      <c r="J581" s="1636">
        <f>IF(J580=0,"",J579/J580)</f>
        <v>753452.28212844441</v>
      </c>
      <c r="K581" s="1636"/>
      <c r="L581" s="1636"/>
      <c r="M581" s="1095"/>
      <c r="N581" s="1100"/>
      <c r="O581" s="1100"/>
      <c r="P581" s="1100"/>
      <c r="Q581" s="1100"/>
      <c r="R581" s="1100"/>
      <c r="S581" s="1100"/>
      <c r="T581" s="1100"/>
    </row>
    <row r="582" spans="1:20">
      <c r="A582" s="1100"/>
      <c r="B582" s="1100"/>
      <c r="C582" s="1100"/>
      <c r="D582" s="1100"/>
      <c r="E582" s="1100"/>
      <c r="F582" s="1100"/>
      <c r="G582" s="1100"/>
      <c r="H582" s="1100"/>
      <c r="I582" s="1100"/>
      <c r="J582" s="1110"/>
      <c r="K582" s="1110"/>
      <c r="L582" s="1110"/>
      <c r="M582" s="1095"/>
      <c r="N582" s="1087"/>
      <c r="O582" s="1087"/>
      <c r="P582" s="1100"/>
      <c r="Q582" s="1100"/>
      <c r="R582" s="1100"/>
      <c r="S582" s="1100"/>
      <c r="T582" s="1100"/>
    </row>
    <row r="583" spans="1:20">
      <c r="A583" s="1100"/>
      <c r="B583" s="835" t="s">
        <v>3669</v>
      </c>
      <c r="C583" s="1100"/>
      <c r="D583" s="1100"/>
      <c r="E583" s="1100"/>
      <c r="F583" s="1100"/>
      <c r="G583" s="1100"/>
      <c r="H583" s="1100"/>
      <c r="I583" s="1100"/>
      <c r="J583" s="1636">
        <f>IF('Part I-Project Information'!I575 = "Yes",+MIN(J570,J581,'Part I-Project Information'!$O$161,'DCA Underwriting Assumptions'!$R$7),+MIN(J570,J581,'DCA Underwriting Assumptions'!$R$6))</f>
        <v>720460.924</v>
      </c>
      <c r="K583" s="1636"/>
      <c r="L583" s="1636"/>
      <c r="M583" s="1095"/>
      <c r="N583" s="1087"/>
      <c r="O583" s="1087"/>
      <c r="P583" s="1100"/>
      <c r="Q583" s="1100"/>
      <c r="R583" s="1100"/>
      <c r="S583" s="1100"/>
      <c r="T583" s="1100"/>
    </row>
    <row r="584" spans="1:20">
      <c r="A584" s="1100"/>
      <c r="B584" s="1100"/>
      <c r="C584" s="1100"/>
      <c r="D584" s="1100"/>
      <c r="E584" s="1100"/>
      <c r="F584" s="1100"/>
      <c r="G584" s="1100"/>
      <c r="H584" s="1100"/>
      <c r="I584" s="1100"/>
      <c r="J584" s="1110"/>
      <c r="K584" s="1110"/>
      <c r="L584" s="1110"/>
      <c r="M584" s="1095"/>
      <c r="N584" s="1087"/>
      <c r="O584" s="1087"/>
      <c r="P584" s="1100"/>
      <c r="Q584" s="1100"/>
      <c r="R584" s="1100"/>
      <c r="S584" s="1100"/>
      <c r="T584" s="1100"/>
    </row>
    <row r="585" spans="1:20">
      <c r="A585" s="1100"/>
      <c r="B585" s="835" t="s">
        <v>3670</v>
      </c>
      <c r="C585" s="1100"/>
      <c r="D585" s="1100"/>
      <c r="E585" s="1100"/>
      <c r="F585" s="1100"/>
      <c r="G585" s="1100"/>
      <c r="H585" s="1100"/>
      <c r="I585" s="1100"/>
      <c r="J585" s="1636">
        <f>'Part IV-Uses of Funds'!J171</f>
        <v>720461</v>
      </c>
      <c r="K585" s="1636"/>
      <c r="L585" s="1636"/>
      <c r="M585" s="834" t="str">
        <f>IF(J583=0,"",IF(J585&gt;J583,"ALLOCATION CANNOT EXCEED MAXIMUM - REVISE REQUEST!",""))</f>
        <v>ALLOCATION CANNOT EXCEED MAXIMUM - REVISE REQUEST!</v>
      </c>
      <c r="N585" s="1087"/>
      <c r="O585" s="1087"/>
      <c r="P585" s="1100"/>
      <c r="Q585" s="1100"/>
      <c r="R585" s="1100"/>
      <c r="S585" s="1100"/>
      <c r="T585" s="1100"/>
    </row>
    <row r="586" spans="1:20">
      <c r="A586" s="1100"/>
      <c r="B586" s="1100"/>
      <c r="C586" s="1100"/>
      <c r="D586" s="1100"/>
      <c r="E586" s="1100"/>
      <c r="F586" s="1100"/>
      <c r="G586" s="1100"/>
      <c r="H586" s="1100"/>
      <c r="I586" s="1100"/>
      <c r="J586" s="1110"/>
      <c r="K586" s="1110"/>
      <c r="L586" s="1110"/>
      <c r="M586" s="1095"/>
      <c r="N586" s="1087"/>
      <c r="O586" s="1087"/>
      <c r="P586" s="1100"/>
      <c r="Q586" s="1100"/>
      <c r="R586" s="1100"/>
      <c r="S586" s="1100"/>
      <c r="T586" s="1100"/>
    </row>
    <row r="587" spans="1:20" ht="16.5">
      <c r="A587" s="898" t="s">
        <v>1916</v>
      </c>
      <c r="B587" s="898" t="s">
        <v>3671</v>
      </c>
      <c r="C587" s="1100"/>
      <c r="D587" s="1095"/>
      <c r="E587" s="1095"/>
      <c r="F587" s="1085"/>
      <c r="G587" s="1100"/>
      <c r="H587" s="1100"/>
      <c r="I587" s="1100"/>
      <c r="J587" s="1636">
        <f>IF(J585="",0,+MIN(J583,J585))</f>
        <v>720460.924</v>
      </c>
      <c r="K587" s="1636"/>
      <c r="L587" s="1636"/>
      <c r="M587" s="1100"/>
      <c r="N587" s="850"/>
      <c r="O587" s="850"/>
      <c r="P587" s="850"/>
      <c r="Q587" s="850"/>
      <c r="R587" s="850"/>
      <c r="S587" s="850"/>
      <c r="T587" s="850"/>
    </row>
    <row r="588" spans="1:20">
      <c r="A588" s="1095"/>
      <c r="B588" s="1095"/>
      <c r="C588" s="1095"/>
      <c r="D588" s="1095"/>
      <c r="E588" s="1095"/>
      <c r="F588" s="1095"/>
      <c r="G588" s="1095"/>
      <c r="H588" s="1095"/>
      <c r="I588" s="1095"/>
      <c r="J588" s="1095"/>
      <c r="K588" s="1095"/>
      <c r="L588" s="1095"/>
      <c r="M588" s="1095"/>
      <c r="N588" s="1095"/>
      <c r="O588" s="1095"/>
      <c r="P588" s="1095"/>
      <c r="Q588" s="1095"/>
      <c r="R588" s="1095"/>
      <c r="S588" s="1095"/>
      <c r="T588" s="1095"/>
    </row>
    <row r="589" spans="1:20">
      <c r="A589" s="1095"/>
      <c r="B589" s="1095"/>
      <c r="C589" s="1095"/>
      <c r="D589" s="1095"/>
      <c r="E589" s="1095"/>
      <c r="F589" s="1095"/>
      <c r="G589" s="1095"/>
      <c r="H589" s="1095"/>
      <c r="I589" s="1095"/>
      <c r="J589" s="1095"/>
      <c r="K589" s="1095"/>
      <c r="L589" s="1095"/>
      <c r="M589" s="1095"/>
      <c r="N589" s="1095"/>
      <c r="O589" s="1095"/>
      <c r="P589" s="1095"/>
      <c r="Q589" s="1095"/>
      <c r="R589" s="1095"/>
      <c r="S589" s="1095"/>
      <c r="T589" s="1095"/>
    </row>
    <row r="590" spans="1:20">
      <c r="A590" s="835" t="s">
        <v>1918</v>
      </c>
      <c r="B590" s="849" t="s">
        <v>608</v>
      </c>
      <c r="C590" s="1095"/>
      <c r="D590" s="1095"/>
      <c r="E590" s="1095"/>
      <c r="F590" s="1095"/>
      <c r="G590" s="1095"/>
      <c r="H590" s="1095"/>
      <c r="I590" s="1095"/>
      <c r="J590" s="1095"/>
      <c r="K590" s="835" t="s">
        <v>563</v>
      </c>
      <c r="L590" s="835" t="s">
        <v>82</v>
      </c>
      <c r="M590" s="1095"/>
      <c r="N590" s="1095"/>
      <c r="O590" s="1095"/>
      <c r="P590" s="1095"/>
      <c r="Q590" s="1095"/>
      <c r="R590" s="1095"/>
      <c r="S590" s="1095"/>
      <c r="T590" s="1095"/>
    </row>
    <row r="591" spans="1:20" ht="13.5">
      <c r="A591" s="1637" t="str">
        <f>'Part IV-Uses of Funds'!A177</f>
        <v xml:space="preserve">DEMOLITION, SITE DEVELOPMENT AND CONSTRUCTION - Costs shown are from a detailed take off prepared by NorSouth Constructs based on a pricing drawing set provided by the project architect, Lord, Aeck &amp; Sargent.
IMPACT FEES - The amount shown is the estimated charge by the City of Decatur for capacity in the Ebster Detention Facility Vault. See letter dated June 4, 2014 from Hugh Saxon, Deputy City Manager in Tab 41a.
</v>
      </c>
      <c r="B591" s="1637"/>
      <c r="C591" s="1637"/>
      <c r="D591" s="1637"/>
      <c r="E591" s="1637"/>
      <c r="F591" s="1637"/>
      <c r="G591" s="1637"/>
      <c r="H591" s="1637"/>
      <c r="I591" s="1637"/>
      <c r="J591" s="1637"/>
      <c r="K591" s="1637">
        <f>'Part IV-Uses of Funds'!K177</f>
        <v>0</v>
      </c>
      <c r="L591" s="1637"/>
      <c r="M591" s="1637"/>
      <c r="N591" s="1637"/>
      <c r="O591" s="1637"/>
      <c r="P591" s="1637"/>
      <c r="Q591" s="1637"/>
      <c r="R591" s="1637"/>
      <c r="S591" s="1637"/>
      <c r="T591" s="1637"/>
    </row>
    <row r="594" spans="1:13">
      <c r="A594" s="1598" t="str">
        <f>CONCATENATE("PART FIVE - UTILITY ALLOWANCES","  -  ",'Part I-Project Information'!$O$4," ",'Part I-Project Information'!$F$23,", ",'Part I-Project Information'!F620,", ",'Part I-Project Information'!J621," County")</f>
        <v>PART FIVE - UTILITY ALLOWANCES  -  2014-055 Trinity Walk Phase I, , Laurens-Treutlen Joint Development Authority County</v>
      </c>
      <c r="B594" s="1598"/>
      <c r="C594" s="1598"/>
      <c r="D594" s="1598"/>
      <c r="E594" s="1598"/>
      <c r="F594" s="1598"/>
      <c r="G594" s="1598"/>
      <c r="H594" s="1598"/>
      <c r="I594" s="1598"/>
      <c r="J594" s="1598"/>
      <c r="K594" s="1598"/>
      <c r="L594" s="1598"/>
      <c r="M594" s="1598"/>
    </row>
    <row r="596" spans="1:13">
      <c r="F596" s="584" t="s">
        <v>548</v>
      </c>
      <c r="I596" s="1125" t="str">
        <f>VLOOKUP('Part I-Project Information'!$J$28,'Part I-Project Information'!$C$179:$D$338,2)</f>
        <v>Middle</v>
      </c>
    </row>
    <row r="598" spans="1:13">
      <c r="A598" s="833" t="s">
        <v>657</v>
      </c>
      <c r="B598" s="833" t="s">
        <v>2375</v>
      </c>
      <c r="F598" s="1070" t="s">
        <v>2692</v>
      </c>
      <c r="I598" s="1634" t="str">
        <f>'Part V-Utility Allowances'!I5</f>
        <v>HUD - 92458 - Family Units</v>
      </c>
      <c r="J598" s="1634"/>
      <c r="K598" s="1634"/>
      <c r="L598" s="1634"/>
      <c r="M598" s="1634"/>
    </row>
    <row r="599" spans="1:13">
      <c r="A599" s="833"/>
      <c r="F599" s="1070" t="s">
        <v>677</v>
      </c>
      <c r="I599" s="1635">
        <f>'Part V-Utility Allowances'!I6</f>
        <v>40725</v>
      </c>
      <c r="J599" s="1635"/>
      <c r="K599" s="830" t="s">
        <v>573</v>
      </c>
      <c r="L599" s="1634" t="str">
        <f>'Part V-Utility Allowances'!L6</f>
        <v>MF</v>
      </c>
      <c r="M599" s="1634"/>
    </row>
    <row r="600" spans="1:13">
      <c r="A600" s="833"/>
    </row>
    <row r="601" spans="1:13">
      <c r="A601" s="833"/>
      <c r="B601" s="833"/>
      <c r="C601" s="833"/>
      <c r="D601" s="833"/>
      <c r="E601" s="833"/>
      <c r="F601" s="1609" t="s">
        <v>650</v>
      </c>
      <c r="G601" s="1609"/>
      <c r="H601" s="833"/>
      <c r="I601" s="1609" t="s">
        <v>208</v>
      </c>
      <c r="J601" s="1609"/>
      <c r="K601" s="1609"/>
      <c r="L601" s="1609"/>
      <c r="M601" s="1609"/>
    </row>
    <row r="602" spans="1:13">
      <c r="A602" s="833"/>
      <c r="B602" s="833" t="s">
        <v>852</v>
      </c>
      <c r="C602" s="833"/>
      <c r="D602" s="833" t="s">
        <v>1708</v>
      </c>
      <c r="E602" s="833"/>
      <c r="F602" s="1113" t="s">
        <v>683</v>
      </c>
      <c r="G602" s="1113" t="s">
        <v>1980</v>
      </c>
      <c r="H602" s="833"/>
      <c r="I602" s="1113" t="s">
        <v>601</v>
      </c>
      <c r="J602" s="1113">
        <v>1</v>
      </c>
      <c r="K602" s="1113">
        <v>2</v>
      </c>
      <c r="L602" s="1113">
        <v>3</v>
      </c>
      <c r="M602" s="1113">
        <v>4</v>
      </c>
    </row>
    <row r="603" spans="1:13">
      <c r="B603" s="1070" t="s">
        <v>1982</v>
      </c>
      <c r="D603" s="1634" t="str">
        <f>'Part V-Utility Allowances'!D10</f>
        <v>Electric</v>
      </c>
      <c r="E603" s="1634"/>
      <c r="F603" s="1034" t="str">
        <f>'Part V-Utility Allowances'!F10</f>
        <v>X</v>
      </c>
      <c r="G603" s="1034">
        <f>'Part V-Utility Allowances'!G10</f>
        <v>0</v>
      </c>
      <c r="I603" s="830">
        <f>'Part V-Utility Allowances'!I10</f>
        <v>0</v>
      </c>
      <c r="J603" s="830">
        <f>'Part V-Utility Allowances'!J10</f>
        <v>73</v>
      </c>
      <c r="K603" s="830">
        <f>'Part V-Utility Allowances'!K10</f>
        <v>127</v>
      </c>
      <c r="L603" s="830">
        <f>'Part V-Utility Allowances'!L10</f>
        <v>134</v>
      </c>
      <c r="M603" s="830">
        <f>'Part V-Utility Allowances'!M10</f>
        <v>0</v>
      </c>
    </row>
    <row r="604" spans="1:13">
      <c r="B604" s="1070" t="s">
        <v>493</v>
      </c>
      <c r="D604" s="1070" t="s">
        <v>1704</v>
      </c>
      <c r="F604" s="1034" t="str">
        <f>'Part V-Utility Allowances'!F11</f>
        <v>X</v>
      </c>
      <c r="G604" s="1034">
        <f>'Part V-Utility Allowances'!G11</f>
        <v>0</v>
      </c>
      <c r="I604" s="830">
        <f>'Part V-Utility Allowances'!I11</f>
        <v>0</v>
      </c>
      <c r="J604" s="830">
        <f>'Part V-Utility Allowances'!J11</f>
        <v>0</v>
      </c>
      <c r="K604" s="830" t="str">
        <f>'Part V-Utility Allowances'!K11</f>
        <v>Included in above</v>
      </c>
      <c r="L604" s="830">
        <f>'Part V-Utility Allowances'!L11</f>
        <v>0</v>
      </c>
      <c r="M604" s="830">
        <f>'Part V-Utility Allowances'!M11</f>
        <v>0</v>
      </c>
    </row>
    <row r="605" spans="1:13">
      <c r="B605" s="1070" t="s">
        <v>1705</v>
      </c>
      <c r="D605" s="1634" t="str">
        <f>'Part V-Utility Allowances'!D12</f>
        <v>Electric</v>
      </c>
      <c r="E605" s="1634"/>
      <c r="F605" s="1034" t="str">
        <f>'Part V-Utility Allowances'!F12</f>
        <v>X</v>
      </c>
      <c r="G605" s="1034">
        <f>'Part V-Utility Allowances'!G12</f>
        <v>0</v>
      </c>
      <c r="I605" s="830">
        <f>'Part V-Utility Allowances'!I12</f>
        <v>0</v>
      </c>
      <c r="J605" s="830">
        <f>'Part V-Utility Allowances'!J12</f>
        <v>0</v>
      </c>
      <c r="K605" s="830" t="str">
        <f>'Part V-Utility Allowances'!K12</f>
        <v>Included in above</v>
      </c>
      <c r="L605" s="830">
        <f>'Part V-Utility Allowances'!L12</f>
        <v>0</v>
      </c>
      <c r="M605" s="830">
        <f>'Part V-Utility Allowances'!M12</f>
        <v>0</v>
      </c>
    </row>
    <row r="606" spans="1:13">
      <c r="B606" s="1070" t="s">
        <v>1706</v>
      </c>
      <c r="D606" s="1634" t="str">
        <f>'Part V-Utility Allowances'!D13</f>
        <v>Electric</v>
      </c>
      <c r="E606" s="1634"/>
      <c r="F606" s="1034" t="str">
        <f>'Part V-Utility Allowances'!F13</f>
        <v>X</v>
      </c>
      <c r="G606" s="1034">
        <f>'Part V-Utility Allowances'!G13</f>
        <v>0</v>
      </c>
      <c r="I606" s="830">
        <f>'Part V-Utility Allowances'!I13</f>
        <v>0</v>
      </c>
      <c r="J606" s="830">
        <f>'Part V-Utility Allowances'!J13</f>
        <v>0</v>
      </c>
      <c r="K606" s="830" t="str">
        <f>'Part V-Utility Allowances'!K13</f>
        <v>Included in above</v>
      </c>
      <c r="L606" s="830">
        <f>'Part V-Utility Allowances'!L13</f>
        <v>0</v>
      </c>
      <c r="M606" s="830">
        <f>'Part V-Utility Allowances'!M13</f>
        <v>0</v>
      </c>
    </row>
    <row r="607" spans="1:13">
      <c r="B607" s="1070" t="s">
        <v>1707</v>
      </c>
      <c r="D607" s="1070" t="s">
        <v>1704</v>
      </c>
      <c r="F607" s="1034" t="str">
        <f>'Part V-Utility Allowances'!F14</f>
        <v>X</v>
      </c>
      <c r="G607" s="1034">
        <f>'Part V-Utility Allowances'!G14</f>
        <v>0</v>
      </c>
      <c r="I607" s="830">
        <f>'Part V-Utility Allowances'!I14</f>
        <v>0</v>
      </c>
      <c r="J607" s="830">
        <f>'Part V-Utility Allowances'!J14</f>
        <v>0</v>
      </c>
      <c r="K607" s="830">
        <f>'Part V-Utility Allowances'!K14</f>
        <v>0</v>
      </c>
      <c r="L607" s="830">
        <f>'Part V-Utility Allowances'!L14</f>
        <v>0</v>
      </c>
      <c r="M607" s="830">
        <f>'Part V-Utility Allowances'!M14</f>
        <v>0</v>
      </c>
    </row>
    <row r="608" spans="1:13">
      <c r="B608" s="1070" t="s">
        <v>1457</v>
      </c>
      <c r="D608" s="1070" t="s">
        <v>2374</v>
      </c>
      <c r="E608" s="830" t="str">
        <f>'Part V-Utility Allowances'!E15</f>
        <v>Yes</v>
      </c>
      <c r="F608" s="1034">
        <f>'Part V-Utility Allowances'!F15</f>
        <v>0</v>
      </c>
      <c r="G608" s="1034">
        <f>'Part V-Utility Allowances'!G15</f>
        <v>0</v>
      </c>
      <c r="I608" s="830">
        <f>'Part V-Utility Allowances'!I15</f>
        <v>0</v>
      </c>
      <c r="J608" s="830">
        <f>'Part V-Utility Allowances'!J15</f>
        <v>35</v>
      </c>
      <c r="K608" s="830">
        <f>'Part V-Utility Allowances'!K15</f>
        <v>49</v>
      </c>
      <c r="L608" s="830">
        <f>'Part V-Utility Allowances'!L15</f>
        <v>63</v>
      </c>
      <c r="M608" s="830">
        <f>'Part V-Utility Allowances'!M15</f>
        <v>0</v>
      </c>
    </row>
    <row r="609" spans="1:13">
      <c r="B609" s="1070" t="s">
        <v>1981</v>
      </c>
      <c r="F609" s="1034">
        <f>'Part V-Utility Allowances'!F16</f>
        <v>0</v>
      </c>
      <c r="G609" s="1034" t="str">
        <f>'Part V-Utility Allowances'!G16</f>
        <v>X</v>
      </c>
      <c r="I609" s="830">
        <f>'Part V-Utility Allowances'!I16</f>
        <v>0</v>
      </c>
      <c r="J609" s="830">
        <f>'Part V-Utility Allowances'!J16</f>
        <v>0</v>
      </c>
      <c r="K609" s="830">
        <f>'Part V-Utility Allowances'!K16</f>
        <v>0</v>
      </c>
      <c r="L609" s="830">
        <f>'Part V-Utility Allowances'!L16</f>
        <v>0</v>
      </c>
      <c r="M609" s="830">
        <f>'Part V-Utility Allowances'!M16</f>
        <v>0</v>
      </c>
    </row>
    <row r="610" spans="1:13">
      <c r="B610" s="833" t="s">
        <v>1082</v>
      </c>
      <c r="F610" s="830"/>
      <c r="G610" s="830"/>
      <c r="I610" s="1113">
        <f>SUM(I603:I609)</f>
        <v>0</v>
      </c>
      <c r="J610" s="1113">
        <f>SUM(J603:J609)</f>
        <v>108</v>
      </c>
      <c r="K610" s="1113">
        <f>SUM(K603:K609)</f>
        <v>176</v>
      </c>
      <c r="L610" s="1113">
        <f>SUM(L603:L609)</f>
        <v>197</v>
      </c>
      <c r="M610" s="1113">
        <f>SUM(M603:M609)</f>
        <v>0</v>
      </c>
    </row>
    <row r="612" spans="1:13">
      <c r="A612" s="833" t="s">
        <v>790</v>
      </c>
      <c r="B612" s="833" t="s">
        <v>2376</v>
      </c>
      <c r="F612" s="1070" t="s">
        <v>2692</v>
      </c>
      <c r="I612" s="1634">
        <f>'Part V-Utility Allowances'!I19</f>
        <v>0</v>
      </c>
      <c r="J612" s="1634"/>
      <c r="K612" s="1634"/>
      <c r="L612" s="1634"/>
      <c r="M612" s="1634"/>
    </row>
    <row r="613" spans="1:13">
      <c r="A613" s="833"/>
      <c r="B613" s="833"/>
      <c r="F613" s="1070" t="s">
        <v>677</v>
      </c>
      <c r="I613" s="1635">
        <f>'Part V-Utility Allowances'!I20</f>
        <v>0</v>
      </c>
      <c r="J613" s="1635"/>
      <c r="K613" s="830" t="s">
        <v>573</v>
      </c>
      <c r="L613" s="1634">
        <f>'Part V-Utility Allowances'!L20</f>
        <v>0</v>
      </c>
      <c r="M613" s="1634"/>
    </row>
    <row r="614" spans="1:13">
      <c r="A614" s="833"/>
    </row>
    <row r="615" spans="1:13">
      <c r="A615" s="833"/>
      <c r="B615" s="833"/>
      <c r="C615" s="833"/>
      <c r="D615" s="833"/>
      <c r="E615" s="833"/>
      <c r="F615" s="1609" t="s">
        <v>650</v>
      </c>
      <c r="G615" s="1609"/>
      <c r="H615" s="833"/>
      <c r="I615" s="1609" t="s">
        <v>208</v>
      </c>
      <c r="J615" s="1609"/>
      <c r="K615" s="1609"/>
      <c r="L615" s="1609"/>
      <c r="M615" s="1609"/>
    </row>
    <row r="616" spans="1:13">
      <c r="A616" s="833"/>
      <c r="B616" s="833" t="s">
        <v>852</v>
      </c>
      <c r="C616" s="833"/>
      <c r="D616" s="833" t="s">
        <v>1708</v>
      </c>
      <c r="E616" s="833"/>
      <c r="F616" s="1113" t="s">
        <v>683</v>
      </c>
      <c r="G616" s="1113" t="s">
        <v>1980</v>
      </c>
      <c r="H616" s="833"/>
      <c r="I616" s="1113" t="s">
        <v>601</v>
      </c>
      <c r="J616" s="1113">
        <v>1</v>
      </c>
      <c r="K616" s="1113">
        <v>2</v>
      </c>
      <c r="L616" s="1113">
        <v>3</v>
      </c>
      <c r="M616" s="1113">
        <v>4</v>
      </c>
    </row>
    <row r="617" spans="1:13">
      <c r="B617" s="1070" t="s">
        <v>1982</v>
      </c>
      <c r="D617" s="1634" t="str">
        <f>'Part V-Utility Allowances'!D24</f>
        <v>&lt;&lt;Select Fuel &gt;&gt;</v>
      </c>
      <c r="E617" s="1634"/>
      <c r="F617" s="1034">
        <f>'Part V-Utility Allowances'!F24</f>
        <v>0</v>
      </c>
      <c r="G617" s="1034">
        <f>'Part V-Utility Allowances'!G24</f>
        <v>0</v>
      </c>
      <c r="I617" s="830">
        <f>'Part V-Utility Allowances'!I24</f>
        <v>0</v>
      </c>
      <c r="J617" s="830">
        <f>'Part V-Utility Allowances'!J24</f>
        <v>0</v>
      </c>
      <c r="K617" s="830">
        <f>'Part V-Utility Allowances'!K24</f>
        <v>0</v>
      </c>
      <c r="L617" s="830">
        <f>'Part V-Utility Allowances'!L24</f>
        <v>0</v>
      </c>
      <c r="M617" s="830">
        <f>'Part V-Utility Allowances'!M24</f>
        <v>0</v>
      </c>
    </row>
    <row r="618" spans="1:13">
      <c r="B618" s="1070" t="s">
        <v>493</v>
      </c>
      <c r="D618" s="1070" t="s">
        <v>1704</v>
      </c>
      <c r="F618" s="1034">
        <f>'Part V-Utility Allowances'!F25</f>
        <v>0</v>
      </c>
      <c r="G618" s="1034">
        <f>'Part V-Utility Allowances'!G25</f>
        <v>0</v>
      </c>
      <c r="I618" s="830">
        <f>'Part V-Utility Allowances'!I25</f>
        <v>0</v>
      </c>
      <c r="J618" s="830">
        <f>'Part V-Utility Allowances'!J25</f>
        <v>0</v>
      </c>
      <c r="K618" s="830">
        <f>'Part V-Utility Allowances'!K25</f>
        <v>0</v>
      </c>
      <c r="L618" s="830">
        <f>'Part V-Utility Allowances'!L25</f>
        <v>0</v>
      </c>
      <c r="M618" s="830">
        <f>'Part V-Utility Allowances'!M25</f>
        <v>0</v>
      </c>
    </row>
    <row r="619" spans="1:13">
      <c r="B619" s="1070" t="s">
        <v>1705</v>
      </c>
      <c r="D619" s="1634" t="str">
        <f>'Part V-Utility Allowances'!D26</f>
        <v>&lt;&lt;Select Fuel &gt;&gt;</v>
      </c>
      <c r="E619" s="1634"/>
      <c r="F619" s="1034">
        <f>'Part V-Utility Allowances'!F26</f>
        <v>0</v>
      </c>
      <c r="G619" s="1034">
        <f>'Part V-Utility Allowances'!G26</f>
        <v>0</v>
      </c>
      <c r="I619" s="830">
        <f>'Part V-Utility Allowances'!I26</f>
        <v>0</v>
      </c>
      <c r="J619" s="830">
        <f>'Part V-Utility Allowances'!J26</f>
        <v>0</v>
      </c>
      <c r="K619" s="830">
        <f>'Part V-Utility Allowances'!K26</f>
        <v>0</v>
      </c>
      <c r="L619" s="830">
        <f>'Part V-Utility Allowances'!L26</f>
        <v>0</v>
      </c>
      <c r="M619" s="830">
        <f>'Part V-Utility Allowances'!M26</f>
        <v>0</v>
      </c>
    </row>
    <row r="620" spans="1:13">
      <c r="B620" s="1070" t="s">
        <v>1706</v>
      </c>
      <c r="D620" s="1634" t="str">
        <f>'Part V-Utility Allowances'!D27</f>
        <v>&lt;&lt;Select Fuel &gt;&gt;</v>
      </c>
      <c r="E620" s="1634"/>
      <c r="F620" s="1034">
        <f>'Part V-Utility Allowances'!F27</f>
        <v>0</v>
      </c>
      <c r="G620" s="1034">
        <f>'Part V-Utility Allowances'!G27</f>
        <v>0</v>
      </c>
      <c r="I620" s="830">
        <f>'Part V-Utility Allowances'!I27</f>
        <v>0</v>
      </c>
      <c r="J620" s="830">
        <f>'Part V-Utility Allowances'!J27</f>
        <v>0</v>
      </c>
      <c r="K620" s="830">
        <f>'Part V-Utility Allowances'!K27</f>
        <v>0</v>
      </c>
      <c r="L620" s="830">
        <f>'Part V-Utility Allowances'!L27</f>
        <v>0</v>
      </c>
      <c r="M620" s="830">
        <f>'Part V-Utility Allowances'!M27</f>
        <v>0</v>
      </c>
    </row>
    <row r="621" spans="1:13">
      <c r="B621" s="1070" t="s">
        <v>1707</v>
      </c>
      <c r="D621" s="1070" t="s">
        <v>1704</v>
      </c>
      <c r="F621" s="1034">
        <f>'Part V-Utility Allowances'!F28</f>
        <v>0</v>
      </c>
      <c r="G621" s="1034">
        <f>'Part V-Utility Allowances'!G28</f>
        <v>0</v>
      </c>
      <c r="I621" s="830">
        <f>'Part V-Utility Allowances'!I28</f>
        <v>0</v>
      </c>
      <c r="J621" s="830">
        <f>'Part V-Utility Allowances'!J28</f>
        <v>0</v>
      </c>
      <c r="K621" s="830">
        <f>'Part V-Utility Allowances'!K28</f>
        <v>0</v>
      </c>
      <c r="L621" s="830">
        <f>'Part V-Utility Allowances'!L28</f>
        <v>0</v>
      </c>
      <c r="M621" s="830">
        <f>'Part V-Utility Allowances'!M28</f>
        <v>0</v>
      </c>
    </row>
    <row r="622" spans="1:13">
      <c r="B622" s="1070" t="s">
        <v>1457</v>
      </c>
      <c r="D622" s="1070" t="s">
        <v>2374</v>
      </c>
      <c r="E622" s="830" t="str">
        <f>'Part V-Utility Allowances'!E29</f>
        <v>&lt;Select&gt;</v>
      </c>
      <c r="F622" s="1034">
        <f>'Part V-Utility Allowances'!F29</f>
        <v>0</v>
      </c>
      <c r="G622" s="1034">
        <f>'Part V-Utility Allowances'!G29</f>
        <v>0</v>
      </c>
      <c r="I622" s="830">
        <f>'Part V-Utility Allowances'!I29</f>
        <v>0</v>
      </c>
      <c r="J622" s="830">
        <f>'Part V-Utility Allowances'!J29</f>
        <v>0</v>
      </c>
      <c r="K622" s="830">
        <f>'Part V-Utility Allowances'!K29</f>
        <v>0</v>
      </c>
      <c r="L622" s="830">
        <f>'Part V-Utility Allowances'!L29</f>
        <v>0</v>
      </c>
      <c r="M622" s="830">
        <f>'Part V-Utility Allowances'!M29</f>
        <v>0</v>
      </c>
    </row>
    <row r="623" spans="1:13">
      <c r="B623" s="1070" t="s">
        <v>1981</v>
      </c>
      <c r="F623" s="1034">
        <f>'Part V-Utility Allowances'!F30</f>
        <v>0</v>
      </c>
      <c r="G623" s="1034">
        <f>'Part V-Utility Allowances'!G30</f>
        <v>0</v>
      </c>
      <c r="I623" s="830">
        <f>'Part V-Utility Allowances'!I30</f>
        <v>0</v>
      </c>
      <c r="J623" s="830">
        <f>'Part V-Utility Allowances'!J30</f>
        <v>0</v>
      </c>
      <c r="K623" s="830">
        <f>'Part V-Utility Allowances'!K30</f>
        <v>0</v>
      </c>
      <c r="L623" s="830">
        <f>'Part V-Utility Allowances'!L30</f>
        <v>0</v>
      </c>
      <c r="M623" s="830">
        <f>'Part V-Utility Allowances'!M30</f>
        <v>0</v>
      </c>
    </row>
    <row r="624" spans="1:13">
      <c r="B624" s="833" t="s">
        <v>1082</v>
      </c>
      <c r="F624" s="830"/>
      <c r="G624" s="830"/>
      <c r="I624" s="1113">
        <f>SUM(I617:I623)</f>
        <v>0</v>
      </c>
      <c r="J624" s="1113">
        <f>SUM(J617:J623)</f>
        <v>0</v>
      </c>
      <c r="K624" s="1113">
        <f>SUM(K617:K623)</f>
        <v>0</v>
      </c>
      <c r="L624" s="1113">
        <f>SUM(L617:L623)</f>
        <v>0</v>
      </c>
      <c r="M624" s="1113">
        <f>SUM(M617:M623)</f>
        <v>0</v>
      </c>
    </row>
    <row r="626" spans="1:221">
      <c r="B626" s="902" t="s">
        <v>1932</v>
      </c>
    </row>
    <row r="628" spans="1:221">
      <c r="A628" s="833"/>
      <c r="B628" s="833" t="s">
        <v>608</v>
      </c>
    </row>
    <row r="629" spans="1:221">
      <c r="B629" s="1621" t="str">
        <f>'Part V-Utility Allowances'!B36</f>
        <v>The utility allowances shown above are based on Column 5 of HUD - 92458 Rent Schedule Low Rent Housing dated July 1, 2011 for Gateway Manor Apartment, which is the most recent Rent Schedule provided by HUD. Elderly allowances not used because HAP contract requires that elderly units include disabled, which does not satisfy the DCA definition of "elderly".  See Tab #1 for the latest form HUD – 92458</v>
      </c>
      <c r="C629" s="1621"/>
      <c r="D629" s="1621"/>
      <c r="E629" s="1621"/>
      <c r="F629" s="1621"/>
      <c r="G629" s="1621"/>
      <c r="H629" s="1621"/>
      <c r="I629" s="1621"/>
      <c r="J629" s="1621"/>
      <c r="K629" s="1621"/>
      <c r="L629" s="1621"/>
      <c r="M629" s="1621"/>
    </row>
    <row r="631" spans="1:221">
      <c r="A631" s="833"/>
      <c r="B631" s="833" t="s">
        <v>1975</v>
      </c>
    </row>
    <row r="632" spans="1:221">
      <c r="B632" s="1621">
        <f>'Part V-Utility Allowances'!B39</f>
        <v>0</v>
      </c>
      <c r="C632" s="1621"/>
      <c r="D632" s="1621"/>
      <c r="E632" s="1621"/>
      <c r="F632" s="1621"/>
      <c r="G632" s="1621"/>
      <c r="H632" s="1621"/>
      <c r="I632" s="1621"/>
      <c r="J632" s="1621"/>
      <c r="K632" s="1621"/>
      <c r="L632" s="1621"/>
      <c r="M632" s="1621"/>
    </row>
    <row r="635" spans="1:221" s="581" customFormat="1" ht="13.9" customHeight="1">
      <c r="A635" s="1598" t="str">
        <f>CONCATENATE("PART SIX - PROJECTED REVENUES &amp; EXPENSES","  -  ",'Part I-Project Information'!$O$4," ",'Part I-Project Information'!$F$23,", ",'Part I-Project Information'!F661,", ",'Part I-Project Information'!J662," County")</f>
        <v>PART SIX - PROJECTED REVENUES &amp; EXPENSES  -  2014-055 Trinity Walk Phase I, , Southeast Georgia Consolidated Housing Authority County</v>
      </c>
      <c r="B635" s="1598"/>
      <c r="C635" s="1598"/>
      <c r="D635" s="1598"/>
      <c r="E635" s="1598"/>
      <c r="F635" s="1598"/>
      <c r="G635" s="1598"/>
      <c r="H635" s="1598"/>
      <c r="I635" s="1598"/>
      <c r="J635" s="1598"/>
      <c r="K635" s="1598"/>
      <c r="L635" s="1598"/>
      <c r="M635" s="1598"/>
      <c r="N635" s="1598"/>
      <c r="O635" s="1598"/>
      <c r="P635" s="1598"/>
      <c r="T635" s="1598" t="str">
        <f>A635</f>
        <v>PART SIX - PROJECTED REVENUES &amp; EXPENSES  -  2014-055 Trinity Walk Phase I, , Southeast Georgia Consolidated Housing Authority County</v>
      </c>
      <c r="U635" s="1598"/>
      <c r="ET635" s="826"/>
      <c r="EU635" s="826"/>
      <c r="EV635" s="826"/>
      <c r="EW635" s="826"/>
      <c r="EX635" s="826"/>
      <c r="EY635" s="826"/>
      <c r="EZ635" s="826"/>
      <c r="FA635" s="826"/>
      <c r="FB635" s="826"/>
      <c r="FC635" s="826"/>
      <c r="FD635" s="826"/>
      <c r="FE635" s="826"/>
      <c r="FF635" s="826"/>
      <c r="FG635" s="826"/>
      <c r="FH635" s="826"/>
      <c r="FI635" s="826"/>
      <c r="FJ635" s="826"/>
      <c r="FK635" s="826"/>
      <c r="FL635" s="826"/>
      <c r="FM635" s="826"/>
      <c r="FN635" s="826"/>
      <c r="FO635" s="826"/>
      <c r="FP635" s="826"/>
      <c r="FQ635" s="826"/>
      <c r="FR635" s="826"/>
      <c r="FS635" s="826"/>
      <c r="FT635" s="826"/>
      <c r="FU635" s="826"/>
      <c r="FV635" s="826"/>
      <c r="FW635" s="826"/>
      <c r="FX635" s="826"/>
      <c r="FY635" s="826"/>
      <c r="FZ635" s="826"/>
      <c r="GA635" s="826"/>
      <c r="GB635" s="826"/>
      <c r="GC635" s="826"/>
      <c r="GD635" s="826"/>
      <c r="GE635" s="826"/>
      <c r="GF635" s="826"/>
      <c r="GG635" s="826"/>
      <c r="GL635" s="584"/>
    </row>
    <row r="636" spans="1:221" ht="9" customHeight="1">
      <c r="V636" s="827"/>
      <c r="W636" s="827"/>
      <c r="X636" s="827"/>
      <c r="Y636" s="827"/>
      <c r="Z636" s="827"/>
      <c r="AA636" s="827"/>
      <c r="AB636" s="827"/>
      <c r="AC636" s="827"/>
      <c r="AD636" s="827"/>
      <c r="AE636" s="827"/>
      <c r="AF636" s="827"/>
      <c r="AG636" s="827"/>
      <c r="AH636" s="827"/>
      <c r="AI636" s="827"/>
      <c r="AJ636" s="827"/>
      <c r="AK636" s="827"/>
      <c r="AL636" s="827"/>
      <c r="AM636" s="827"/>
      <c r="AN636" s="827"/>
      <c r="AO636" s="827"/>
      <c r="AP636" s="827"/>
      <c r="AQ636" s="827"/>
      <c r="AR636" s="827"/>
      <c r="AS636" s="827"/>
      <c r="AT636" s="827"/>
      <c r="AU636" s="827"/>
      <c r="AV636" s="827"/>
      <c r="AW636" s="827"/>
      <c r="AX636" s="827"/>
      <c r="AY636" s="827"/>
      <c r="AZ636" s="827"/>
      <c r="BA636" s="827"/>
      <c r="BB636" s="827"/>
      <c r="BC636" s="827"/>
      <c r="BD636" s="827"/>
      <c r="BE636" s="827"/>
      <c r="BF636" s="827"/>
      <c r="BG636" s="827"/>
      <c r="BH636" s="827"/>
      <c r="BI636" s="827"/>
      <c r="BJ636" s="827"/>
      <c r="BK636" s="827"/>
      <c r="BL636" s="827"/>
      <c r="BM636" s="827"/>
      <c r="BN636" s="827"/>
      <c r="BO636" s="827"/>
      <c r="BP636" s="827"/>
      <c r="BQ636" s="827"/>
      <c r="BR636" s="827"/>
      <c r="BS636" s="827"/>
      <c r="BT636" s="827"/>
      <c r="BU636" s="827"/>
      <c r="BV636" s="827"/>
      <c r="BW636" s="827"/>
      <c r="BX636" s="827"/>
      <c r="BY636" s="827"/>
      <c r="BZ636" s="827"/>
      <c r="CA636" s="827"/>
      <c r="CB636" s="827"/>
      <c r="CC636" s="827"/>
      <c r="CD636" s="827"/>
      <c r="CE636" s="827"/>
      <c r="CF636" s="827"/>
      <c r="CG636" s="827"/>
      <c r="CH636" s="827"/>
      <c r="CI636" s="827"/>
      <c r="CJ636" s="827"/>
      <c r="CK636" s="827"/>
      <c r="CL636" s="827"/>
      <c r="CM636" s="827"/>
      <c r="CN636" s="827"/>
      <c r="CO636" s="827"/>
      <c r="CP636" s="827"/>
      <c r="CQ636" s="827"/>
      <c r="CR636" s="827"/>
      <c r="CS636" s="827"/>
      <c r="CT636" s="827"/>
      <c r="CU636" s="827"/>
      <c r="CV636" s="827"/>
      <c r="CW636" s="827"/>
      <c r="CX636" s="827"/>
      <c r="CY636" s="827"/>
      <c r="CZ636" s="827"/>
      <c r="DA636" s="827"/>
      <c r="DB636" s="827"/>
      <c r="DC636" s="827"/>
      <c r="DD636" s="827"/>
      <c r="DE636" s="827"/>
      <c r="DF636" s="827"/>
      <c r="DG636" s="827"/>
      <c r="DH636" s="827"/>
      <c r="DI636" s="827"/>
      <c r="DJ636" s="827"/>
      <c r="DK636" s="827"/>
      <c r="DL636" s="827"/>
      <c r="DM636" s="827"/>
      <c r="DN636" s="827"/>
      <c r="DO636" s="827"/>
      <c r="DP636" s="827"/>
      <c r="DQ636" s="827"/>
      <c r="DR636" s="827"/>
      <c r="DS636" s="827"/>
      <c r="DT636" s="827"/>
      <c r="DU636" s="827"/>
      <c r="DV636" s="827"/>
      <c r="DW636" s="827"/>
      <c r="DX636" s="827"/>
      <c r="DY636" s="827"/>
      <c r="DZ636" s="827"/>
      <c r="EA636" s="827"/>
      <c r="EB636" s="827"/>
      <c r="EC636" s="827"/>
      <c r="ED636" s="827"/>
      <c r="EE636" s="827"/>
      <c r="EF636" s="827"/>
      <c r="EG636" s="827"/>
      <c r="EH636" s="827"/>
      <c r="EI636" s="827"/>
      <c r="EJ636" s="827"/>
      <c r="EK636" s="827"/>
      <c r="EL636" s="827"/>
      <c r="EM636" s="827"/>
      <c r="EN636" s="827"/>
      <c r="EO636" s="827"/>
      <c r="EP636" s="827"/>
      <c r="EQ636" s="827"/>
      <c r="ER636" s="827"/>
      <c r="ES636" s="827"/>
      <c r="ET636" s="827"/>
      <c r="EU636" s="827"/>
      <c r="EV636" s="828"/>
      <c r="EW636" s="828"/>
      <c r="EX636" s="828"/>
      <c r="EY636" s="828"/>
      <c r="EZ636" s="828"/>
      <c r="FA636" s="828"/>
      <c r="FB636" s="828"/>
      <c r="FC636" s="828"/>
      <c r="FD636" s="828"/>
      <c r="FE636" s="828"/>
      <c r="FF636" s="828"/>
      <c r="FG636" s="828"/>
      <c r="FH636" s="828"/>
      <c r="FI636" s="828"/>
      <c r="FJ636" s="828"/>
      <c r="FK636" s="828"/>
      <c r="FL636" s="828"/>
      <c r="FM636" s="828"/>
      <c r="FN636" s="828"/>
      <c r="FO636" s="828"/>
      <c r="FP636" s="828"/>
      <c r="FQ636" s="828"/>
      <c r="FR636" s="828"/>
      <c r="FS636" s="828"/>
      <c r="FT636" s="828"/>
      <c r="FU636" s="828"/>
      <c r="FV636" s="828"/>
      <c r="FW636" s="828"/>
      <c r="FX636" s="828"/>
      <c r="FY636" s="828"/>
      <c r="FZ636" s="828"/>
      <c r="GA636" s="828"/>
      <c r="GB636" s="828"/>
      <c r="GC636" s="828"/>
      <c r="GD636" s="828"/>
      <c r="GE636" s="828"/>
      <c r="GF636" s="828"/>
      <c r="GG636" s="828"/>
      <c r="GH636" s="828"/>
      <c r="GI636" s="828"/>
      <c r="GJ636" s="827"/>
      <c r="GK636" s="827"/>
      <c r="GL636" s="827"/>
      <c r="GM636" s="827"/>
      <c r="GN636" s="827"/>
      <c r="GT636" s="827"/>
      <c r="GU636" s="827"/>
      <c r="GV636" s="827"/>
      <c r="GW636" s="827"/>
      <c r="GX636" s="827"/>
      <c r="GY636" s="827"/>
      <c r="GZ636" s="827"/>
      <c r="HA636" s="827"/>
      <c r="HB636" s="827"/>
      <c r="HC636" s="827"/>
      <c r="HD636" s="827"/>
      <c r="HE636" s="827"/>
      <c r="HF636" s="827"/>
      <c r="HG636" s="827"/>
      <c r="HH636" s="827"/>
      <c r="HI636" s="827"/>
      <c r="HJ636" s="827"/>
      <c r="HK636" s="827"/>
      <c r="HL636" s="827"/>
      <c r="HM636" s="827"/>
    </row>
    <row r="637" spans="1:221" s="581" customFormat="1" ht="12.6" customHeight="1">
      <c r="A637" s="584" t="s">
        <v>657</v>
      </c>
      <c r="B637" s="584" t="s">
        <v>2522</v>
      </c>
      <c r="E637" s="903" t="s">
        <v>2905</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829"/>
      <c r="EW637" s="829"/>
      <c r="EX637" s="829"/>
      <c r="EY637" s="829"/>
      <c r="EZ637" s="829"/>
      <c r="FA637" s="828" t="s">
        <v>516</v>
      </c>
      <c r="FB637" s="828" t="s">
        <v>2606</v>
      </c>
      <c r="FC637" s="828" t="s">
        <v>2607</v>
      </c>
      <c r="FD637" s="828" t="s">
        <v>2608</v>
      </c>
      <c r="FE637" s="828" t="s">
        <v>2609</v>
      </c>
      <c r="FF637" s="829"/>
      <c r="FG637" s="829"/>
      <c r="FH637" s="829"/>
      <c r="FI637" s="829"/>
      <c r="FJ637" s="829"/>
      <c r="FK637" s="828" t="s">
        <v>516</v>
      </c>
      <c r="FL637" s="828" t="s">
        <v>2606</v>
      </c>
      <c r="FM637" s="828" t="s">
        <v>2607</v>
      </c>
      <c r="FN637" s="828" t="s">
        <v>2608</v>
      </c>
      <c r="FO637" s="828" t="s">
        <v>2609</v>
      </c>
      <c r="FP637" s="828" t="s">
        <v>516</v>
      </c>
      <c r="FQ637" s="828" t="s">
        <v>2606</v>
      </c>
      <c r="FR637" s="828" t="s">
        <v>2607</v>
      </c>
      <c r="FS637" s="828" t="s">
        <v>2608</v>
      </c>
      <c r="FT637" s="828" t="s">
        <v>2609</v>
      </c>
      <c r="FU637" s="828" t="s">
        <v>516</v>
      </c>
      <c r="FV637" s="828" t="s">
        <v>2606</v>
      </c>
      <c r="FW637" s="828" t="s">
        <v>2607</v>
      </c>
      <c r="FX637" s="828" t="s">
        <v>2608</v>
      </c>
      <c r="FY637" s="828" t="s">
        <v>2609</v>
      </c>
      <c r="FZ637" s="828" t="s">
        <v>516</v>
      </c>
      <c r="GA637" s="828" t="s">
        <v>2606</v>
      </c>
      <c r="GB637" s="828" t="s">
        <v>2607</v>
      </c>
      <c r="GC637" s="828" t="s">
        <v>2608</v>
      </c>
      <c r="GD637" s="828" t="s">
        <v>2609</v>
      </c>
      <c r="GE637" s="828" t="s">
        <v>516</v>
      </c>
      <c r="GF637" s="828" t="s">
        <v>2606</v>
      </c>
      <c r="GG637" s="828" t="s">
        <v>2607</v>
      </c>
      <c r="GH637" s="828" t="s">
        <v>2608</v>
      </c>
      <c r="GI637" s="828" t="s">
        <v>2609</v>
      </c>
      <c r="GJ637" s="828" t="s">
        <v>516</v>
      </c>
      <c r="GK637" s="828" t="s">
        <v>2606</v>
      </c>
      <c r="GL637" s="828" t="s">
        <v>2607</v>
      </c>
      <c r="GM637" s="828" t="s">
        <v>2608</v>
      </c>
      <c r="GN637" s="828" t="s">
        <v>2609</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1074"/>
      <c r="R638" s="1074"/>
      <c r="S638" s="1074"/>
      <c r="T638" s="1074"/>
      <c r="V638" s="1633" t="s">
        <v>975</v>
      </c>
      <c r="W638" s="1633" t="s">
        <v>806</v>
      </c>
      <c r="X638" s="1633" t="s">
        <v>807</v>
      </c>
      <c r="Y638" s="1633" t="s">
        <v>808</v>
      </c>
      <c r="Z638" s="1633" t="s">
        <v>809</v>
      </c>
      <c r="AA638" s="1633" t="s">
        <v>976</v>
      </c>
      <c r="AB638" s="1633" t="s">
        <v>2461</v>
      </c>
      <c r="AC638" s="1633" t="s">
        <v>2462</v>
      </c>
      <c r="AD638" s="1633" t="s">
        <v>2463</v>
      </c>
      <c r="AE638" s="1633" t="s">
        <v>2464</v>
      </c>
      <c r="AF638" s="1633" t="s">
        <v>977</v>
      </c>
      <c r="AG638" s="1633" t="s">
        <v>2465</v>
      </c>
      <c r="AH638" s="1633" t="s">
        <v>2466</v>
      </c>
      <c r="AI638" s="1633" t="s">
        <v>2467</v>
      </c>
      <c r="AJ638" s="1633" t="s">
        <v>2468</v>
      </c>
      <c r="AK638" s="1633" t="s">
        <v>132</v>
      </c>
      <c r="AL638" s="1633" t="s">
        <v>2469</v>
      </c>
      <c r="AM638" s="1633" t="s">
        <v>2470</v>
      </c>
      <c r="AN638" s="1633" t="s">
        <v>2471</v>
      </c>
      <c r="AO638" s="1633" t="s">
        <v>1217</v>
      </c>
      <c r="AP638" s="1633" t="s">
        <v>589</v>
      </c>
      <c r="AQ638" s="1633" t="s">
        <v>590</v>
      </c>
      <c r="AR638" s="1633" t="s">
        <v>614</v>
      </c>
      <c r="AS638" s="1633" t="s">
        <v>615</v>
      </c>
      <c r="AT638" s="1633" t="s">
        <v>616</v>
      </c>
      <c r="AU638" s="1633" t="s">
        <v>617</v>
      </c>
      <c r="AV638" s="1633" t="s">
        <v>618</v>
      </c>
      <c r="AW638" s="1633" t="s">
        <v>619</v>
      </c>
      <c r="AX638" s="1633" t="s">
        <v>620</v>
      </c>
      <c r="AY638" s="1633" t="s">
        <v>621</v>
      </c>
      <c r="AZ638" s="1633" t="s">
        <v>622</v>
      </c>
      <c r="BA638" s="1633" t="s">
        <v>623</v>
      </c>
      <c r="BB638" s="1633" t="s">
        <v>987</v>
      </c>
      <c r="BC638" s="1633" t="s">
        <v>988</v>
      </c>
      <c r="BD638" s="1633" t="s">
        <v>989</v>
      </c>
      <c r="BE638" s="1633" t="s">
        <v>528</v>
      </c>
      <c r="BF638" s="1633" t="s">
        <v>529</v>
      </c>
      <c r="BG638" s="1633" t="s">
        <v>530</v>
      </c>
      <c r="BH638" s="1633" t="s">
        <v>531</v>
      </c>
      <c r="BI638" s="1633" t="s">
        <v>532</v>
      </c>
      <c r="BJ638" s="1633" t="s">
        <v>935</v>
      </c>
      <c r="BK638" s="1633" t="s">
        <v>936</v>
      </c>
      <c r="BL638" s="1633" t="s">
        <v>937</v>
      </c>
      <c r="BM638" s="1633" t="s">
        <v>938</v>
      </c>
      <c r="BN638" s="1633" t="s">
        <v>939</v>
      </c>
      <c r="BO638" s="1633" t="s">
        <v>940</v>
      </c>
      <c r="BP638" s="1633" t="s">
        <v>941</v>
      </c>
      <c r="BQ638" s="1633" t="s">
        <v>942</v>
      </c>
      <c r="BR638" s="1633" t="s">
        <v>943</v>
      </c>
      <c r="BS638" s="1633" t="s">
        <v>944</v>
      </c>
      <c r="BT638" s="1633" t="s">
        <v>2596</v>
      </c>
      <c r="BU638" s="1633" t="s">
        <v>2597</v>
      </c>
      <c r="BV638" s="1633" t="s">
        <v>2598</v>
      </c>
      <c r="BW638" s="1633" t="s">
        <v>2599</v>
      </c>
      <c r="BX638" s="1633" t="s">
        <v>2600</v>
      </c>
      <c r="BY638" s="1633" t="s">
        <v>120</v>
      </c>
      <c r="BZ638" s="1633" t="s">
        <v>1220</v>
      </c>
      <c r="CA638" s="1633" t="s">
        <v>1221</v>
      </c>
      <c r="CB638" s="1633" t="s">
        <v>1290</v>
      </c>
      <c r="CC638" s="1633" t="s">
        <v>1291</v>
      </c>
      <c r="CD638" s="1630" t="s">
        <v>135</v>
      </c>
      <c r="CE638" s="1630" t="s">
        <v>1292</v>
      </c>
      <c r="CF638" s="1630" t="s">
        <v>1293</v>
      </c>
      <c r="CG638" s="1630" t="s">
        <v>1294</v>
      </c>
      <c r="CH638" s="1630" t="s">
        <v>1295</v>
      </c>
      <c r="CI638" s="1630" t="s">
        <v>134</v>
      </c>
      <c r="CJ638" s="1630" t="s">
        <v>967</v>
      </c>
      <c r="CK638" s="1630" t="s">
        <v>968</v>
      </c>
      <c r="CL638" s="1630" t="s">
        <v>969</v>
      </c>
      <c r="CM638" s="1630" t="s">
        <v>970</v>
      </c>
      <c r="CN638" s="1630" t="s">
        <v>133</v>
      </c>
      <c r="CO638" s="1630" t="s">
        <v>971</v>
      </c>
      <c r="CP638" s="1630" t="s">
        <v>972</v>
      </c>
      <c r="CQ638" s="1630" t="s">
        <v>973</v>
      </c>
      <c r="CR638" s="1630" t="s">
        <v>974</v>
      </c>
      <c r="CS638" s="1630" t="s">
        <v>863</v>
      </c>
      <c r="CT638" s="1630" t="s">
        <v>864</v>
      </c>
      <c r="CU638" s="1630" t="s">
        <v>865</v>
      </c>
      <c r="CV638" s="1630" t="s">
        <v>866</v>
      </c>
      <c r="CW638" s="1630" t="s">
        <v>867</v>
      </c>
      <c r="CX638" s="1630" t="s">
        <v>1014</v>
      </c>
      <c r="CY638" s="1630" t="s">
        <v>1015</v>
      </c>
      <c r="CZ638" s="1630" t="s">
        <v>1016</v>
      </c>
      <c r="DA638" s="1630" t="s">
        <v>1017</v>
      </c>
      <c r="DB638" s="1630" t="s">
        <v>2595</v>
      </c>
      <c r="DC638" s="1630" t="s">
        <v>1527</v>
      </c>
      <c r="DD638" s="1630" t="s">
        <v>1528</v>
      </c>
      <c r="DE638" s="1630" t="s">
        <v>1529</v>
      </c>
      <c r="DF638" s="1630" t="s">
        <v>1530</v>
      </c>
      <c r="DG638" s="1630" t="s">
        <v>1531</v>
      </c>
      <c r="DH638" s="1630" t="s">
        <v>458</v>
      </c>
      <c r="DI638" s="1630" t="s">
        <v>459</v>
      </c>
      <c r="DJ638" s="1630" t="s">
        <v>460</v>
      </c>
      <c r="DK638" s="1630" t="s">
        <v>461</v>
      </c>
      <c r="DL638" s="1630" t="s">
        <v>462</v>
      </c>
      <c r="DM638" s="1630" t="s">
        <v>18</v>
      </c>
      <c r="DN638" s="1630" t="s">
        <v>19</v>
      </c>
      <c r="DO638" s="1630" t="s">
        <v>20</v>
      </c>
      <c r="DP638" s="1630" t="s">
        <v>21</v>
      </c>
      <c r="DQ638" s="1630" t="s">
        <v>22</v>
      </c>
      <c r="DR638" s="1630" t="s">
        <v>233</v>
      </c>
      <c r="DS638" s="1630" t="s">
        <v>234</v>
      </c>
      <c r="DT638" s="1630" t="s">
        <v>235</v>
      </c>
      <c r="DU638" s="1630" t="s">
        <v>1938</v>
      </c>
      <c r="DV638" s="1630" t="s">
        <v>1939</v>
      </c>
      <c r="DW638" s="1630" t="s">
        <v>1940</v>
      </c>
      <c r="DX638" s="1630" t="s">
        <v>630</v>
      </c>
      <c r="DY638" s="1630" t="s">
        <v>631</v>
      </c>
      <c r="DZ638" s="1630" t="s">
        <v>632</v>
      </c>
      <c r="EA638" s="1630" t="s">
        <v>633</v>
      </c>
      <c r="EB638" s="1630" t="s">
        <v>23</v>
      </c>
      <c r="EC638" s="1630" t="s">
        <v>24</v>
      </c>
      <c r="ED638" s="1630" t="s">
        <v>25</v>
      </c>
      <c r="EE638" s="1630" t="s">
        <v>26</v>
      </c>
      <c r="EF638" s="1630" t="s">
        <v>27</v>
      </c>
      <c r="EG638" s="1630" t="s">
        <v>527</v>
      </c>
      <c r="EH638" s="1630" t="s">
        <v>454</v>
      </c>
      <c r="EI638" s="1630" t="s">
        <v>455</v>
      </c>
      <c r="EJ638" s="1630" t="s">
        <v>456</v>
      </c>
      <c r="EK638" s="1630" t="s">
        <v>457</v>
      </c>
      <c r="EL638" s="1630" t="s">
        <v>2353</v>
      </c>
      <c r="EM638" s="1630" t="s">
        <v>2354</v>
      </c>
      <c r="EN638" s="1630" t="s">
        <v>2355</v>
      </c>
      <c r="EO638" s="1630" t="s">
        <v>1578</v>
      </c>
      <c r="EP638" s="1630" t="s">
        <v>1579</v>
      </c>
      <c r="EQ638" s="1630" t="s">
        <v>28</v>
      </c>
      <c r="ER638" s="1630" t="s">
        <v>29</v>
      </c>
      <c r="ES638" s="1630" t="s">
        <v>30</v>
      </c>
      <c r="ET638" s="1630" t="s">
        <v>31</v>
      </c>
      <c r="EU638" s="1630" t="s">
        <v>32</v>
      </c>
      <c r="EV638" s="826"/>
      <c r="EW638" s="826"/>
      <c r="EX638" s="826"/>
      <c r="EY638" s="826"/>
      <c r="EZ638" s="826"/>
      <c r="FA638" s="826"/>
      <c r="FB638" s="826"/>
      <c r="FC638" s="826"/>
      <c r="FD638" s="826"/>
      <c r="FE638" s="826"/>
      <c r="FF638" s="826"/>
      <c r="FG638" s="826"/>
      <c r="FH638" s="826"/>
      <c r="FI638" s="826"/>
      <c r="FJ638" s="826"/>
      <c r="FK638" s="826"/>
      <c r="FL638" s="826"/>
      <c r="FM638" s="826"/>
      <c r="FN638" s="826"/>
      <c r="FO638" s="826"/>
      <c r="FP638" s="826"/>
      <c r="FQ638" s="826"/>
      <c r="FR638" s="826"/>
      <c r="FS638" s="826"/>
      <c r="FT638" s="826"/>
      <c r="FU638" s="826"/>
      <c r="FV638" s="826"/>
      <c r="FW638" s="826"/>
      <c r="FX638" s="826"/>
      <c r="FY638" s="826"/>
      <c r="FZ638" s="826"/>
      <c r="GA638" s="826"/>
      <c r="GB638" s="826"/>
      <c r="GC638" s="826"/>
      <c r="GD638" s="826"/>
      <c r="GE638" s="826"/>
      <c r="GF638" s="826"/>
      <c r="GG638" s="826"/>
      <c r="GH638" s="826"/>
      <c r="GI638" s="826"/>
      <c r="GO638" s="1630" t="s">
        <v>1735</v>
      </c>
      <c r="GP638" s="1630" t="s">
        <v>2698</v>
      </c>
      <c r="GQ638" s="1630" t="s">
        <v>2699</v>
      </c>
      <c r="GR638" s="1630" t="s">
        <v>405</v>
      </c>
      <c r="GS638" s="1630" t="s">
        <v>406</v>
      </c>
      <c r="GT638" s="1630" t="s">
        <v>407</v>
      </c>
      <c r="GU638" s="1630" t="s">
        <v>408</v>
      </c>
      <c r="GV638" s="1630" t="s">
        <v>409</v>
      </c>
      <c r="GW638" s="1630" t="s">
        <v>410</v>
      </c>
      <c r="GX638" s="1630" t="s">
        <v>411</v>
      </c>
      <c r="GY638" s="1630" t="s">
        <v>210</v>
      </c>
      <c r="GZ638" s="1630" t="s">
        <v>211</v>
      </c>
      <c r="HA638" s="1630" t="s">
        <v>212</v>
      </c>
      <c r="HB638" s="1630" t="s">
        <v>213</v>
      </c>
      <c r="HC638" s="1630" t="s">
        <v>214</v>
      </c>
      <c r="HD638" s="1630" t="s">
        <v>215</v>
      </c>
      <c r="HE638" s="1630" t="s">
        <v>216</v>
      </c>
      <c r="HF638" s="1630" t="s">
        <v>217</v>
      </c>
      <c r="HG638" s="1630" t="s">
        <v>218</v>
      </c>
      <c r="HH638" s="1630" t="s">
        <v>219</v>
      </c>
      <c r="HI638" s="1630" t="s">
        <v>220</v>
      </c>
      <c r="HJ638" s="1630" t="s">
        <v>221</v>
      </c>
      <c r="HK638" s="1630" t="s">
        <v>222</v>
      </c>
      <c r="HL638" s="1630" t="s">
        <v>223</v>
      </c>
      <c r="HM638" s="1630" t="s">
        <v>224</v>
      </c>
    </row>
    <row r="639" spans="1:221" s="581" customFormat="1" ht="13.15" customHeight="1">
      <c r="B639" s="584" t="s">
        <v>1976</v>
      </c>
      <c r="E639" s="584"/>
      <c r="G639" s="826">
        <f>'Part VI-Revenues &amp; Expenses'!G5</f>
        <v>0</v>
      </c>
      <c r="N639" s="1125" t="s">
        <v>613</v>
      </c>
      <c r="P639" s="1082" t="s">
        <v>1097</v>
      </c>
      <c r="V639" s="1633"/>
      <c r="W639" s="1633"/>
      <c r="X639" s="1633"/>
      <c r="Y639" s="1633"/>
      <c r="Z639" s="1633"/>
      <c r="AA639" s="1633"/>
      <c r="AB639" s="1633"/>
      <c r="AC639" s="1633"/>
      <c r="AD639" s="1633"/>
      <c r="AE639" s="1633"/>
      <c r="AF639" s="1633"/>
      <c r="AG639" s="1633"/>
      <c r="AH639" s="1633"/>
      <c r="AI639" s="1633"/>
      <c r="AJ639" s="1633"/>
      <c r="AK639" s="1633"/>
      <c r="AL639" s="1633"/>
      <c r="AM639" s="1633"/>
      <c r="AN639" s="1633"/>
      <c r="AO639" s="1633"/>
      <c r="AP639" s="1633"/>
      <c r="AQ639" s="1633"/>
      <c r="AR639" s="1633"/>
      <c r="AS639" s="1633"/>
      <c r="AT639" s="1633"/>
      <c r="AU639" s="1633"/>
      <c r="AV639" s="1633"/>
      <c r="AW639" s="1633"/>
      <c r="AX639" s="1633"/>
      <c r="AY639" s="1633"/>
      <c r="AZ639" s="1633"/>
      <c r="BA639" s="1633"/>
      <c r="BB639" s="1633"/>
      <c r="BC639" s="1633"/>
      <c r="BD639" s="1633"/>
      <c r="BE639" s="1633"/>
      <c r="BF639" s="1633"/>
      <c r="BG639" s="1633"/>
      <c r="BH639" s="1633"/>
      <c r="BI639" s="1633"/>
      <c r="BJ639" s="1633"/>
      <c r="BK639" s="1633"/>
      <c r="BL639" s="1633"/>
      <c r="BM639" s="1633"/>
      <c r="BN639" s="1633"/>
      <c r="BO639" s="1633"/>
      <c r="BP639" s="1633"/>
      <c r="BQ639" s="1633"/>
      <c r="BR639" s="1633"/>
      <c r="BS639" s="1633"/>
      <c r="BT639" s="1633"/>
      <c r="BU639" s="1633"/>
      <c r="BV639" s="1633"/>
      <c r="BW639" s="1633"/>
      <c r="BX639" s="1633"/>
      <c r="BY639" s="1633"/>
      <c r="BZ639" s="1633"/>
      <c r="CA639" s="1633"/>
      <c r="CB639" s="1633"/>
      <c r="CC639" s="1633"/>
      <c r="CD639" s="1630"/>
      <c r="CE639" s="1630"/>
      <c r="CF639" s="1630"/>
      <c r="CG639" s="1630"/>
      <c r="CH639" s="1630"/>
      <c r="CI639" s="1630"/>
      <c r="CJ639" s="1630"/>
      <c r="CK639" s="1630"/>
      <c r="CL639" s="1630"/>
      <c r="CM639" s="1630"/>
      <c r="CN639" s="1630"/>
      <c r="CO639" s="1630"/>
      <c r="CP639" s="1630"/>
      <c r="CQ639" s="1630"/>
      <c r="CR639" s="1630"/>
      <c r="CS639" s="1630"/>
      <c r="CT639" s="1630"/>
      <c r="CU639" s="1630"/>
      <c r="CV639" s="1630"/>
      <c r="CW639" s="1630"/>
      <c r="CX639" s="1630"/>
      <c r="CY639" s="1630"/>
      <c r="CZ639" s="1630"/>
      <c r="DA639" s="1630"/>
      <c r="DB639" s="1630"/>
      <c r="DC639" s="1630"/>
      <c r="DD639" s="1630"/>
      <c r="DE639" s="1630"/>
      <c r="DF639" s="1630"/>
      <c r="DG639" s="1630"/>
      <c r="DH639" s="1630"/>
      <c r="DI639" s="1630"/>
      <c r="DJ639" s="1630"/>
      <c r="DK639" s="1630"/>
      <c r="DL639" s="1630"/>
      <c r="DM639" s="1630"/>
      <c r="DN639" s="1630"/>
      <c r="DO639" s="1630"/>
      <c r="DP639" s="1630"/>
      <c r="DQ639" s="1630"/>
      <c r="DR639" s="1630"/>
      <c r="DS639" s="1630"/>
      <c r="DT639" s="1630"/>
      <c r="DU639" s="1630"/>
      <c r="DV639" s="1630"/>
      <c r="DW639" s="1630"/>
      <c r="DX639" s="1630"/>
      <c r="DY639" s="1630"/>
      <c r="DZ639" s="1630"/>
      <c r="EA639" s="1630"/>
      <c r="EB639" s="1630"/>
      <c r="EC639" s="1630"/>
      <c r="ED639" s="1630"/>
      <c r="EE639" s="1630"/>
      <c r="EF639" s="1630"/>
      <c r="EG639" s="1630"/>
      <c r="EH639" s="1630"/>
      <c r="EI639" s="1630"/>
      <c r="EJ639" s="1630"/>
      <c r="EK639" s="1630"/>
      <c r="EL639" s="1630"/>
      <c r="EM639" s="1630"/>
      <c r="EN639" s="1630"/>
      <c r="EO639" s="1630"/>
      <c r="EP639" s="1630"/>
      <c r="EQ639" s="1630"/>
      <c r="ER639" s="1630"/>
      <c r="ES639" s="1630"/>
      <c r="ET639" s="1630"/>
      <c r="EU639" s="1630"/>
      <c r="EV639" s="826"/>
      <c r="EW639" s="826"/>
      <c r="EX639" s="826"/>
      <c r="EY639" s="826"/>
      <c r="EZ639" s="826"/>
      <c r="FA639" s="826"/>
      <c r="FB639" s="826"/>
      <c r="FC639" s="826"/>
      <c r="FD639" s="826"/>
      <c r="FE639" s="826"/>
      <c r="FF639" s="826"/>
      <c r="FG639" s="826"/>
      <c r="FH639" s="826"/>
      <c r="FI639" s="826"/>
      <c r="FJ639" s="826"/>
      <c r="FK639" s="826"/>
      <c r="FL639" s="826"/>
      <c r="FM639" s="826"/>
      <c r="FN639" s="826"/>
      <c r="FO639" s="826"/>
      <c r="FP639" s="826"/>
      <c r="FQ639" s="826"/>
      <c r="FR639" s="826"/>
      <c r="FS639" s="826"/>
      <c r="FT639" s="826"/>
      <c r="FU639" s="826"/>
      <c r="FV639" s="826"/>
      <c r="FW639" s="826"/>
      <c r="FX639" s="826"/>
      <c r="FY639" s="826"/>
      <c r="FZ639" s="826"/>
      <c r="GA639" s="826"/>
      <c r="GB639" s="826"/>
      <c r="GC639" s="826"/>
      <c r="GD639" s="826"/>
      <c r="GE639" s="826"/>
      <c r="GF639" s="826"/>
      <c r="GG639" s="826"/>
      <c r="GH639" s="826"/>
      <c r="GI639" s="826"/>
      <c r="GO639" s="1630"/>
      <c r="GP639" s="1630"/>
      <c r="GQ639" s="1630"/>
      <c r="GR639" s="1630"/>
      <c r="GS639" s="1630"/>
      <c r="GT639" s="1630"/>
      <c r="GU639" s="1630"/>
      <c r="GV639" s="1630"/>
      <c r="GW639" s="1630"/>
      <c r="GX639" s="1630"/>
      <c r="GY639" s="1630"/>
      <c r="GZ639" s="1630"/>
      <c r="HA639" s="1630"/>
      <c r="HB639" s="1630"/>
      <c r="HC639" s="1630"/>
      <c r="HD639" s="1630"/>
      <c r="HE639" s="1630"/>
      <c r="HF639" s="1630"/>
      <c r="HG639" s="1630"/>
      <c r="HH639" s="1630"/>
      <c r="HI639" s="1630"/>
      <c r="HJ639" s="1630"/>
      <c r="HK639" s="1630"/>
      <c r="HL639" s="1630"/>
      <c r="HM639" s="1630"/>
    </row>
    <row r="640" spans="1:221" s="581" customFormat="1" ht="13.15" customHeight="1">
      <c r="B640" s="1117" t="s">
        <v>1931</v>
      </c>
      <c r="E640" s="584"/>
      <c r="G640" s="830" t="str">
        <f>'Part VI-Revenues &amp; Expenses'!G6</f>
        <v>Yes</v>
      </c>
      <c r="J640" s="1068" t="s">
        <v>2569</v>
      </c>
      <c r="N640" s="1631" t="str">
        <f>'Part I-Project Information'!$O$29</f>
        <v>Atlanta-Sandy Springs-Marietta</v>
      </c>
      <c r="O640" s="1631"/>
      <c r="P640" s="516">
        <f>VLOOKUP('Part I-Project Information'!$O$29,'DCA Underwriting Assumptions'!$C$82:$D$192,2)</f>
        <v>64400</v>
      </c>
      <c r="R640" s="1598" t="s">
        <v>2931</v>
      </c>
      <c r="S640" s="1598"/>
      <c r="V640" s="1633"/>
      <c r="W640" s="1633"/>
      <c r="X640" s="1633"/>
      <c r="Y640" s="1633"/>
      <c r="Z640" s="1633"/>
      <c r="AA640" s="1633"/>
      <c r="AB640" s="1633"/>
      <c r="AC640" s="1633"/>
      <c r="AD640" s="1633"/>
      <c r="AE640" s="1633"/>
      <c r="AF640" s="1633"/>
      <c r="AG640" s="1633"/>
      <c r="AH640" s="1633"/>
      <c r="AI640" s="1633"/>
      <c r="AJ640" s="1633"/>
      <c r="AK640" s="1633"/>
      <c r="AL640" s="1633"/>
      <c r="AM640" s="1633"/>
      <c r="AN640" s="1633"/>
      <c r="AO640" s="1633"/>
      <c r="AP640" s="1633"/>
      <c r="AQ640" s="1633"/>
      <c r="AR640" s="1633"/>
      <c r="AS640" s="1633"/>
      <c r="AT640" s="1633"/>
      <c r="AU640" s="1633"/>
      <c r="AV640" s="1633"/>
      <c r="AW640" s="1633"/>
      <c r="AX640" s="1633"/>
      <c r="AY640" s="1633"/>
      <c r="AZ640" s="1633"/>
      <c r="BA640" s="1633"/>
      <c r="BB640" s="1633"/>
      <c r="BC640" s="1633"/>
      <c r="BD640" s="1633"/>
      <c r="BE640" s="1633"/>
      <c r="BF640" s="1633"/>
      <c r="BG640" s="1633"/>
      <c r="BH640" s="1633"/>
      <c r="BI640" s="1633"/>
      <c r="BJ640" s="1633"/>
      <c r="BK640" s="1633"/>
      <c r="BL640" s="1633"/>
      <c r="BM640" s="1633"/>
      <c r="BN640" s="1633"/>
      <c r="BO640" s="1633"/>
      <c r="BP640" s="1633"/>
      <c r="BQ640" s="1633"/>
      <c r="BR640" s="1633"/>
      <c r="BS640" s="1633"/>
      <c r="BT640" s="1633"/>
      <c r="BU640" s="1633"/>
      <c r="BV640" s="1633"/>
      <c r="BW640" s="1633"/>
      <c r="BX640" s="1633"/>
      <c r="BY640" s="1633"/>
      <c r="BZ640" s="1633"/>
      <c r="CA640" s="1633"/>
      <c r="CB640" s="1633"/>
      <c r="CC640" s="1633"/>
      <c r="CD640" s="1630"/>
      <c r="CE640" s="1630"/>
      <c r="CF640" s="1630"/>
      <c r="CG640" s="1630"/>
      <c r="CH640" s="1630"/>
      <c r="CI640" s="1630"/>
      <c r="CJ640" s="1630"/>
      <c r="CK640" s="1630"/>
      <c r="CL640" s="1630"/>
      <c r="CM640" s="1630"/>
      <c r="CN640" s="1630"/>
      <c r="CO640" s="1630"/>
      <c r="CP640" s="1630"/>
      <c r="CQ640" s="1630"/>
      <c r="CR640" s="1630"/>
      <c r="CS640" s="1630"/>
      <c r="CT640" s="1630"/>
      <c r="CU640" s="1630"/>
      <c r="CV640" s="1630"/>
      <c r="CW640" s="1630"/>
      <c r="CX640" s="1630"/>
      <c r="CY640" s="1630"/>
      <c r="CZ640" s="1630"/>
      <c r="DA640" s="1630"/>
      <c r="DB640" s="1630"/>
      <c r="DC640" s="1630"/>
      <c r="DD640" s="1630"/>
      <c r="DE640" s="1630"/>
      <c r="DF640" s="1630"/>
      <c r="DG640" s="1630"/>
      <c r="DH640" s="1630"/>
      <c r="DI640" s="1630"/>
      <c r="DJ640" s="1630"/>
      <c r="DK640" s="1630"/>
      <c r="DL640" s="1630"/>
      <c r="DM640" s="1630"/>
      <c r="DN640" s="1630"/>
      <c r="DO640" s="1630"/>
      <c r="DP640" s="1630"/>
      <c r="DQ640" s="1630"/>
      <c r="DR640" s="1630"/>
      <c r="DS640" s="1630"/>
      <c r="DT640" s="1630"/>
      <c r="DU640" s="1630"/>
      <c r="DV640" s="1630"/>
      <c r="DW640" s="1630"/>
      <c r="DX640" s="1630"/>
      <c r="DY640" s="1630"/>
      <c r="DZ640" s="1630"/>
      <c r="EA640" s="1630"/>
      <c r="EB640" s="1630"/>
      <c r="EC640" s="1630"/>
      <c r="ED640" s="1630"/>
      <c r="EE640" s="1630"/>
      <c r="EF640" s="1630"/>
      <c r="EG640" s="1630"/>
      <c r="EH640" s="1630"/>
      <c r="EI640" s="1630"/>
      <c r="EJ640" s="1630"/>
      <c r="EK640" s="1630"/>
      <c r="EL640" s="1630"/>
      <c r="EM640" s="1630"/>
      <c r="EN640" s="1630"/>
      <c r="EO640" s="1630"/>
      <c r="EP640" s="1630"/>
      <c r="EQ640" s="1630"/>
      <c r="ER640" s="1630"/>
      <c r="ES640" s="1630"/>
      <c r="ET640" s="1630"/>
      <c r="EU640" s="1630"/>
      <c r="EV640" s="826"/>
      <c r="EW640" s="826"/>
      <c r="EX640" s="826"/>
      <c r="EY640" s="826"/>
      <c r="EZ640" s="826"/>
      <c r="FA640" s="826"/>
      <c r="FB640" s="826"/>
      <c r="FC640" s="826"/>
      <c r="FD640" s="826"/>
      <c r="FE640" s="826"/>
      <c r="FF640" s="826"/>
      <c r="FG640" s="826"/>
      <c r="FH640" s="826"/>
      <c r="FI640" s="826"/>
      <c r="FJ640" s="826"/>
      <c r="FK640" s="826"/>
      <c r="FL640" s="826"/>
      <c r="FM640" s="826"/>
      <c r="FN640" s="826"/>
      <c r="FO640" s="826"/>
      <c r="FP640" s="826"/>
      <c r="FQ640" s="826"/>
      <c r="FR640" s="826"/>
      <c r="FS640" s="826"/>
      <c r="FT640" s="826"/>
      <c r="FU640" s="826"/>
      <c r="FV640" s="826"/>
      <c r="FW640" s="826"/>
      <c r="FX640" s="826"/>
      <c r="FY640" s="826"/>
      <c r="FZ640" s="826"/>
      <c r="GA640" s="826"/>
      <c r="GB640" s="826"/>
      <c r="GC640" s="826"/>
      <c r="GD640" s="826"/>
      <c r="GE640" s="826"/>
      <c r="GF640" s="826"/>
      <c r="GG640" s="826"/>
      <c r="GH640" s="826"/>
      <c r="GI640" s="826"/>
      <c r="GO640" s="1630"/>
      <c r="GP640" s="1630"/>
      <c r="GQ640" s="1630"/>
      <c r="GR640" s="1630"/>
      <c r="GS640" s="1630"/>
      <c r="GT640" s="1630"/>
      <c r="GU640" s="1630"/>
      <c r="GV640" s="1630"/>
      <c r="GW640" s="1630"/>
      <c r="GX640" s="1630"/>
      <c r="GY640" s="1630"/>
      <c r="GZ640" s="1630"/>
      <c r="HA640" s="1630"/>
      <c r="HB640" s="1630"/>
      <c r="HC640" s="1630"/>
      <c r="HD640" s="1630"/>
      <c r="HE640" s="1630"/>
      <c r="HF640" s="1630"/>
      <c r="HG640" s="1630"/>
      <c r="HH640" s="1630"/>
      <c r="HI640" s="1630"/>
      <c r="HJ640" s="1630"/>
      <c r="HK640" s="1630"/>
      <c r="HL640" s="1630"/>
      <c r="HM640" s="1630"/>
    </row>
    <row r="641" spans="1:221" s="581" customFormat="1" ht="13.9" customHeight="1">
      <c r="A641" s="1632" t="str">
        <f>IF(A682&gt;0,"Finish!","")</f>
        <v/>
      </c>
      <c r="B641" s="584"/>
      <c r="D641" s="584"/>
      <c r="J641" s="1068" t="s">
        <v>2570</v>
      </c>
      <c r="N641" s="1074"/>
      <c r="O641" s="1074"/>
      <c r="P641" s="1074"/>
      <c r="Q641" s="1074"/>
      <c r="R641" s="602"/>
      <c r="S641" s="1124" t="s">
        <v>2928</v>
      </c>
      <c r="T641" s="1074"/>
      <c r="V641" s="1633"/>
      <c r="W641" s="1633"/>
      <c r="X641" s="1633"/>
      <c r="Y641" s="1633"/>
      <c r="Z641" s="1633"/>
      <c r="AA641" s="1633"/>
      <c r="AB641" s="1633"/>
      <c r="AC641" s="1633"/>
      <c r="AD641" s="1633"/>
      <c r="AE641" s="1633"/>
      <c r="AF641" s="1633"/>
      <c r="AG641" s="1633"/>
      <c r="AH641" s="1633"/>
      <c r="AI641" s="1633"/>
      <c r="AJ641" s="1633"/>
      <c r="AK641" s="1633"/>
      <c r="AL641" s="1633"/>
      <c r="AM641" s="1633"/>
      <c r="AN641" s="1633"/>
      <c r="AO641" s="1633"/>
      <c r="AP641" s="1633"/>
      <c r="AQ641" s="1633"/>
      <c r="AR641" s="1633"/>
      <c r="AS641" s="1633"/>
      <c r="AT641" s="1633"/>
      <c r="AU641" s="1633"/>
      <c r="AV641" s="1633"/>
      <c r="AW641" s="1633"/>
      <c r="AX641" s="1633"/>
      <c r="AY641" s="1633"/>
      <c r="AZ641" s="1633"/>
      <c r="BA641" s="1633"/>
      <c r="BB641" s="1633"/>
      <c r="BC641" s="1633"/>
      <c r="BD641" s="1633"/>
      <c r="BE641" s="1633"/>
      <c r="BF641" s="1633"/>
      <c r="BG641" s="1633"/>
      <c r="BH641" s="1633"/>
      <c r="BI641" s="1633"/>
      <c r="BJ641" s="1633"/>
      <c r="BK641" s="1633"/>
      <c r="BL641" s="1633"/>
      <c r="BM641" s="1633"/>
      <c r="BN641" s="1633"/>
      <c r="BO641" s="1633"/>
      <c r="BP641" s="1633"/>
      <c r="BQ641" s="1633"/>
      <c r="BR641" s="1633"/>
      <c r="BS641" s="1633"/>
      <c r="BT641" s="1633"/>
      <c r="BU641" s="1633"/>
      <c r="BV641" s="1633"/>
      <c r="BW641" s="1633"/>
      <c r="BX641" s="1633"/>
      <c r="BY641" s="1633"/>
      <c r="BZ641" s="1633"/>
      <c r="CA641" s="1633"/>
      <c r="CB641" s="1633"/>
      <c r="CC641" s="1633"/>
      <c r="CD641" s="1630"/>
      <c r="CE641" s="1630"/>
      <c r="CF641" s="1630"/>
      <c r="CG641" s="1630"/>
      <c r="CH641" s="1630"/>
      <c r="CI641" s="1630"/>
      <c r="CJ641" s="1630"/>
      <c r="CK641" s="1630"/>
      <c r="CL641" s="1630"/>
      <c r="CM641" s="1630"/>
      <c r="CN641" s="1630"/>
      <c r="CO641" s="1630"/>
      <c r="CP641" s="1630"/>
      <c r="CQ641" s="1630"/>
      <c r="CR641" s="1630"/>
      <c r="CS641" s="1630"/>
      <c r="CT641" s="1630"/>
      <c r="CU641" s="1630"/>
      <c r="CV641" s="1630"/>
      <c r="CW641" s="1630"/>
      <c r="CX641" s="1630"/>
      <c r="CY641" s="1630"/>
      <c r="CZ641" s="1630"/>
      <c r="DA641" s="1630"/>
      <c r="DB641" s="1630"/>
      <c r="DC641" s="1630"/>
      <c r="DD641" s="1630"/>
      <c r="DE641" s="1630"/>
      <c r="DF641" s="1630"/>
      <c r="DG641" s="1630"/>
      <c r="DH641" s="1630"/>
      <c r="DI641" s="1630"/>
      <c r="DJ641" s="1630"/>
      <c r="DK641" s="1630"/>
      <c r="DL641" s="1630"/>
      <c r="DM641" s="1630"/>
      <c r="DN641" s="1630"/>
      <c r="DO641" s="1630"/>
      <c r="DP641" s="1630"/>
      <c r="DQ641" s="1630"/>
      <c r="DR641" s="1630"/>
      <c r="DS641" s="1630"/>
      <c r="DT641" s="1630"/>
      <c r="DU641" s="1630"/>
      <c r="DV641" s="1630"/>
      <c r="DW641" s="1630"/>
      <c r="DX641" s="1630"/>
      <c r="DY641" s="1630"/>
      <c r="DZ641" s="1630"/>
      <c r="EA641" s="1630"/>
      <c r="EB641" s="1630"/>
      <c r="EC641" s="1630"/>
      <c r="ED641" s="1630"/>
      <c r="EE641" s="1630"/>
      <c r="EF641" s="1630"/>
      <c r="EG641" s="1630"/>
      <c r="EH641" s="1630"/>
      <c r="EI641" s="1630"/>
      <c r="EJ641" s="1630"/>
      <c r="EK641" s="1630"/>
      <c r="EL641" s="1630"/>
      <c r="EM641" s="1630"/>
      <c r="EN641" s="1630"/>
      <c r="EO641" s="1630"/>
      <c r="EP641" s="1630"/>
      <c r="EQ641" s="1630"/>
      <c r="ER641" s="1630"/>
      <c r="ES641" s="1630"/>
      <c r="ET641" s="1630"/>
      <c r="EU641" s="1630"/>
      <c r="EV641" s="826"/>
      <c r="EW641" s="826"/>
      <c r="EX641" s="826"/>
      <c r="EY641" s="826"/>
      <c r="EZ641" s="826"/>
      <c r="FA641" s="826"/>
      <c r="FB641" s="826"/>
      <c r="FC641" s="826"/>
      <c r="FD641" s="826"/>
      <c r="FE641" s="826"/>
      <c r="FF641" s="826"/>
      <c r="FG641" s="826"/>
      <c r="FH641" s="826"/>
      <c r="FI641" s="826"/>
      <c r="FJ641" s="826"/>
      <c r="FK641" s="826"/>
      <c r="FL641" s="826"/>
      <c r="FM641" s="826"/>
      <c r="FN641" s="826"/>
      <c r="FO641" s="826"/>
      <c r="FP641" s="826"/>
      <c r="FQ641" s="826"/>
      <c r="FR641" s="826"/>
      <c r="FS641" s="826"/>
      <c r="FT641" s="826"/>
      <c r="FU641" s="826"/>
      <c r="FV641" s="826"/>
      <c r="FW641" s="826"/>
      <c r="FX641" s="826"/>
      <c r="FY641" s="826"/>
      <c r="FZ641" s="826"/>
      <c r="GA641" s="826"/>
      <c r="GB641" s="826"/>
      <c r="GC641" s="826"/>
      <c r="GD641" s="826"/>
      <c r="GE641" s="826"/>
      <c r="GF641" s="826"/>
      <c r="GG641" s="826"/>
      <c r="GH641" s="826"/>
      <c r="GI641" s="826"/>
      <c r="GO641" s="1630"/>
      <c r="GP641" s="1630"/>
      <c r="GQ641" s="1630"/>
      <c r="GR641" s="1630"/>
      <c r="GS641" s="1630"/>
      <c r="GT641" s="1630"/>
      <c r="GU641" s="1630"/>
      <c r="GV641" s="1630"/>
      <c r="GW641" s="1630"/>
      <c r="GX641" s="1630"/>
      <c r="GY641" s="1630"/>
      <c r="GZ641" s="1630"/>
      <c r="HA641" s="1630"/>
      <c r="HB641" s="1630"/>
      <c r="HC641" s="1630"/>
      <c r="HD641" s="1630"/>
      <c r="HE641" s="1630"/>
      <c r="HF641" s="1630"/>
      <c r="HG641" s="1630"/>
      <c r="HH641" s="1630"/>
      <c r="HI641" s="1630"/>
      <c r="HJ641" s="1630"/>
      <c r="HK641" s="1630"/>
      <c r="HL641" s="1630"/>
      <c r="HM641" s="1630"/>
    </row>
    <row r="642" spans="1:221" s="827" customFormat="1" ht="13.9" customHeight="1">
      <c r="A642" s="1632"/>
      <c r="B642" s="904" t="s">
        <v>1577</v>
      </c>
      <c r="C642" s="1068" t="s">
        <v>179</v>
      </c>
      <c r="D642" s="1068" t="s">
        <v>578</v>
      </c>
      <c r="E642" s="1068" t="s">
        <v>1575</v>
      </c>
      <c r="F642" s="1068" t="s">
        <v>1575</v>
      </c>
      <c r="G642" s="1068" t="s">
        <v>2547</v>
      </c>
      <c r="H642" s="1068" t="s">
        <v>2545</v>
      </c>
      <c r="I642" s="1068" t="s">
        <v>852</v>
      </c>
      <c r="J642" s="1068" t="s">
        <v>3672</v>
      </c>
      <c r="K642" s="1582" t="s">
        <v>148</v>
      </c>
      <c r="L642" s="1582"/>
      <c r="M642" s="1068" t="s">
        <v>2523</v>
      </c>
      <c r="N642" s="1068" t="s">
        <v>565</v>
      </c>
      <c r="O642" s="1068" t="s">
        <v>402</v>
      </c>
      <c r="P642" s="1582" t="s">
        <v>1104</v>
      </c>
      <c r="Q642" s="1582"/>
      <c r="R642" s="1068" t="s">
        <v>2927</v>
      </c>
      <c r="S642" s="1068" t="s">
        <v>2929</v>
      </c>
      <c r="T642" s="1068"/>
      <c r="V642" s="1633"/>
      <c r="W642" s="1633"/>
      <c r="X642" s="1633"/>
      <c r="Y642" s="1633"/>
      <c r="Z642" s="1633"/>
      <c r="AA642" s="1633"/>
      <c r="AB642" s="1633"/>
      <c r="AC642" s="1633"/>
      <c r="AD642" s="1633"/>
      <c r="AE642" s="1633"/>
      <c r="AF642" s="1633"/>
      <c r="AG642" s="1633"/>
      <c r="AH642" s="1633"/>
      <c r="AI642" s="1633"/>
      <c r="AJ642" s="1633"/>
      <c r="AK642" s="1633"/>
      <c r="AL642" s="1633"/>
      <c r="AM642" s="1633"/>
      <c r="AN642" s="1633"/>
      <c r="AO642" s="1633"/>
      <c r="AP642" s="1633"/>
      <c r="AQ642" s="1633"/>
      <c r="AR642" s="1633"/>
      <c r="AS642" s="1633"/>
      <c r="AT642" s="1633"/>
      <c r="AU642" s="1633"/>
      <c r="AV642" s="1633"/>
      <c r="AW642" s="1633"/>
      <c r="AX642" s="1633"/>
      <c r="AY642" s="1633"/>
      <c r="AZ642" s="1633"/>
      <c r="BA642" s="1633"/>
      <c r="BB642" s="1633"/>
      <c r="BC642" s="1633"/>
      <c r="BD642" s="1633"/>
      <c r="BE642" s="1633"/>
      <c r="BF642" s="1633"/>
      <c r="BG642" s="1633"/>
      <c r="BH642" s="1633"/>
      <c r="BI642" s="1633"/>
      <c r="BJ642" s="1633"/>
      <c r="BK642" s="1633"/>
      <c r="BL642" s="1633"/>
      <c r="BM642" s="1633"/>
      <c r="BN642" s="1633"/>
      <c r="BO642" s="1633"/>
      <c r="BP642" s="1633"/>
      <c r="BQ642" s="1633"/>
      <c r="BR642" s="1633"/>
      <c r="BS642" s="1633"/>
      <c r="BT642" s="1633"/>
      <c r="BU642" s="1633"/>
      <c r="BV642" s="1633"/>
      <c r="BW642" s="1633"/>
      <c r="BX642" s="1633"/>
      <c r="BY642" s="1633"/>
      <c r="BZ642" s="1633"/>
      <c r="CA642" s="1633"/>
      <c r="CB642" s="1633"/>
      <c r="CC642" s="1633"/>
      <c r="CD642" s="1630"/>
      <c r="CE642" s="1630"/>
      <c r="CF642" s="1630"/>
      <c r="CG642" s="1630"/>
      <c r="CH642" s="1630"/>
      <c r="CI642" s="1630"/>
      <c r="CJ642" s="1630"/>
      <c r="CK642" s="1630"/>
      <c r="CL642" s="1630"/>
      <c r="CM642" s="1630"/>
      <c r="CN642" s="1630"/>
      <c r="CO642" s="1630"/>
      <c r="CP642" s="1630"/>
      <c r="CQ642" s="1630"/>
      <c r="CR642" s="1630"/>
      <c r="CS642" s="1630"/>
      <c r="CT642" s="1630"/>
      <c r="CU642" s="1630"/>
      <c r="CV642" s="1630"/>
      <c r="CW642" s="1630"/>
      <c r="CX642" s="1630"/>
      <c r="CY642" s="1630"/>
      <c r="CZ642" s="1630"/>
      <c r="DA642" s="1630"/>
      <c r="DB642" s="1630"/>
      <c r="DC642" s="1630"/>
      <c r="DD642" s="1630"/>
      <c r="DE642" s="1630"/>
      <c r="DF642" s="1630"/>
      <c r="DG642" s="1630"/>
      <c r="DH642" s="1630"/>
      <c r="DI642" s="1630"/>
      <c r="DJ642" s="1630"/>
      <c r="DK642" s="1630"/>
      <c r="DL642" s="1630"/>
      <c r="DM642" s="1630"/>
      <c r="DN642" s="1630"/>
      <c r="DO642" s="1630"/>
      <c r="DP642" s="1630"/>
      <c r="DQ642" s="1630"/>
      <c r="DR642" s="1630"/>
      <c r="DS642" s="1630"/>
      <c r="DT642" s="1630"/>
      <c r="DU642" s="1630"/>
      <c r="DV642" s="1630"/>
      <c r="DW642" s="1630"/>
      <c r="DX642" s="1630"/>
      <c r="DY642" s="1630"/>
      <c r="DZ642" s="1630"/>
      <c r="EA642" s="1630"/>
      <c r="EB642" s="1630"/>
      <c r="EC642" s="1630"/>
      <c r="ED642" s="1630"/>
      <c r="EE642" s="1630"/>
      <c r="EF642" s="1630"/>
      <c r="EG642" s="1630"/>
      <c r="EH642" s="1630"/>
      <c r="EI642" s="1630"/>
      <c r="EJ642" s="1630"/>
      <c r="EK642" s="1630"/>
      <c r="EL642" s="1630"/>
      <c r="EM642" s="1630"/>
      <c r="EN642" s="1630"/>
      <c r="EO642" s="1630"/>
      <c r="EP642" s="1630"/>
      <c r="EQ642" s="1630"/>
      <c r="ER642" s="1630"/>
      <c r="ES642" s="1630"/>
      <c r="ET642" s="1630"/>
      <c r="EU642" s="1630"/>
      <c r="EV642" s="1630" t="s">
        <v>1558</v>
      </c>
      <c r="EW642" s="830" t="s">
        <v>2606</v>
      </c>
      <c r="EX642" s="830" t="s">
        <v>2607</v>
      </c>
      <c r="EY642" s="830" t="s">
        <v>2608</v>
      </c>
      <c r="EZ642" s="830" t="s">
        <v>2609</v>
      </c>
      <c r="FA642" s="1630" t="s">
        <v>2667</v>
      </c>
      <c r="FB642" s="1630" t="s">
        <v>2667</v>
      </c>
      <c r="FC642" s="1630" t="s">
        <v>2667</v>
      </c>
      <c r="FD642" s="1630" t="s">
        <v>2667</v>
      </c>
      <c r="FE642" s="1630" t="s">
        <v>2667</v>
      </c>
      <c r="FF642" s="830" t="s">
        <v>516</v>
      </c>
      <c r="FG642" s="830" t="s">
        <v>2606</v>
      </c>
      <c r="FH642" s="830" t="s">
        <v>2607</v>
      </c>
      <c r="FI642" s="830" t="s">
        <v>2608</v>
      </c>
      <c r="FJ642" s="830" t="s">
        <v>2609</v>
      </c>
      <c r="FK642" s="1630" t="s">
        <v>2669</v>
      </c>
      <c r="FL642" s="1630" t="s">
        <v>2669</v>
      </c>
      <c r="FM642" s="1630" t="s">
        <v>2669</v>
      </c>
      <c r="FN642" s="1630" t="s">
        <v>2669</v>
      </c>
      <c r="FO642" s="1630" t="s">
        <v>2669</v>
      </c>
      <c r="FP642" s="1630" t="s">
        <v>377</v>
      </c>
      <c r="FQ642" s="1630" t="s">
        <v>377</v>
      </c>
      <c r="FR642" s="1630" t="s">
        <v>377</v>
      </c>
      <c r="FS642" s="1630" t="s">
        <v>377</v>
      </c>
      <c r="FT642" s="1630" t="s">
        <v>377</v>
      </c>
      <c r="FU642" s="1630" t="s">
        <v>378</v>
      </c>
      <c r="FV642" s="1630" t="s">
        <v>378</v>
      </c>
      <c r="FW642" s="1630" t="s">
        <v>378</v>
      </c>
      <c r="FX642" s="1630" t="s">
        <v>378</v>
      </c>
      <c r="FY642" s="1630" t="s">
        <v>378</v>
      </c>
      <c r="FZ642" s="1630" t="s">
        <v>379</v>
      </c>
      <c r="GA642" s="1630" t="s">
        <v>379</v>
      </c>
      <c r="GB642" s="1630" t="s">
        <v>379</v>
      </c>
      <c r="GC642" s="1630" t="s">
        <v>379</v>
      </c>
      <c r="GD642" s="1630" t="s">
        <v>379</v>
      </c>
      <c r="GE642" s="1630" t="s">
        <v>380</v>
      </c>
      <c r="GF642" s="1630" t="s">
        <v>380</v>
      </c>
      <c r="GG642" s="1630" t="s">
        <v>380</v>
      </c>
      <c r="GH642" s="1630" t="s">
        <v>380</v>
      </c>
      <c r="GI642" s="1630" t="s">
        <v>380</v>
      </c>
      <c r="GJ642" s="1630" t="s">
        <v>1557</v>
      </c>
      <c r="GK642" s="1630" t="s">
        <v>1557</v>
      </c>
      <c r="GL642" s="1630" t="s">
        <v>1557</v>
      </c>
      <c r="GM642" s="1630" t="s">
        <v>1557</v>
      </c>
      <c r="GN642" s="1630" t="s">
        <v>1557</v>
      </c>
      <c r="GO642" s="1630"/>
      <c r="GP642" s="1630"/>
      <c r="GQ642" s="1630"/>
      <c r="GR642" s="1630"/>
      <c r="GS642" s="1630"/>
      <c r="GT642" s="1630"/>
      <c r="GU642" s="1630"/>
      <c r="GV642" s="1630"/>
      <c r="GW642" s="1630"/>
      <c r="GX642" s="1630"/>
      <c r="GY642" s="1630"/>
      <c r="GZ642" s="1630"/>
      <c r="HA642" s="1630"/>
      <c r="HB642" s="1630"/>
      <c r="HC642" s="1630"/>
      <c r="HD642" s="1630"/>
      <c r="HE642" s="1630"/>
      <c r="HF642" s="1630"/>
      <c r="HG642" s="1630"/>
      <c r="HH642" s="1630"/>
      <c r="HI642" s="1630"/>
      <c r="HJ642" s="1630"/>
      <c r="HK642" s="1630"/>
      <c r="HL642" s="1630"/>
      <c r="HM642" s="1630"/>
    </row>
    <row r="643" spans="1:221" s="827" customFormat="1" ht="13.9" customHeight="1">
      <c r="A643" s="1632"/>
      <c r="B643" s="904" t="s">
        <v>1382</v>
      </c>
      <c r="C643" s="1068" t="s">
        <v>178</v>
      </c>
      <c r="D643" s="1068" t="s">
        <v>180</v>
      </c>
      <c r="E643" s="1068" t="s">
        <v>1576</v>
      </c>
      <c r="F643" s="1068" t="s">
        <v>1359</v>
      </c>
      <c r="G643" s="1068" t="s">
        <v>1360</v>
      </c>
      <c r="H643" s="1068" t="s">
        <v>2546</v>
      </c>
      <c r="I643" s="1068" t="s">
        <v>853</v>
      </c>
      <c r="J643" s="905" t="s">
        <v>368</v>
      </c>
      <c r="K643" s="1068" t="s">
        <v>1636</v>
      </c>
      <c r="L643" s="1068" t="s">
        <v>572</v>
      </c>
      <c r="M643" s="1068" t="s">
        <v>1575</v>
      </c>
      <c r="N643" s="1068" t="s">
        <v>1382</v>
      </c>
      <c r="O643" s="1068" t="s">
        <v>403</v>
      </c>
      <c r="P643" s="1068" t="s">
        <v>1102</v>
      </c>
      <c r="Q643" s="1068" t="s">
        <v>1103</v>
      </c>
      <c r="R643" s="1068" t="s">
        <v>1577</v>
      </c>
      <c r="S643" s="1068" t="s">
        <v>2930</v>
      </c>
      <c r="T643" s="1628" t="s">
        <v>1975</v>
      </c>
      <c r="U643" s="1628"/>
      <c r="V643" s="1633"/>
      <c r="W643" s="1633"/>
      <c r="X643" s="1633"/>
      <c r="Y643" s="1633"/>
      <c r="Z643" s="1633"/>
      <c r="AA643" s="1633"/>
      <c r="AB643" s="1633"/>
      <c r="AC643" s="1633"/>
      <c r="AD643" s="1633"/>
      <c r="AE643" s="1633"/>
      <c r="AF643" s="1633"/>
      <c r="AG643" s="1633"/>
      <c r="AH643" s="1633"/>
      <c r="AI643" s="1633"/>
      <c r="AJ643" s="1633"/>
      <c r="AK643" s="1633"/>
      <c r="AL643" s="1633"/>
      <c r="AM643" s="1633"/>
      <c r="AN643" s="1633"/>
      <c r="AO643" s="1633"/>
      <c r="AP643" s="1633"/>
      <c r="AQ643" s="1633"/>
      <c r="AR643" s="1633"/>
      <c r="AS643" s="1633"/>
      <c r="AT643" s="1633"/>
      <c r="AU643" s="1633"/>
      <c r="AV643" s="1633"/>
      <c r="AW643" s="1633"/>
      <c r="AX643" s="1633"/>
      <c r="AY643" s="1633"/>
      <c r="AZ643" s="1633"/>
      <c r="BA643" s="1633"/>
      <c r="BB643" s="1633"/>
      <c r="BC643" s="1633"/>
      <c r="BD643" s="1633"/>
      <c r="BE643" s="1633"/>
      <c r="BF643" s="1633"/>
      <c r="BG643" s="1633"/>
      <c r="BH643" s="1633"/>
      <c r="BI643" s="1633"/>
      <c r="BJ643" s="1633"/>
      <c r="BK643" s="1633"/>
      <c r="BL643" s="1633"/>
      <c r="BM643" s="1633"/>
      <c r="BN643" s="1633"/>
      <c r="BO643" s="1633"/>
      <c r="BP643" s="1633"/>
      <c r="BQ643" s="1633"/>
      <c r="BR643" s="1633"/>
      <c r="BS643" s="1633"/>
      <c r="BT643" s="1633"/>
      <c r="BU643" s="1633"/>
      <c r="BV643" s="1633"/>
      <c r="BW643" s="1633"/>
      <c r="BX643" s="1633"/>
      <c r="BY643" s="1633"/>
      <c r="BZ643" s="1633"/>
      <c r="CA643" s="1633"/>
      <c r="CB643" s="1633"/>
      <c r="CC643" s="1633"/>
      <c r="CD643" s="1630"/>
      <c r="CE643" s="1630"/>
      <c r="CF643" s="1630"/>
      <c r="CG643" s="1630"/>
      <c r="CH643" s="1630"/>
      <c r="CI643" s="1630"/>
      <c r="CJ643" s="1630"/>
      <c r="CK643" s="1630"/>
      <c r="CL643" s="1630"/>
      <c r="CM643" s="1630"/>
      <c r="CN643" s="1630"/>
      <c r="CO643" s="1630"/>
      <c r="CP643" s="1630"/>
      <c r="CQ643" s="1630"/>
      <c r="CR643" s="1630"/>
      <c r="CS643" s="1630"/>
      <c r="CT643" s="1630"/>
      <c r="CU643" s="1630"/>
      <c r="CV643" s="1630"/>
      <c r="CW643" s="1630"/>
      <c r="CX643" s="1630"/>
      <c r="CY643" s="1630"/>
      <c r="CZ643" s="1630"/>
      <c r="DA643" s="1630"/>
      <c r="DB643" s="1630"/>
      <c r="DC643" s="1630"/>
      <c r="DD643" s="1630"/>
      <c r="DE643" s="1630"/>
      <c r="DF643" s="1630"/>
      <c r="DG643" s="1630"/>
      <c r="DH643" s="1630"/>
      <c r="DI643" s="1630"/>
      <c r="DJ643" s="1630"/>
      <c r="DK643" s="1630"/>
      <c r="DL643" s="1630"/>
      <c r="DM643" s="1630"/>
      <c r="DN643" s="1630"/>
      <c r="DO643" s="1630"/>
      <c r="DP643" s="1630"/>
      <c r="DQ643" s="1630"/>
      <c r="DR643" s="1630"/>
      <c r="DS643" s="1630"/>
      <c r="DT643" s="1630"/>
      <c r="DU643" s="1630"/>
      <c r="DV643" s="1630"/>
      <c r="DW643" s="1630"/>
      <c r="DX643" s="1630"/>
      <c r="DY643" s="1630"/>
      <c r="DZ643" s="1630"/>
      <c r="EA643" s="1630"/>
      <c r="EB643" s="1630"/>
      <c r="EC643" s="1630"/>
      <c r="ED643" s="1630"/>
      <c r="EE643" s="1630"/>
      <c r="EF643" s="1630"/>
      <c r="EG643" s="1630"/>
      <c r="EH643" s="1630"/>
      <c r="EI643" s="1630"/>
      <c r="EJ643" s="1630"/>
      <c r="EK643" s="1630"/>
      <c r="EL643" s="1630"/>
      <c r="EM643" s="1630"/>
      <c r="EN643" s="1630"/>
      <c r="EO643" s="1630"/>
      <c r="EP643" s="1630"/>
      <c r="EQ643" s="1630"/>
      <c r="ER643" s="1630"/>
      <c r="ES643" s="1630"/>
      <c r="ET643" s="1630"/>
      <c r="EU643" s="1630"/>
      <c r="EV643" s="1630"/>
      <c r="EW643" s="830" t="s">
        <v>2666</v>
      </c>
      <c r="EX643" s="830" t="s">
        <v>2666</v>
      </c>
      <c r="EY643" s="830" t="s">
        <v>2666</v>
      </c>
      <c r="EZ643" s="830" t="s">
        <v>2666</v>
      </c>
      <c r="FA643" s="1630"/>
      <c r="FB643" s="1630"/>
      <c r="FC643" s="1630"/>
      <c r="FD643" s="1630"/>
      <c r="FE643" s="1630"/>
      <c r="FF643" s="830" t="s">
        <v>2668</v>
      </c>
      <c r="FG643" s="830" t="s">
        <v>2668</v>
      </c>
      <c r="FH643" s="830" t="s">
        <v>2668</v>
      </c>
      <c r="FI643" s="830" t="s">
        <v>2668</v>
      </c>
      <c r="FJ643" s="830" t="s">
        <v>2668</v>
      </c>
      <c r="FK643" s="1630"/>
      <c r="FL643" s="1630"/>
      <c r="FM643" s="1630"/>
      <c r="FN643" s="1630"/>
      <c r="FO643" s="1630"/>
      <c r="FP643" s="1630"/>
      <c r="FQ643" s="1630"/>
      <c r="FR643" s="1630"/>
      <c r="FS643" s="1630"/>
      <c r="FT643" s="1630"/>
      <c r="FU643" s="1630"/>
      <c r="FV643" s="1630"/>
      <c r="FW643" s="1630"/>
      <c r="FX643" s="1630"/>
      <c r="FY643" s="1630"/>
      <c r="FZ643" s="1630"/>
      <c r="GA643" s="1630"/>
      <c r="GB643" s="1630"/>
      <c r="GC643" s="1630"/>
      <c r="GD643" s="1630"/>
      <c r="GE643" s="1630"/>
      <c r="GF643" s="1630"/>
      <c r="GG643" s="1630"/>
      <c r="GH643" s="1630"/>
      <c r="GI643" s="1630"/>
      <c r="GJ643" s="1630"/>
      <c r="GK643" s="1630"/>
      <c r="GL643" s="1630"/>
      <c r="GM643" s="1630"/>
      <c r="GN643" s="1630"/>
      <c r="GO643" s="1630"/>
      <c r="GP643" s="1630"/>
      <c r="GQ643" s="1630"/>
      <c r="GR643" s="1630"/>
      <c r="GS643" s="1630"/>
      <c r="GT643" s="1630"/>
      <c r="GU643" s="1630"/>
      <c r="GV643" s="1630"/>
      <c r="GW643" s="1630"/>
      <c r="GX643" s="1630"/>
      <c r="GY643" s="1630"/>
      <c r="GZ643" s="1630"/>
      <c r="HA643" s="1630"/>
      <c r="HB643" s="1630"/>
      <c r="HC643" s="1630"/>
      <c r="HD643" s="1630"/>
      <c r="HE643" s="1630"/>
      <c r="HF643" s="1630"/>
      <c r="HG643" s="1630"/>
      <c r="HH643" s="1630"/>
      <c r="HI643" s="1630"/>
      <c r="HJ643" s="1630"/>
      <c r="HK643" s="1630"/>
      <c r="HL643" s="1630"/>
      <c r="HM643" s="1630"/>
    </row>
    <row r="644" spans="1:221" ht="13.15" customHeight="1">
      <c r="A644" s="1082" t="str">
        <f>IF(AND(E644&gt;0,OR(B644="",C644="",D644="",F644="",G644="", H644="",M644="",N644="",O644="")),1,"")</f>
        <v/>
      </c>
      <c r="B644" s="1035" t="str">
        <f>'Part VI-Revenues &amp; Expenses'!B10</f>
        <v>50% AMI</v>
      </c>
      <c r="C644" s="1036">
        <f>'Part VI-Revenues &amp; Expenses'!C10</f>
        <v>1</v>
      </c>
      <c r="D644" s="1037">
        <f>'Part VI-Revenues &amp; Expenses'!D10</f>
        <v>1</v>
      </c>
      <c r="E644" s="1038">
        <f>'Part VI-Revenues &amp; Expenses'!E10</f>
        <v>2</v>
      </c>
      <c r="F644" s="1038">
        <f>'Part VI-Revenues &amp; Expenses'!F10</f>
        <v>728</v>
      </c>
      <c r="G644" s="1038">
        <f>'Part VI-Revenues &amp; Expenses'!G10</f>
        <v>604</v>
      </c>
      <c r="H644" s="1038">
        <f>'Part VI-Revenues &amp; Expenses'!H10</f>
        <v>737</v>
      </c>
      <c r="I644" s="1038">
        <f>'Part VI-Revenues &amp; Expenses'!I10</f>
        <v>109</v>
      </c>
      <c r="J644" s="1101" t="str">
        <f>'Part VI-Revenues &amp; Expenses'!J10</f>
        <v>HUD</v>
      </c>
      <c r="K644" s="906">
        <f>MAX(0,H644-I644)</f>
        <v>628</v>
      </c>
      <c r="L644" s="906">
        <f t="shared" ref="L644:L681" si="0">MAX(0,E644*K644)</f>
        <v>1256</v>
      </c>
      <c r="M644" s="829" t="str">
        <f>'Part VI-Revenues &amp; Expenses'!M10</f>
        <v>No</v>
      </c>
      <c r="N644" s="829" t="str">
        <f>'Part VI-Revenues &amp; Expenses'!N10</f>
        <v>3+ Story</v>
      </c>
      <c r="O644" s="829" t="str">
        <f>'Part VI-Revenues &amp; Expenses'!O10</f>
        <v>New Construction</v>
      </c>
      <c r="P644" s="907">
        <f>IF(H644="","",H644*12/0.3)</f>
        <v>29480</v>
      </c>
      <c r="Q644" s="908">
        <f>'Part VI-Revenues &amp; Expenses'!Q10</f>
        <v>0.61035196687370596</v>
      </c>
      <c r="R644" s="907"/>
      <c r="S644" s="908"/>
      <c r="T644" s="1575"/>
      <c r="U644" s="1575"/>
      <c r="V644" s="1070" t="str">
        <f t="shared" ref="V644:V681" si="1">IF(AND(C644="Efficiency",B644="60% AMI",NOT(M644="Common")),E644,"")</f>
        <v/>
      </c>
      <c r="W644" s="1070" t="str">
        <f t="shared" ref="W644:W681" si="2">IF(AND(C644=1,B644="60% AMI",NOT(M644="Common")),E644,"")</f>
        <v/>
      </c>
      <c r="X644" s="1070" t="str">
        <f t="shared" ref="X644:X681" si="3">IF(AND(C644=2,B644="60% AMI",NOT(M644="Common")),E644,"")</f>
        <v/>
      </c>
      <c r="Y644" s="1070" t="str">
        <f t="shared" ref="Y644:Y681" si="4">IF(AND(C644=3,B644="60% AMI",NOT(M644="Common")),E644,"")</f>
        <v/>
      </c>
      <c r="Z644" s="1070" t="str">
        <f t="shared" ref="Z644:Z681" si="5">IF(AND(C644=4,B644="60% AMI",NOT(M644="Common")),E644,"")</f>
        <v/>
      </c>
      <c r="AA644" s="1070" t="str">
        <f t="shared" ref="AA644:AA681" si="6">IF(AND(C644="Efficiency",B644="50% AMI",NOT(M644="Common")),E644,"")</f>
        <v/>
      </c>
      <c r="AB644" s="1070">
        <f t="shared" ref="AB644:AB681" si="7">IF(AND(C644=1,B644="50% AMI",NOT(M644="Common")),E644,"")</f>
        <v>2</v>
      </c>
      <c r="AC644" s="1070" t="str">
        <f t="shared" ref="AC644:AC681" si="8">IF(AND(C644=2,B644="50% AMI",NOT(M644="Common")),E644,"")</f>
        <v/>
      </c>
      <c r="AD644" s="1070" t="str">
        <f t="shared" ref="AD644:AD681" si="9">IF(AND(C644=3,B644="50% AMI",NOT(M644="Common")),E644,"")</f>
        <v/>
      </c>
      <c r="AE644" s="1070" t="str">
        <f t="shared" ref="AE644:AE681" si="10">IF(AND(C644=4,B644="50% AMI",NOT(M644="Common")),E644,"")</f>
        <v/>
      </c>
      <c r="AF644" s="1070" t="str">
        <f t="shared" ref="AF644:AF681" si="11">IF(AND(C644="Efficiency",B644="30% AMI",NOT(M644="Common")),E644,"")</f>
        <v/>
      </c>
      <c r="AG644" s="1070" t="str">
        <f t="shared" ref="AG644:AG681" si="12">IF(AND(C644=1,B644="30% AMI",NOT(M644="Common")),E644,"")</f>
        <v/>
      </c>
      <c r="AH644" s="1070" t="str">
        <f t="shared" ref="AH644:AH681" si="13">IF(AND(C644=2,B644="30% AMI",NOT(M644="Common")),E644,"")</f>
        <v/>
      </c>
      <c r="AI644" s="1070" t="str">
        <f t="shared" ref="AI644:AI681" si="14">IF(AND(C644=3,B644="30% AMI",NOT(M644="Common")),E644,"")</f>
        <v/>
      </c>
      <c r="AJ644" s="1070" t="str">
        <f t="shared" ref="AJ644:AJ681" si="15">IF(AND(C644=4,B644="30% AMI",NOT(M644="Common")),E644,"")</f>
        <v/>
      </c>
      <c r="AK644" s="1070" t="str">
        <f t="shared" ref="AK644:AK681" si="16">IF(AND(C644="Efficiency",B644="Unrestricted",NOT(M644="Common")),E644,"")</f>
        <v/>
      </c>
      <c r="AL644" s="1070" t="str">
        <f t="shared" ref="AL644:AL681" si="17">IF(AND(C644=1,B644="Unrestricted",NOT(M644="Common")),E644,"")</f>
        <v/>
      </c>
      <c r="AM644" s="1070" t="str">
        <f t="shared" ref="AM644:AM681" si="18">IF(AND(C644=2,B644="Unrestricted",NOT(M644="Common")),E644,"")</f>
        <v/>
      </c>
      <c r="AN644" s="1070" t="str">
        <f t="shared" ref="AN644:AN681" si="19">IF(AND(C644=3,B644="Unrestricted",NOT(M644="Common")),E644,"")</f>
        <v/>
      </c>
      <c r="AO644" s="1070" t="str">
        <f t="shared" ref="AO644:AO681" si="20">IF(AND(C644=4,B644="Unrestricted",NOT(M644="Common")),E644,"")</f>
        <v/>
      </c>
      <c r="AP644" s="1070" t="str">
        <f>IF(OR(AND($C644="Efficiency",NOT($J644=""),NOT($J644="PHA Oper Sub"),$B644="30% AMI",NOT($M644="Common")),AND($C644="Efficiency",NOT($J644=""),NOT($J644="PHA Oper Sub"),$B644="HOME 30% AMI",NOT($M644="Common"))),$E644,"")</f>
        <v/>
      </c>
      <c r="AQ644" s="1070" t="str">
        <f>IF(OR(AND($C644=1,NOT($J644=""),NOT($J644="PHA Oper Sub"),$B644="30% AMI",NOT($M644="Common")),AND($C644=1,NOT($J644=""),NOT($J644="PHA Oper Sub"),$B644="HOME 30% AMI",NOT($M644="Common"))),$E644,"")</f>
        <v/>
      </c>
      <c r="AR644" s="1070" t="str">
        <f>IF(OR(AND($C644=2,NOT($J644=""),NOT($J644="PHA Oper Sub"),$B644="30% AMI",NOT($M644="Common")),AND($C644=2,NOT($J644=""),NOT($J644="PHA Oper Sub"),$B644="HOME 30% AMI",NOT($M644="Common"))),$E644,"")</f>
        <v/>
      </c>
      <c r="AS644" s="1070" t="str">
        <f>IF(OR(AND($C644=3,NOT($J644=""),NOT($J644="PHA Oper Sub"),$B644="30% AMI",NOT($M644="Common")),AND($C644=3,NOT($J644=""),NOT($J644="PHA Oper Sub"),$B644="HOME 30% AMI",NOT($M644="Common"))),$E644,"")</f>
        <v/>
      </c>
      <c r="AT644" s="1070" t="str">
        <f>IF(OR(AND($C644=4,NOT($J644=""),NOT($J644="PHA Oper Sub"),$B644="30% AMI",NOT($M644="Common")),AND($C644=4,NOT($J644=""),NOT($J644="PHA Oper Sub"),$B644="HOME 30% AMI",NOT($M644="Common"))),$E644,"")</f>
        <v/>
      </c>
      <c r="AU644" s="1070" t="str">
        <f>IF(OR(AND($C644="Efficiency",NOT($J644=""),NOT($J644="PHA Oper Sub"),NOT($J644=0),$B644="50% AMI",NOT($M644="Common")),AND($C644="Efficiency",NOT($J644=""),NOT($J644=0),NOT($J644="PHA Oper Sub"),$B644="HOME 50% AMI",NOT($M644="Common"))),$E644,"")</f>
        <v/>
      </c>
      <c r="AV644" s="1070">
        <f>IF(OR(AND($C644=1,NOT($J644=""),NOT($J644=0),NOT($J644="PHA Oper Sub"),$B644="50% AMI",NOT($M644="Common")),AND($C644=1,NOT($J644=""),NOT($J644=0),NOT($J644="PHA Oper Sub"),$B644="HOME 50% AMI",NOT($M644="Common"))),$E644,"")</f>
        <v>2</v>
      </c>
      <c r="AW644" s="1070" t="str">
        <f>IF(OR(AND($C644=2,NOT($J644=""),NOT($J644=0),NOT($J644="PHA Oper Sub"),$B644="50% AMI",NOT($M644="Common")),AND($C644=2,NOT($J644=""),NOT($J644=0),NOT($J644="PHA Oper Sub"),$B644="HOME 50% AMI",NOT($M644="Common"))),$E644,"")</f>
        <v/>
      </c>
      <c r="AX644" s="1070" t="str">
        <f>IF(OR(AND($C644=3,NOT($J644=""),NOT($J644=0),NOT($J644="PHA Oper Sub"),$B644="50% AMI",NOT($M644="Common")),AND($C644=3,NOT($J644=""),NOT($J644=0),NOT($J644="PHA Oper Sub"),$B644="HOME 50% AMI",NOT($M644="Common"))),$E644,"")</f>
        <v/>
      </c>
      <c r="AY644" s="1070" t="str">
        <f>IF(OR(AND($C644=4,NOT($J644=""),NOT($J644=0),NOT($J644="PHA Oper Sub"),$B644="50% AMI",NOT($M644="Common")),AND($C644=4,NOT($J644=""),NOT($J644=0),NOT($J644="PHA Oper Sub"),$B644="HOME 50% AMI",NOT($M644="Common"))),$E644,"")</f>
        <v/>
      </c>
      <c r="AZ644" s="1070" t="str">
        <f>IF(OR(AND($C644="Efficiency",NOT($J644=""),NOT($J644=0),NOT($J644="PHA Oper Sub"),$B644="60% AMI",NOT($M644="Common")),AND($C644="Efficiency",NOT($J644=""),NOT($J644=0),NOT($J644="PHA Oper Sub"),$B644="HOME 60% AMI",NOT($M644="Common"))),$E644,"")</f>
        <v/>
      </c>
      <c r="BA644" s="1070" t="str">
        <f>IF(OR(AND($C644=1,NOT($J644=""),NOT($J644=0),NOT($J644="PHA Oper Sub"),$B644="60% AMI",NOT($M644="Common")),AND($C644=1,NOT($J644=""),NOT($J644=0),NOT($J644="PHA Oper Sub"),$B644="HOME 60% AMI",NOT($M644="Common"))),$E644,"")</f>
        <v/>
      </c>
      <c r="BB644" s="1070" t="str">
        <f>IF(OR(AND($C644=2,NOT($J644=""),NOT($J644=0),NOT($J644="PHA Oper Sub"),$B644="60% AMI",NOT($M644="Common")),AND($C644=2,NOT($J644=""),NOT($J644=0),NOT($J644="PHA Oper Sub"),$B644="HOME 60% AMI",NOT($M644="Common"))),$E644,"")</f>
        <v/>
      </c>
      <c r="BC644" s="1070" t="str">
        <f>IF(OR(AND($C644=3,NOT($J644=""),NOT($J644=0),NOT($J644="PHA Oper Sub"),$B644="60% AMI",NOT($M644="Common")),AND($C644=3,NOT($J644=""),NOT($J644=0),NOT($J644="PHA Oper Sub"),$B644="HOME 60% AMI",NOT($M644="Common"))),$E644,"")</f>
        <v/>
      </c>
      <c r="BD644" s="1070" t="str">
        <f>IF(OR(AND($C644=4,NOT($J644=""),NOT($J644=0),NOT($J644="PHA Oper Sub"),$B644="60% AMI",NOT($M644="Common")),AND($C644=4,NOT($J644=""),NOT($J644=0),NOT($J644="PHA Oper Sub"),$B644="HOME 60% AMI",NOT($M644="Common"))),$E644,"")</f>
        <v/>
      </c>
      <c r="BE644" s="1070" t="str">
        <f>IF(OR(AND($C644="Efficiency",$J644="PHA Oper Sub",$B644="30% AMI",NOT($M644="Common")),AND($C644="Efficiency",$J644="PHA Oper Sub",$B644="HOME 30% AMI",NOT($M644="Common"))),$E644,"")</f>
        <v/>
      </c>
      <c r="BF644" s="1070" t="str">
        <f>IF(OR(AND($C644=1,$J644="PHA Oper Sub",$B644="30% AMI",NOT($M644="Common")),AND($C644=1,$J644="PHA Oper Sub",$B644="HOME 30% AMI",NOT($M644="Common"))),$E644,"")</f>
        <v/>
      </c>
      <c r="BG644" s="1070" t="str">
        <f>IF(OR(AND($C644=2,$J644="PHA Oper Sub",$B644="30% AMI",NOT($M644="Common")),AND($C644=2,$J644="PHA Oper Sub",$B644="HOME 30% AMI",NOT($M644="Common"))),$E644,"")</f>
        <v/>
      </c>
      <c r="BH644" s="1070" t="str">
        <f>IF(OR(AND($C644=3,$J644="PHA Oper Sub",$B644="30% AMI",NOT($M644="Common")),AND($C644=3,$J644="PHA Oper Sub",$B644="HOME 30% AMI",NOT($M644="Common"))),$E644,"")</f>
        <v/>
      </c>
      <c r="BI644" s="1070" t="str">
        <f>IF(OR(AND($C644=4,$J644="PHA Oper Sub",$B644="30% AMI",NOT($M644="Common")),AND($C644=4,$J644="PHA Oper Sub",$B644="HOME 30% AMI",NOT($M644="Common"))),$E644,"")</f>
        <v/>
      </c>
      <c r="BJ644" s="1070" t="str">
        <f>IF(OR(AND($C644="Efficiency",$J644="PHA Oper Sub",$B644="50% AMI",NOT($M644="Common")),AND($C644="Efficiency",$J644="PHA Oper Sub",$B644="HOME 50% AMI",NOT($M644="Common"))),$E644,"")</f>
        <v/>
      </c>
      <c r="BK644" s="1070" t="str">
        <f>IF(OR(AND($C644=1,$J644="PHA Oper Sub",$B644="50% AMI",NOT($M644="Common")),AND($C644=1,$J644="PHA Oper Sub",$B644="HOME 50% AMI",NOT($M644="Common"))),$E644,"")</f>
        <v/>
      </c>
      <c r="BL644" s="1070" t="str">
        <f>IF(OR(AND($C644=2,$J644="PHA Oper Sub",$B644="50% AMI",NOT($M644="Common")),AND($C644=2,$J644="PHA Oper Sub",$B644="HOME 50% AMI",NOT($M644="Common"))),$E644,"")</f>
        <v/>
      </c>
      <c r="BM644" s="1070" t="str">
        <f>IF(OR(AND($C644=3,$J644="PHA Oper Sub",$B644="50% AMI",NOT($M644="Common")),AND($C644=3,$J644="PHA Oper Sub",$B644="HOME 50% AMI",NOT($M644="Common"))),$E644,"")</f>
        <v/>
      </c>
      <c r="BN644" s="1070" t="str">
        <f>IF(OR(AND($C644=4,$J644="PHA Oper Sub",$B644="50% AMI",NOT($M644="Common")),AND($C644=4,$J644="PHA Oper Sub",$B644="HOME 50% AMI",NOT($M644="Common"))),$E644,"")</f>
        <v/>
      </c>
      <c r="BO644" s="1070" t="str">
        <f>IF(OR(AND($C644="Efficiency",$J644="PHA Oper Sub",$B644="60% AMI",NOT($M644="Common")),AND($C644="Efficiency",$J644="PHA Oper Sub",$B644="HOME 60% AMI",NOT($M644="Common"))),$E644,"")</f>
        <v/>
      </c>
      <c r="BP644" s="1070" t="str">
        <f>IF(OR(AND($C644=1,$J644="PHA Oper Sub",$B644="60% AMI",NOT($M644="Common")),AND($C644=1,$J644="PHA Oper Sub",$B644="HOME 60% AMI",NOT($M644="Common"))),$E644,"")</f>
        <v/>
      </c>
      <c r="BQ644" s="1070" t="str">
        <f>IF(OR(AND($C644=2,$J644="PHA Oper Sub",$B644="60% AMI",NOT($M644="Common")),AND($C644=2,$J644="PHA Oper Sub",$B644="HOME 60% AMI",NOT($M644="Common"))),$E644,"")</f>
        <v/>
      </c>
      <c r="BR644" s="1070" t="str">
        <f>IF(OR(AND($C644=3,$J644="PHA Oper Sub",$B644="60% AMI",NOT($M644="Common")),AND($C644=3,$J644="PHA Oper Sub",$B644="HOME 60% AMI",NOT($M644="Common"))),$E644,"")</f>
        <v/>
      </c>
      <c r="BS644" s="1070" t="str">
        <f>IF(OR(AND($C644=4,$J644="PHA Oper Sub",$B644="60% AMI",NOT($M644="Common")),AND($C644=4,$J644="PHA Oper Sub",$B644="HOME 60% AMI",NOT($M644="Common"))),$E644,"")</f>
        <v/>
      </c>
      <c r="BT644" s="1070" t="str">
        <f t="shared" ref="BT644:BT681" si="21">IF(AND(C644="Efficiency",M644="Common"),E644,"")</f>
        <v/>
      </c>
      <c r="BU644" s="1070" t="str">
        <f t="shared" ref="BU644:BU681" si="22">IF(AND(C644=1,M644="Common"),E644,"")</f>
        <v/>
      </c>
      <c r="BV644" s="1070" t="str">
        <f t="shared" ref="BV644:BV681" si="23">IF(AND(C644=2,M644="Common"),E644,"")</f>
        <v/>
      </c>
      <c r="BW644" s="1070" t="str">
        <f t="shared" ref="BW644:BW681" si="24">IF(AND(C644=3,M644="Common"),E644,"")</f>
        <v/>
      </c>
      <c r="BX644" s="1070" t="str">
        <f t="shared" ref="BX644:BX681" si="25">IF(AND(C644=4,M644="Common"),E644,"")</f>
        <v/>
      </c>
      <c r="BY644" s="1070" t="str">
        <f t="shared" ref="BY644:BY681" si="26">IF(OR(AND(C644="Efficiency",B644="60% AMI",NOT(M644="Common")),AND(C644="Efficiency",B644="HOME 60% AMI",NOT(M644="Common"))),E644*F644,"")</f>
        <v/>
      </c>
      <c r="BZ644" s="1070" t="str">
        <f t="shared" ref="BZ644:BZ681" si="27">IF(OR(AND(C644=1,B644="60% AMI",NOT(M644="Common")),AND(C644=1,B644="HOME 60% AMI",NOT(M644="Common"))),E644*F644,"")</f>
        <v/>
      </c>
      <c r="CA644" s="1070" t="str">
        <f t="shared" ref="CA644:CA681" si="28">IF(OR(AND(C644=2,B644="60% AMI",NOT(M644="Common")),AND(C644=2,B644="HOME 60% AMI",NOT(M644="Common"))),E644*F644,"")</f>
        <v/>
      </c>
      <c r="CB644" s="1070" t="str">
        <f t="shared" ref="CB644:CB681" si="29">IF(OR(AND(C644=3,B644="60% AMI",NOT(M644="Common")),AND(C644=3,B644="HOME 60% AMI",NOT(M644="Common"))),E644*F644,"")</f>
        <v/>
      </c>
      <c r="CC644" s="1070" t="str">
        <f t="shared" ref="CC644:CC681" si="30">IF(OR(AND(C644=4,B644="60% AMI",NOT(M644="Common")),AND(C644=4,B644="HOME 60% AMI",NOT(M644="Common"))),E644*F644,"")</f>
        <v/>
      </c>
      <c r="CD644" s="1070" t="str">
        <f t="shared" ref="CD644:CD681" si="31">IF(OR(AND(C644="Efficiency",B644="50% AMI",NOT(M644="Common")),AND(C644="Efficiency",B644="HOME 50% AMI",NOT(M644="Common"))),E644*F644,"")</f>
        <v/>
      </c>
      <c r="CE644" s="1070">
        <f t="shared" ref="CE644:CE681" si="32">IF(OR(AND(C644=1,B644="50% AMI",NOT(M644="Common")),AND(C644=1,B644="HOME 50% AMI",NOT(M644="Common"))),E644*F644,"")</f>
        <v>1456</v>
      </c>
      <c r="CF644" s="1070" t="str">
        <f t="shared" ref="CF644:CF681" si="33">IF(OR(AND(C644=2,B644="50% AMI",NOT(M644="Common")),AND(C644=2,B644="HOME 50% AMI",NOT(M644="Common"))),E644*F644,"")</f>
        <v/>
      </c>
      <c r="CG644" s="1070" t="str">
        <f t="shared" ref="CG644:CG681" si="34">IF(OR(AND(C644=3,B644="50% AMI",NOT(M644="Common")),AND(C644=3,B644="HOME 50% AMI",NOT(M644="Common"))),E644*F644,"")</f>
        <v/>
      </c>
      <c r="CH644" s="1070" t="str">
        <f t="shared" ref="CH644:CH681" si="35">IF(OR(AND(C644=4,B644="50% AMI",NOT(M644="Common")),AND(C644=4,B644="HOME 50% AMI",NOT(M644="Common"))),E644*F644,"")</f>
        <v/>
      </c>
      <c r="CI644" s="1070" t="str">
        <f t="shared" ref="CI644:CI681" si="36">IF(OR(AND(C644="Efficiency",B644="30% AMI",NOT(M644="Common")),AND(C644="Efficiency",B644="HOME 30% AMI",NOT(M644="Common"))),E644*F644,"")</f>
        <v/>
      </c>
      <c r="CJ644" s="1070" t="str">
        <f t="shared" ref="CJ644:CJ681" si="37">IF(OR(AND(C644=1,B644="30% AMI",NOT(M644="Common")),AND(C644=1,B644="HOME 30% AMI",NOT(M644="Common"))),E644*F644,"")</f>
        <v/>
      </c>
      <c r="CK644" s="1070" t="str">
        <f t="shared" ref="CK644:CK681" si="38">IF(OR(AND(C644=2,B644="30% AMI",NOT(M644="Common")),AND(C644=2,B644="HOME 30% AMI",NOT(M644="Common"))),E644*F644,"")</f>
        <v/>
      </c>
      <c r="CL644" s="1070" t="str">
        <f t="shared" ref="CL644:CL681" si="39">IF(OR(AND(C644=3,B644="30% AMI",NOT(M644="Common")),AND(C644=3,B644="HOME 30% AMI",NOT(M644="Common"))),E644*F644,"")</f>
        <v/>
      </c>
      <c r="CM644" s="1070" t="str">
        <f t="shared" ref="CM644:CM681" si="40">IF(OR(AND(C644=4,B644="30% AMI",NOT(M644="Common")),AND(C644=4,B644="HOME 30% AMI",NOT(M644="Common"))),E644*F644,"")</f>
        <v/>
      </c>
      <c r="CN644" s="1070" t="str">
        <f t="shared" ref="CN644:CN681" si="41">IF(AND(C644="Efficiency",B644="Unrestricted",NOT(M644="Common")),E644*F644,"")</f>
        <v/>
      </c>
      <c r="CO644" s="1070" t="str">
        <f t="shared" ref="CO644:CO681" si="42">IF(AND(C644=1,B644="Unrestricted",NOT(M644="Common")),E644*F644,"")</f>
        <v/>
      </c>
      <c r="CP644" s="1070" t="str">
        <f t="shared" ref="CP644:CP681" si="43">IF(AND(C644=2,B644="Unrestricted",NOT(M644="Common")),E644*F644,"")</f>
        <v/>
      </c>
      <c r="CQ644" s="1070" t="str">
        <f t="shared" ref="CQ644:CQ681" si="44">IF(AND(C644=3,B644="Unrestricted",NOT(M644="Common")),E644*F644,"")</f>
        <v/>
      </c>
      <c r="CR644" s="1070" t="str">
        <f t="shared" ref="CR644:CR681" si="45">IF(AND(C644=4,B644="Unrestricted",NOT(M644="Common")),E644*F644,"")</f>
        <v/>
      </c>
      <c r="CS644" s="1070" t="str">
        <f t="shared" ref="CS644:CS681" si="46">IF(AND(C644="Efficiency",NOT(J644=""),NOT($J644=0),NOT(M644="Common")),E644*F644,"")</f>
        <v/>
      </c>
      <c r="CT644" s="1070">
        <f t="shared" ref="CT644:CT681" si="47">IF(AND(C644=1,NOT(J644=""),NOT($J644=0),NOT(M644="Common")),E644*F644,"")</f>
        <v>1456</v>
      </c>
      <c r="CU644" s="1070" t="str">
        <f t="shared" ref="CU644:CU681" si="48">IF(AND(C644=2,NOT(J644=""),NOT($J644=0),NOT(M644="Common")),E644*F644,"")</f>
        <v/>
      </c>
      <c r="CV644" s="1070" t="str">
        <f t="shared" ref="CV644:CV681" si="49">IF(AND(C644=3,NOT(J644=""),NOT($J644=0),NOT(M644="Common")),E644*F644,"")</f>
        <v/>
      </c>
      <c r="CW644" s="1070" t="str">
        <f t="shared" ref="CW644:CW681" si="50">IF(AND(C644=4,NOT(J644=""),NOT($J644=0),NOT(M644="Common")),E644*F644,"")</f>
        <v/>
      </c>
      <c r="CX644" s="1070" t="str">
        <f t="shared" ref="CX644:CX681" si="51">IF(AND(C644="Efficiency",M644="Common"),E644*F644,"")</f>
        <v/>
      </c>
      <c r="CY644" s="1070" t="str">
        <f t="shared" ref="CY644:CY681" si="52">IF(AND(C644=1,M644="Common"),E644*F644,"")</f>
        <v/>
      </c>
      <c r="CZ644" s="1070" t="str">
        <f t="shared" ref="CZ644:CZ681" si="53">IF(AND(C644=2,M644="Common"),E644*F644,"")</f>
        <v/>
      </c>
      <c r="DA644" s="1070" t="str">
        <f t="shared" ref="DA644:DA681" si="54">IF(AND(C644=3,M644="Common"),E644*F644,"")</f>
        <v/>
      </c>
      <c r="DB644" s="1070" t="str">
        <f t="shared" ref="DB644:DB681" si="55">IF(AND(C644=4,M644="Common"),E644*F644,"")</f>
        <v/>
      </c>
      <c r="DC644" s="1070" t="str">
        <f t="shared" ref="DC644:DC681" si="56">IF(AND($C644="Efficiency", $O644="New Construction",NOT($B644="Unrestricted"),NOT($B644="NSP 120% AMI"),NOT($B644="N/A-CS"),NOT($M644="Common")),$E644,"")</f>
        <v/>
      </c>
      <c r="DD644" s="1070">
        <f t="shared" ref="DD644:DD681" si="57">IF(AND($C644=1, $O644="New Construction",NOT($B644="Unrestricted"),NOT($B644="NSP 120% AMI"),NOT($B644="N/A-CS"),NOT($M644="Common")),$E644,"")</f>
        <v>2</v>
      </c>
      <c r="DE644" s="1070" t="str">
        <f t="shared" ref="DE644:DE681" si="58">IF(AND($C644=2, $O644="New Construction",NOT($B644="Unrestricted"),NOT($B644="NSP 120% AMI"),NOT($B644="N/A-CS"),NOT($M644="Common")),$E644,"")</f>
        <v/>
      </c>
      <c r="DF644" s="1070" t="str">
        <f t="shared" ref="DF644:DF681" si="59">IF(AND($C644=3, $O644="New Construction",NOT($B644="Unrestricted"),NOT($B644="NSP 120% AMI"),NOT($B644="N/A-CS"),NOT($M644="Common")),$E644,"")</f>
        <v/>
      </c>
      <c r="DG644" s="1070" t="str">
        <f t="shared" ref="DG644:DG681" si="60">IF(AND($C644=4, $O644="New Construction",NOT($B644="Unrestricted"),NOT($B644="NSP 120% AMI"),NOT($B644="N/A-CS"),NOT($M644="Common")),$E644,"")</f>
        <v/>
      </c>
      <c r="DH644" s="1070" t="str">
        <f t="shared" ref="DH644:DH681" si="61">IF(AND($C644="Efficiency", $O644="New Construction",$B644="Unrestricted",NOT($B644="N/A-CS"),NOT($M644="Common")),$E644,"")</f>
        <v/>
      </c>
      <c r="DI644" s="1070" t="str">
        <f t="shared" ref="DI644:DI681" si="62">IF(AND($C644=1, $O644="New Construction",$B644="Unrestricted",NOT($B644="N/A-CS"),NOT($M644="Common")),$E644,"")</f>
        <v/>
      </c>
      <c r="DJ644" s="1070" t="str">
        <f t="shared" ref="DJ644:DJ681" si="63">IF(AND($C644=2, $O644="New Construction",$B644="Unrestricted",NOT($B644="N/A-CS"),NOT($M644="Common")),$E644,"")</f>
        <v/>
      </c>
      <c r="DK644" s="1070" t="str">
        <f t="shared" ref="DK644:DK681" si="64">IF(AND($C644=3, $O644="New Construction",$B644="Unrestricted",NOT($B644="N/A-CS"),NOT($M644="Common")),$E644,"")</f>
        <v/>
      </c>
      <c r="DL644" s="1070" t="str">
        <f t="shared" ref="DL644:DL681" si="65">IF(AND($C644=4, $O644="New Construction",$B644="Unrestricted",NOT($B644="N/A-CS"),NOT($M644="Common")),$E644,"")</f>
        <v/>
      </c>
      <c r="DM644" s="1070" t="str">
        <f t="shared" ref="DM644:DM681" si="66">IF(AND($C644="Efficiency", $O644="New Construction",$B644="N/A-CS",$M644="Common"),$E644,"")</f>
        <v/>
      </c>
      <c r="DN644" s="1070" t="str">
        <f t="shared" ref="DN644:DN681" si="67">IF(AND($C644=1, $O644="New Construction",$B644="N/A-CS",$M644="Common"),$E644,"")</f>
        <v/>
      </c>
      <c r="DO644" s="1070" t="str">
        <f t="shared" ref="DO644:DO681" si="68">IF(AND($C644=2, $O644="New Construction",$B644="N/A-CS",$M644="Common"),$E644,"")</f>
        <v/>
      </c>
      <c r="DP644" s="1070" t="str">
        <f t="shared" ref="DP644:DP681" si="69">IF(AND($C644=3, $O644="New Construction",$B644="N/A-CS",$M644="Common"),$E644,"")</f>
        <v/>
      </c>
      <c r="DQ644" s="1070" t="str">
        <f t="shared" ref="DQ644:DQ681" si="70">IF(AND($C644=4, $O644="New Construction",$B644="N/A-CS",$M644="Common"),$E644,"")</f>
        <v/>
      </c>
      <c r="DR644" s="1070" t="str">
        <f t="shared" ref="DR644:DR681" si="71">IF(AND($C644="Efficiency", $O644="Acquisition/Rehab",NOT($B644="Unrestricted"),NOT($B644="NSP 120% AMI"),NOT($B644="N/A-CS"),NOT($M644="Common")),$E644,"")</f>
        <v/>
      </c>
      <c r="DS644" s="1070" t="str">
        <f t="shared" ref="DS644:DS681" si="72">IF(AND($C644=1, $O644="Acquisition/Rehab",NOT($B644="Unrestricted"),NOT($B644="NSP 120% AMI"),NOT($B644="N/A-CS"),NOT($M644="Common")),$E644,"")</f>
        <v/>
      </c>
      <c r="DT644" s="1070" t="str">
        <f t="shared" ref="DT644:DT681" si="73">IF(AND($C644=2, $O644="Acquisition/Rehab",NOT($B644="Unrestricted"),NOT($B644="NSP 120% AMI"),NOT($B644="N/A-CS"),NOT($M644="Common")),$E644,"")</f>
        <v/>
      </c>
      <c r="DU644" s="1070" t="str">
        <f t="shared" ref="DU644:DU681" si="74">IF(AND($C644=3, $O644="Acquisition/Rehab",NOT($B644="Unrestricted"),NOT($B644="NSP 120% AMI"),NOT($B644="N/A-CS"),NOT($M644="Common")),$E644,"")</f>
        <v/>
      </c>
      <c r="DV644" s="1070" t="str">
        <f t="shared" ref="DV644:DV681" si="75">IF(AND($C644=4, $O644="Acquisition/Rehab",NOT($B644="Unrestricted"),NOT($B644="NSP 120% AMI"),NOT($B644="N/A-CS"),NOT($M644="Common")),$E644,"")</f>
        <v/>
      </c>
      <c r="DW644" s="1070" t="str">
        <f t="shared" ref="DW644:DW681" si="76">IF(AND($C644="Efficiency", $O644="Acquisition/Rehab",$B644="Unrestricted",NOT($B644="N/A-CS"),NOT($M644="Common")),$E644,"")</f>
        <v/>
      </c>
      <c r="DX644" s="1070" t="str">
        <f t="shared" ref="DX644:DX681" si="77">IF(AND($C644=1, $O644="Acquisition/Rehab",$B644="Unrestricted",NOT($B644="N/A-CS"),NOT($M644="Common")),$E644,"")</f>
        <v/>
      </c>
      <c r="DY644" s="1070" t="str">
        <f t="shared" ref="DY644:DY681" si="78">IF(AND($C644=2, $O644="Acquisition/Rehab",$B644="Unrestricted",NOT($B644="N/A-CS"),NOT($M644="Common")),$E644,"")</f>
        <v/>
      </c>
      <c r="DZ644" s="1070" t="str">
        <f t="shared" ref="DZ644:DZ681" si="79">IF(AND($C644=3, $O644="Acquisition/Rehab",$B644="Unrestricted",NOT($B644="N/A-CS"),NOT($M644="Common")),$E644,"")</f>
        <v/>
      </c>
      <c r="EA644" s="1070" t="str">
        <f t="shared" ref="EA644:EA681" si="80">IF(AND($C644=4, $O644="Acquisition/Rehab",$B644="Unrestricted",NOT($B644="N/A-CS"),NOT($M644="Common")),$E644,"")</f>
        <v/>
      </c>
      <c r="EB644" s="1070" t="str">
        <f t="shared" ref="EB644:EB681" si="81">IF(AND($C644="Efficiency", $O644="Acquisition/Rehab",$B644="N/A-CS",$M644="Common"),$E644,"")</f>
        <v/>
      </c>
      <c r="EC644" s="1070" t="str">
        <f t="shared" ref="EC644:EC681" si="82">IF(AND($C644=1, $O644="Acquisition/Rehab",$B644="N/A-CS",$M644="Common"),$E644,"")</f>
        <v/>
      </c>
      <c r="ED644" s="1070" t="str">
        <f t="shared" ref="ED644:ED681" si="83">IF(AND($C644=2, $O644="Acquisition/Rehab",$B644="N/A-CS",$M644="Common"),$E644,"")</f>
        <v/>
      </c>
      <c r="EE644" s="1070" t="str">
        <f t="shared" ref="EE644:EE681" si="84">IF(AND($C644=3, $O644="Acquisition/Rehab",$B644="N/A-CS",$M644="Common"),$E644,"")</f>
        <v/>
      </c>
      <c r="EF644" s="1070" t="str">
        <f t="shared" ref="EF644:EF681" si="85">IF(AND($C644=4, $O644="Acquisition/Rehab",$B644="N/A-CS",$M644="Common"),$E644,"")</f>
        <v/>
      </c>
      <c r="EG644" s="1070" t="str">
        <f t="shared" ref="EG644:EG681" si="86">IF(AND($C644="Efficiency", $O644="Rehabilitation",NOT($B644="Unrestricted"),NOT($B644="NSP 120% AMI"),NOT($B644="N/A-CS"),NOT($M644="Common")),$E644,"")</f>
        <v/>
      </c>
      <c r="EH644" s="1070" t="str">
        <f t="shared" ref="EH644:EH681" si="87">IF(AND($C644=1, $O644="Rehabilitation",NOT($B644="Unrestricted"),NOT($B644="NSP 120% AMI"),NOT($B644="N/A-CS"),NOT($M644="Common")),$E644,"")</f>
        <v/>
      </c>
      <c r="EI644" s="1070" t="str">
        <f t="shared" ref="EI644:EI681" si="88">IF(AND($C644=2, $O644="Rehabilitation",NOT($B644="Unrestricted"),NOT($B644="NSP 120% AMI"),NOT($B644="N/A-CS"),NOT($M644="Common")),$E644,"")</f>
        <v/>
      </c>
      <c r="EJ644" s="1070" t="str">
        <f t="shared" ref="EJ644:EJ681" si="89">IF(AND($C644=3, $O644="Rehabilitation",NOT($B644="Unrestricted"),NOT($B644="NSP 120% AMI"),NOT($B644="N/A-CS"),NOT($M644="Common")),$E644,"")</f>
        <v/>
      </c>
      <c r="EK644" s="1070" t="str">
        <f t="shared" ref="EK644:EK681" si="90">IF(AND($C644=4, $O644="Rehabilitation",NOT($B644="Unrestricted"),NOT($B644="NSP 120% AMI"),NOT($B644="N/A-CS"),NOT($M644="Common")),$E644,"")</f>
        <v/>
      </c>
      <c r="EL644" s="1070" t="str">
        <f t="shared" ref="EL644:EL681" si="91">IF(AND($C644="Efficiency", $O644="Rehabilitation",$B644="Unrestricted",NOT($B644="N/A-CS"),NOT($M644="Common")),$E644,"")</f>
        <v/>
      </c>
      <c r="EM644" s="1070" t="str">
        <f t="shared" ref="EM644:EM681" si="92">IF(AND($C644=1, $O644="Rehabilitation",$B644="Unrestricted",NOT($B644="N/A-CS"),NOT($M644="Common")),$E644,"")</f>
        <v/>
      </c>
      <c r="EN644" s="1070" t="str">
        <f t="shared" ref="EN644:EN681" si="93">IF(AND($C644=2, $O644="Rehabilitation",$B644="Unrestricted",NOT($B644="N/A-CS"),NOT($M644="Common")),$E644,"")</f>
        <v/>
      </c>
      <c r="EO644" s="1070" t="str">
        <f t="shared" ref="EO644:EO681" si="94">IF(AND($C644=3, $O644="Rehabilitation",$B644="Unrestricted",NOT($B644="N/A-CS"),NOT($M644="Common")),$E644,"")</f>
        <v/>
      </c>
      <c r="EP644" s="1070" t="str">
        <f t="shared" ref="EP644:EP681" si="95">IF(AND($C644=4, $O644="Rehabilitation",$B644="Unrestricted",NOT($B644="N/A-CS"),NOT($M644="Common")),$E644,"")</f>
        <v/>
      </c>
      <c r="EQ644" s="1070" t="str">
        <f t="shared" ref="EQ644:EQ681" si="96">IF(AND($C644="Efficiency", $O644="Rehabilitation",$B644="N/A-CS",$M644="Common"),$E644,"")</f>
        <v/>
      </c>
      <c r="ER644" s="1070" t="str">
        <f t="shared" ref="ER644:ER681" si="97">IF(AND($C644=1, $O644="Rehabilitation",$B644="N/A-CS",$M644="Common"),$E644,"")</f>
        <v/>
      </c>
      <c r="ES644" s="1070" t="str">
        <f t="shared" ref="ES644:ES681" si="98">IF(AND($C644=2, $O644="Rehabilitation",$B644="N/A-CS",$M644="Common"),$E644,"")</f>
        <v/>
      </c>
      <c r="ET644" s="1070" t="str">
        <f t="shared" ref="ET644:ET681" si="99">IF(AND($C644=3, $O644="Rehabilitation",$B644="N/A-CS",$M644="Common"),$E644,"")</f>
        <v/>
      </c>
      <c r="EU644" s="1070" t="str">
        <f t="shared" ref="EU644:EU681" si="100">IF(AND($C644=4, $O644="Rehabilitation",$B644="N/A-CS",$M644="Common"),$E644,"")</f>
        <v/>
      </c>
      <c r="EV644" s="831" t="str">
        <f t="shared" ref="EV644:EV681" si="101">IF(AND($C644="Efficiency", NOT(OR($N644="SF Detached",$N644="Mfd Home",$N644="Duplex",$N644="Townhome"))),$E644,"")</f>
        <v/>
      </c>
      <c r="EW644" s="831">
        <f t="shared" ref="EW644:EW681" si="102">IF(AND($C644=1, NOT(OR($N644="SF Detached",$N644="Mfd Home",$N644="Duplex",$N644="Townhome"))),$E644,"")</f>
        <v>2</v>
      </c>
      <c r="EX644" s="831" t="str">
        <f t="shared" ref="EX644:EX681" si="103">IF(AND($C644=2, NOT(OR($N644="SF Detached",$N644="Mfd Home",$N644="Duplex",$N644="Townhome"))),$E644,"")</f>
        <v/>
      </c>
      <c r="EY644" s="831" t="str">
        <f t="shared" ref="EY644:EY681" si="104">IF(AND($C644=3, NOT(OR($N644="SF Detached",$N644="Mfd Home",$N644="Duplex",$N644="Townhome"))),$E644,"")</f>
        <v/>
      </c>
      <c r="EZ644" s="831" t="str">
        <f t="shared" ref="EZ644:EZ681" si="105">IF(AND($C644=4, NOT(OR($N644="SF Detached",$N644="Mfd Home",$N644="Duplex",$N644="Townhome"))),$E644,"")</f>
        <v/>
      </c>
      <c r="FA644" s="831" t="str">
        <f t="shared" ref="FA644:FA681" si="106">IF(AND($C644="Efficiency", $N644="SF Detached"),$E644,"")</f>
        <v/>
      </c>
      <c r="FB644" s="831" t="str">
        <f t="shared" ref="FB644:FB681" si="107">IF(AND($C644=1, $N644="SF Detached"),$E644,"")</f>
        <v/>
      </c>
      <c r="FC644" s="831" t="str">
        <f t="shared" ref="FC644:FC681" si="108">IF(AND($C644=2, $N644="SF Detached"),$E644,"")</f>
        <v/>
      </c>
      <c r="FD644" s="831" t="str">
        <f t="shared" ref="FD644:FD681" si="109">IF(AND($C644=3, $N644="SF Detached"),$E644,"")</f>
        <v/>
      </c>
      <c r="FE644" s="831" t="str">
        <f t="shared" ref="FE644:FE681" si="110">IF(AND($C644=4, $N644="SF Detached"),$E644,"")</f>
        <v/>
      </c>
      <c r="FF644" s="831" t="str">
        <f t="shared" ref="FF644:FF681" si="111">IF(AND($C644="Efficiency", $N644="MH"),$E644,"")</f>
        <v/>
      </c>
      <c r="FG644" s="831" t="str">
        <f t="shared" ref="FG644:FG681" si="112">IF(AND($C644=1, $N644="MH"),$E644,"")</f>
        <v/>
      </c>
      <c r="FH644" s="831" t="str">
        <f t="shared" ref="FH644:FH681" si="113">IF(AND($C644=2, $N644="MH"),$E644,"")</f>
        <v/>
      </c>
      <c r="FI644" s="831" t="str">
        <f t="shared" ref="FI644:FI681" si="114">IF(AND($C644=3, $N644="MH"),$E644,"")</f>
        <v/>
      </c>
      <c r="FJ644" s="831" t="str">
        <f t="shared" ref="FJ644:FJ681" si="115">IF(AND($C644=4, $N644="MH"),$E644,"")</f>
        <v/>
      </c>
      <c r="FK644" s="831" t="str">
        <f t="shared" ref="FK644:FK681" si="116">IF(AND($C644="Efficiency", $N644="Duplex"),$E644,"")</f>
        <v/>
      </c>
      <c r="FL644" s="831" t="str">
        <f t="shared" ref="FL644:FL681" si="117">IF(AND($C644=1, $N644="Duplex"),$E644,"")</f>
        <v/>
      </c>
      <c r="FM644" s="831" t="str">
        <f t="shared" ref="FM644:FM681" si="118">IF(AND($C644=2, $N644="Duplex"),$E644,"")</f>
        <v/>
      </c>
      <c r="FN644" s="831" t="str">
        <f t="shared" ref="FN644:FN681" si="119">IF(AND($C644=3, $N644="Duplex"),$E644,"")</f>
        <v/>
      </c>
      <c r="FO644" s="831" t="str">
        <f t="shared" ref="FO644:FO681" si="120">IF(AND($C644=4, $N644="Duplex"),$E644,"")</f>
        <v/>
      </c>
      <c r="FP644" s="831" t="str">
        <f t="shared" ref="FP644:FP681" si="121">IF(AND($C644="Efficiency", $N644="Townhome"),$E644,"")</f>
        <v/>
      </c>
      <c r="FQ644" s="831" t="str">
        <f t="shared" ref="FQ644:FQ681" si="122">IF(AND($C644=1, $N644="Townhome"),$E644,"")</f>
        <v/>
      </c>
      <c r="FR644" s="831" t="str">
        <f t="shared" ref="FR644:FR681" si="123">IF(AND($C644=2, $N644="Townhome"),$E644,"")</f>
        <v/>
      </c>
      <c r="FS644" s="831" t="str">
        <f t="shared" ref="FS644:FS681" si="124">IF(AND($C644=3, $N644="Townhome"),$E644,"")</f>
        <v/>
      </c>
      <c r="FT644" s="831" t="str">
        <f t="shared" ref="FT644:FT681" si="125">IF(AND($C644=4, $N644="Townhome"),$E644,"")</f>
        <v/>
      </c>
      <c r="FU644" s="831" t="str">
        <f t="shared" ref="FU644:FU681" si="126">IF(AND($C644="Efficiency", $N644="1-Story"),$E644,"")</f>
        <v/>
      </c>
      <c r="FV644" s="831" t="str">
        <f t="shared" ref="FV644:FV681" si="127">IF(AND($C644=1, $N644="1-Story"),$E644,"")</f>
        <v/>
      </c>
      <c r="FW644" s="831" t="str">
        <f t="shared" ref="FW644:FW681" si="128">IF(AND($C644=2, $N644="1-Story"),$E644,"")</f>
        <v/>
      </c>
      <c r="FX644" s="831" t="str">
        <f t="shared" ref="FX644:FX681" si="129">IF(AND($C644=3, $N644="1-Story"),$E644,"")</f>
        <v/>
      </c>
      <c r="FY644" s="831" t="str">
        <f t="shared" ref="FY644:FY681" si="130">IF(AND($C644=4, $N644="1-Story"),$E644,"")</f>
        <v/>
      </c>
      <c r="FZ644" s="831" t="str">
        <f t="shared" ref="FZ644:FZ681" si="131">IF(AND($C644="Efficiency", $N644="2-Story"),$E644,"")</f>
        <v/>
      </c>
      <c r="GA644" s="831" t="str">
        <f t="shared" ref="GA644:GA681" si="132">IF(AND($C644=1, $N644="2-Story"),$E644,"")</f>
        <v/>
      </c>
      <c r="GB644" s="831" t="str">
        <f t="shared" ref="GB644:GB681" si="133">IF(AND($C644=2, $N644="2-Story"),$E644,"")</f>
        <v/>
      </c>
      <c r="GC644" s="831" t="str">
        <f t="shared" ref="GC644:GC681" si="134">IF(AND($C644=3, $N644="2-Story"),$E644,"")</f>
        <v/>
      </c>
      <c r="GD644" s="831" t="str">
        <f t="shared" ref="GD644:GD681" si="135">IF(AND($C644=4, $N644="2-Story"),$E644,"")</f>
        <v/>
      </c>
      <c r="GE644" s="831" t="str">
        <f t="shared" ref="GE644:GE681" si="136">IF(AND($C644="Efficiency", $N644="2-Story Walkup"),$E644,"")</f>
        <v/>
      </c>
      <c r="GF644" s="831" t="str">
        <f t="shared" ref="GF644:GF681" si="137">IF(AND($C644=1, $N644="2-Story Walkup"),$E644,"")</f>
        <v/>
      </c>
      <c r="GG644" s="831" t="str">
        <f t="shared" ref="GG644:GG681" si="138">IF(AND($C644=2, $N644="2-Story Walkup"),$E644,"")</f>
        <v/>
      </c>
      <c r="GH644" s="831" t="str">
        <f t="shared" ref="GH644:GH681" si="139">IF(AND($C644=3, $N644="2-Story Walkup"),$E644,"")</f>
        <v/>
      </c>
      <c r="GI644" s="831" t="str">
        <f t="shared" ref="GI644:GI681" si="140">IF(AND($C644=4, $N644="2-Story Walkup"),$E644,"")</f>
        <v/>
      </c>
      <c r="GJ644" s="831" t="str">
        <f t="shared" ref="GJ644:GJ681" si="141">IF(AND($C644="Efficiency", $N644="3+ Story"),$E644,"")</f>
        <v/>
      </c>
      <c r="GK644" s="831">
        <f t="shared" ref="GK644:GK681" si="142">IF(AND($C644=1, $N644="3+ Story"),$E644,"")</f>
        <v>2</v>
      </c>
      <c r="GL644" s="831" t="str">
        <f t="shared" ref="GL644:GL681" si="143">IF(AND($C644=2, $N644="3+ Story"),$E644,"")</f>
        <v/>
      </c>
      <c r="GM644" s="831" t="str">
        <f t="shared" ref="GM644:GM681" si="144">IF(AND($C644=3, $N644="3+ Story"),$E644,"")</f>
        <v/>
      </c>
      <c r="GN644" s="831" t="str">
        <f t="shared" ref="GN644:GN681" si="145">IF(AND($C644=4, $N644="3+ Story"),$E644,"")</f>
        <v/>
      </c>
      <c r="GO644" s="1113" t="str">
        <f t="shared" ref="GO644:GO681" si="146">IF(AND($B644="NSP 120% AMI",$C644="Efficiency", NOT($M644="Common")),$E644,"")</f>
        <v/>
      </c>
      <c r="GP644" s="1113" t="str">
        <f t="shared" ref="GP644:GP681" si="147">IF(AND($B644="NSP 120% AMI",$C644=1,NOT($M644="Common")),$E644,"")</f>
        <v/>
      </c>
      <c r="GQ644" s="1113" t="str">
        <f t="shared" ref="GQ644:GQ681" si="148">IF(AND($B644="NSP 120% AMI",$C644=2,NOT($M644="Common")),$E644,"")</f>
        <v/>
      </c>
      <c r="GR644" s="1113" t="str">
        <f t="shared" ref="GR644:GR681" si="149">IF(AND($B644="NSP 120% AMI",$C644=3,NOT($M644="Common")),$E644,"")</f>
        <v/>
      </c>
      <c r="GS644" s="1113" t="str">
        <f t="shared" ref="GS644:GS681" si="150">IF(AND($B644="NSP 120% AMI",$C644=4,NOT($M644="Common")),$E644,"")</f>
        <v/>
      </c>
      <c r="GT644" s="1070" t="str">
        <f t="shared" ref="GT644:GT681" si="151">IF(AND(C644="Efficiency",B644="NSP 120% AMI",NOT(M644="Common")),E644*F644,"")</f>
        <v/>
      </c>
      <c r="GU644" s="1070" t="str">
        <f t="shared" ref="GU644:GU681" si="152">IF(AND(C644=1,B644="NSP 120% AMI",NOT(M644="Common")),E644*F644,"")</f>
        <v/>
      </c>
      <c r="GV644" s="1070" t="str">
        <f t="shared" ref="GV644:GV681" si="153">IF(AND(C644=2,B644="NSP 120% AMI",NOT(M644="Common")),E644*F644,"")</f>
        <v/>
      </c>
      <c r="GW644" s="1070" t="str">
        <f t="shared" ref="GW644:GW681" si="154">IF(AND(C644=3,B644="NSP 120% AMI",NOT(M644="Common")),E644*F644,"")</f>
        <v/>
      </c>
      <c r="GX644" s="1070" t="str">
        <f t="shared" ref="GX644:GX681" si="155">IF(AND(C644=4,B644="NSP 120% AMI",NOT(M644="Common")),E644*F644,"")</f>
        <v/>
      </c>
      <c r="GY644" s="1070" t="str">
        <f t="shared" ref="GY644:GY681" si="156">IF(AND($C644="Efficiency", $O644="New Construction",$B644="NSP 120% AMI",NOT($M644="Common")),$E644,"")</f>
        <v/>
      </c>
      <c r="GZ644" s="1070" t="str">
        <f t="shared" ref="GZ644:GZ681" si="157">IF(AND($C644=1, $O644="New Construction",$B644="NSP 120% AMI",NOT($M644="Common")),$E644,"")</f>
        <v/>
      </c>
      <c r="HA644" s="1070" t="str">
        <f t="shared" ref="HA644:HA681" si="158">IF(AND($C644=2, $O644="New Construction",$B644="NSP 120% AMI",NOT($M644="Common")),$E644,"")</f>
        <v/>
      </c>
      <c r="HB644" s="1070" t="str">
        <f t="shared" ref="HB644:HB681" si="159">IF(AND($C644=3, $O644="New Construction",$B644="NSP 120% AMI",NOT($M644="Common")),$E644,"")</f>
        <v/>
      </c>
      <c r="HC644" s="1070" t="str">
        <f t="shared" ref="HC644:HC681" si="160">IF(AND($C644=4, $O644="New Construction",$B644="NSP 120% AMI",NOT($M644="Common")),$E644,"")</f>
        <v/>
      </c>
      <c r="HD644" s="1070" t="str">
        <f t="shared" ref="HD644:HD681" si="161">IF(AND($C644="Efficiency", $O644="Acquisition/Rehab",$B644="NSP 120% AMI",NOT($M644="Common")),$E644,"")</f>
        <v/>
      </c>
      <c r="HE644" s="1070" t="str">
        <f t="shared" ref="HE644:HE681" si="162">IF(AND($C644=1, $O644="Acquisition/Rehab",$B644="NSP 120% AMI",NOT($M644="Common")),$E644,"")</f>
        <v/>
      </c>
      <c r="HF644" s="1070" t="str">
        <f t="shared" ref="HF644:HF681" si="163">IF(AND($C644=2, $O644="Acquisition/Rehab",$B644="NSP 120% AMI",NOT($M644="Common")),$E644,"")</f>
        <v/>
      </c>
      <c r="HG644" s="1070" t="str">
        <f t="shared" ref="HG644:HG681" si="164">IF(AND($C644=3, $O644="Acquisition/Rehab",$B644="NSP 120% AMI",NOT($M644="Common")),$E644,"")</f>
        <v/>
      </c>
      <c r="HH644" s="1070" t="str">
        <f t="shared" ref="HH644:HH681" si="165">IF(AND($C644=4, $O644="Acquisition/Rehab",$B644="NSP 120% AMI",NOT($M644="Common")),$E644,"")</f>
        <v/>
      </c>
      <c r="HI644" s="1070" t="str">
        <f t="shared" ref="HI644:HI681" si="166">IF(AND($C644="Efficiency", $O644="Rehabilitation",$B644="NSP 120% AMI",NOT($M644="Common")),$E644,"")</f>
        <v/>
      </c>
      <c r="HJ644" s="1070" t="str">
        <f t="shared" ref="HJ644:HJ681" si="167">IF(AND($C644=1, $O644="Rehabilitation",$B644="NSP 120% AMI",NOT($M644="Common")),$E644,"")</f>
        <v/>
      </c>
      <c r="HK644" s="1070" t="str">
        <f t="shared" ref="HK644:HK681" si="168">IF(AND($C644=2, $O644="Rehabilitation",$B644="NSP 120% AMI",NOT($M644="Common")),$E644,"")</f>
        <v/>
      </c>
      <c r="HL644" s="1070" t="str">
        <f t="shared" ref="HL644:HL681" si="169">IF(AND($C644=3, $O644="Rehabilitation",$B644="NSP 120% AMI",NOT($M644="Common")),$E644,"")</f>
        <v/>
      </c>
      <c r="HM644" s="1070" t="str">
        <f t="shared" ref="HM644:HM681" si="170">IF(AND($C644=4, $O644="Rehabilitation",$B644="NSP 120% AMI",NOT($M644="Common")),$E644,"")</f>
        <v/>
      </c>
    </row>
    <row r="645" spans="1:221" ht="13.15" customHeight="1">
      <c r="A645" s="1082" t="str">
        <f t="shared" ref="A645:A681" si="171">IF(AND(E645&gt;0,OR(B645="",C645="",D645="",F645="",G645="", H645="",M645="",N645="",O645="")),1,"")</f>
        <v/>
      </c>
      <c r="B645" s="1035" t="str">
        <f>'Part VI-Revenues &amp; Expenses'!B11</f>
        <v>50% AMI</v>
      </c>
      <c r="C645" s="1036">
        <f>'Part VI-Revenues &amp; Expenses'!C11</f>
        <v>1</v>
      </c>
      <c r="D645" s="1037">
        <f>'Part VI-Revenues &amp; Expenses'!D11</f>
        <v>1</v>
      </c>
      <c r="E645" s="1038">
        <f>'Part VI-Revenues &amp; Expenses'!E11</f>
        <v>3</v>
      </c>
      <c r="F645" s="1038">
        <f>'Part VI-Revenues &amp; Expenses'!F11</f>
        <v>680</v>
      </c>
      <c r="G645" s="1038">
        <f>'Part VI-Revenues &amp; Expenses'!G11</f>
        <v>604</v>
      </c>
      <c r="H645" s="1038">
        <f>'Part VI-Revenues &amp; Expenses'!H11</f>
        <v>737</v>
      </c>
      <c r="I645" s="1038">
        <f>'Part VI-Revenues &amp; Expenses'!I11</f>
        <v>109</v>
      </c>
      <c r="J645" s="1101" t="str">
        <f>'Part VI-Revenues &amp; Expenses'!J11</f>
        <v>HUD</v>
      </c>
      <c r="K645" s="906">
        <f t="shared" ref="K645:K661" si="172">MAX(0,H645-I645)</f>
        <v>628</v>
      </c>
      <c r="L645" s="906">
        <f t="shared" si="0"/>
        <v>1884</v>
      </c>
      <c r="M645" s="829" t="str">
        <f>'Part VI-Revenues &amp; Expenses'!M11</f>
        <v>No</v>
      </c>
      <c r="N645" s="829" t="str">
        <f>'Part VI-Revenues &amp; Expenses'!N11</f>
        <v>3+ Story</v>
      </c>
      <c r="O645" s="829" t="str">
        <f>'Part VI-Revenues &amp; Expenses'!O11</f>
        <v>New Construction</v>
      </c>
      <c r="P645" s="907">
        <f>IF(H645="","",H645*12/0.3)</f>
        <v>29480</v>
      </c>
      <c r="Q645" s="908">
        <f>'Part VI-Revenues &amp; Expenses'!Q11</f>
        <v>0.61035196687370596</v>
      </c>
      <c r="R645" s="907"/>
      <c r="S645" s="908"/>
      <c r="T645" s="1575"/>
      <c r="U645" s="1575"/>
      <c r="V645" s="1070" t="str">
        <f t="shared" si="1"/>
        <v/>
      </c>
      <c r="W645" s="1070" t="str">
        <f t="shared" si="2"/>
        <v/>
      </c>
      <c r="X645" s="1070" t="str">
        <f t="shared" si="3"/>
        <v/>
      </c>
      <c r="Y645" s="1070" t="str">
        <f t="shared" si="4"/>
        <v/>
      </c>
      <c r="Z645" s="1070" t="str">
        <f t="shared" si="5"/>
        <v/>
      </c>
      <c r="AA645" s="1070" t="str">
        <f t="shared" si="6"/>
        <v/>
      </c>
      <c r="AB645" s="1070">
        <f t="shared" si="7"/>
        <v>3</v>
      </c>
      <c r="AC645" s="1070" t="str">
        <f t="shared" si="8"/>
        <v/>
      </c>
      <c r="AD645" s="1070" t="str">
        <f t="shared" si="9"/>
        <v/>
      </c>
      <c r="AE645" s="1070" t="str">
        <f t="shared" si="10"/>
        <v/>
      </c>
      <c r="AF645" s="1070" t="str">
        <f t="shared" si="11"/>
        <v/>
      </c>
      <c r="AG645" s="1070" t="str">
        <f t="shared" si="12"/>
        <v/>
      </c>
      <c r="AH645" s="1070" t="str">
        <f t="shared" si="13"/>
        <v/>
      </c>
      <c r="AI645" s="1070" t="str">
        <f t="shared" si="14"/>
        <v/>
      </c>
      <c r="AJ645" s="1070" t="str">
        <f t="shared" si="15"/>
        <v/>
      </c>
      <c r="AK645" s="1070" t="str">
        <f t="shared" si="16"/>
        <v/>
      </c>
      <c r="AL645" s="1070" t="str">
        <f t="shared" si="17"/>
        <v/>
      </c>
      <c r="AM645" s="1070" t="str">
        <f t="shared" si="18"/>
        <v/>
      </c>
      <c r="AN645" s="1070" t="str">
        <f t="shared" si="19"/>
        <v/>
      </c>
      <c r="AO645" s="1070" t="str">
        <f t="shared" si="20"/>
        <v/>
      </c>
      <c r="AP645" s="1070" t="str">
        <f t="shared" ref="AP645:AP681" si="173">IF(OR(AND($C645="Efficiency",NOT($J645=""),NOT($J645="PHA Oper Sub"),$B645="30% AMI",NOT($M645="Common")),AND($C645="Efficiency",NOT($J645=""),NOT($J645="PHA Oper Sub"),$B645="HOME 30% AMI",NOT($M645="Common"))),$E645,"")</f>
        <v/>
      </c>
      <c r="AQ645" s="1070" t="str">
        <f t="shared" ref="AQ645:AQ681" si="174">IF(OR(AND($C645=1,NOT($J645=""),NOT($J645="PHA Oper Sub"),$B645="30% AMI",NOT($M645="Common")),AND($C645=1,NOT($J645=""),NOT($J645="PHA Oper Sub"),$B645="HOME 30% AMI",NOT($M645="Common"))),$E645,"")</f>
        <v/>
      </c>
      <c r="AR645" s="1070" t="str">
        <f t="shared" ref="AR645:AR681" si="175">IF(OR(AND($C645=2,NOT($J645=""),NOT($J645="PHA Oper Sub"),$B645="30% AMI",NOT($M645="Common")),AND($C645=2,NOT($J645=""),NOT($J645="PHA Oper Sub"),$B645="HOME 30% AMI",NOT($M645="Common"))),$E645,"")</f>
        <v/>
      </c>
      <c r="AS645" s="1070" t="str">
        <f t="shared" ref="AS645:AS681" si="176">IF(OR(AND($C645=3,NOT($J645=""),NOT($J645="PHA Oper Sub"),$B645="30% AMI",NOT($M645="Common")),AND($C645=3,NOT($J645=""),NOT($J645="PHA Oper Sub"),$B645="HOME 30% AMI",NOT($M645="Common"))),$E645,"")</f>
        <v/>
      </c>
      <c r="AT645" s="1070" t="str">
        <f t="shared" ref="AT645:AT681" si="177">IF(OR(AND($C645=4,NOT($J645=""),NOT($J645="PHA Oper Sub"),$B645="30% AMI",NOT($M645="Common")),AND($C645=4,NOT($J645=""),NOT($J645="PHA Oper Sub"),$B645="HOME 30% AMI",NOT($M645="Common"))),$E645,"")</f>
        <v/>
      </c>
      <c r="AU645" s="1070" t="str">
        <f t="shared" ref="AU645:AU681" si="178">IF(OR(AND($C645="Efficiency",NOT($J645=""),NOT($J645="PHA Oper Sub"),NOT($J645=0),$B645="50% AMI",NOT($M645="Common")),AND($C645="Efficiency",NOT($J645=""),NOT($J645=0),NOT($J645="PHA Oper Sub"),$B645="HOME 50% AMI",NOT($M645="Common"))),$E645,"")</f>
        <v/>
      </c>
      <c r="AV645" s="1070">
        <f t="shared" ref="AV645:AV681" si="179">IF(OR(AND($C645=1,NOT($J645=""),NOT($J645=0),NOT($J645="PHA Oper Sub"),$B645="50% AMI",NOT($M645="Common")),AND($C645=1,NOT($J645=""),NOT($J645=0),NOT($J645="PHA Oper Sub"),$B645="HOME 50% AMI",NOT($M645="Common"))),$E645,"")</f>
        <v>3</v>
      </c>
      <c r="AW645" s="1070" t="str">
        <f t="shared" ref="AW645:AW681" si="180">IF(OR(AND($C645=2,NOT($J645=""),NOT($J645=0),NOT($J645="PHA Oper Sub"),$B645="50% AMI",NOT($M645="Common")),AND($C645=2,NOT($J645=""),NOT($J645=0),NOT($J645="PHA Oper Sub"),$B645="HOME 50% AMI",NOT($M645="Common"))),$E645,"")</f>
        <v/>
      </c>
      <c r="AX645" s="1070" t="str">
        <f t="shared" ref="AX645:AX681" si="181">IF(OR(AND($C645=3,NOT($J645=""),NOT($J645=0),NOT($J645="PHA Oper Sub"),$B645="50% AMI",NOT($M645="Common")),AND($C645=3,NOT($J645=""),NOT($J645=0),NOT($J645="PHA Oper Sub"),$B645="HOME 50% AMI",NOT($M645="Common"))),$E645,"")</f>
        <v/>
      </c>
      <c r="AY645" s="1070" t="str">
        <f t="shared" ref="AY645:AY681" si="182">IF(OR(AND($C645=4,NOT($J645=""),NOT($J645=0),NOT($J645="PHA Oper Sub"),$B645="50% AMI",NOT($M645="Common")),AND($C645=4,NOT($J645=""),NOT($J645=0),NOT($J645="PHA Oper Sub"),$B645="HOME 50% AMI",NOT($M645="Common"))),$E645,"")</f>
        <v/>
      </c>
      <c r="AZ645" s="1070" t="str">
        <f t="shared" ref="AZ645:AZ681" si="183">IF(OR(AND($C645="Efficiency",NOT($J645=""),NOT($J645=0),NOT($J645="PHA Oper Sub"),$B645="60% AMI",NOT($M645="Common")),AND($C645="Efficiency",NOT($J645=""),NOT($J645=0),NOT($J645="PHA Oper Sub"),$B645="HOME 60% AMI",NOT($M645="Common"))),$E645,"")</f>
        <v/>
      </c>
      <c r="BA645" s="1070" t="str">
        <f t="shared" ref="BA645:BA681" si="184">IF(OR(AND($C645=1,NOT($J645=""),NOT($J645=0),NOT($J645="PHA Oper Sub"),$B645="60% AMI",NOT($M645="Common")),AND($C645=1,NOT($J645=""),NOT($J645=0),NOT($J645="PHA Oper Sub"),$B645="HOME 60% AMI",NOT($M645="Common"))),$E645,"")</f>
        <v/>
      </c>
      <c r="BB645" s="1070" t="str">
        <f t="shared" ref="BB645:BB681" si="185">IF(OR(AND($C645=2,NOT($J645=""),NOT($J645=0),NOT($J645="PHA Oper Sub"),$B645="60% AMI",NOT($M645="Common")),AND($C645=2,NOT($J645=""),NOT($J645=0),NOT($J645="PHA Oper Sub"),$B645="HOME 60% AMI",NOT($M645="Common"))),$E645,"")</f>
        <v/>
      </c>
      <c r="BC645" s="1070" t="str">
        <f t="shared" ref="BC645:BC681" si="186">IF(OR(AND($C645=3,NOT($J645=""),NOT($J645=0),NOT($J645="PHA Oper Sub"),$B645="60% AMI",NOT($M645="Common")),AND($C645=3,NOT($J645=""),NOT($J645=0),NOT($J645="PHA Oper Sub"),$B645="HOME 60% AMI",NOT($M645="Common"))),$E645,"")</f>
        <v/>
      </c>
      <c r="BD645" s="1070" t="str">
        <f t="shared" ref="BD645:BD681" si="187">IF(OR(AND($C645=4,NOT($J645=""),NOT($J645=0),NOT($J645="PHA Oper Sub"),$B645="60% AMI",NOT($M645="Common")),AND($C645=4,NOT($J645=""),NOT($J645=0),NOT($J645="PHA Oper Sub"),$B645="HOME 60% AMI",NOT($M645="Common"))),$E645,"")</f>
        <v/>
      </c>
      <c r="BE645" s="1070" t="str">
        <f t="shared" ref="BE645:BE681" si="188">IF(OR(AND($C645="Efficiency",$J645="PHA Oper Sub",$B645="30% AMI",NOT($M645="Common")),AND($C645="Efficiency",$J645="PHA Oper Sub",$B645="HOME 30% AMI",NOT($M645="Common"))),$E645,"")</f>
        <v/>
      </c>
      <c r="BF645" s="1070" t="str">
        <f t="shared" ref="BF645:BF681" si="189">IF(OR(AND($C645=1,$J645="PHA Oper Sub",$B645="30% AMI",NOT($M645="Common")),AND($C645=1,$J645="PHA Oper Sub",$B645="HOME 30% AMI",NOT($M645="Common"))),$E645,"")</f>
        <v/>
      </c>
      <c r="BG645" s="1070" t="str">
        <f t="shared" ref="BG645:BG681" si="190">IF(OR(AND($C645=2,$J645="PHA Oper Sub",$B645="30% AMI",NOT($M645="Common")),AND($C645=2,$J645="PHA Oper Sub",$B645="HOME 30% AMI",NOT($M645="Common"))),$E645,"")</f>
        <v/>
      </c>
      <c r="BH645" s="1070" t="str">
        <f t="shared" ref="BH645:BH681" si="191">IF(OR(AND($C645=3,$J645="PHA Oper Sub",$B645="30% AMI",NOT($M645="Common")),AND($C645=3,$J645="PHA Oper Sub",$B645="HOME 30% AMI",NOT($M645="Common"))),$E645,"")</f>
        <v/>
      </c>
      <c r="BI645" s="1070" t="str">
        <f t="shared" ref="BI645:BI681" si="192">IF(OR(AND($C645=4,$J645="PHA Oper Sub",$B645="30% AMI",NOT($M645="Common")),AND($C645=4,$J645="PHA Oper Sub",$B645="HOME 30% AMI",NOT($M645="Common"))),$E645,"")</f>
        <v/>
      </c>
      <c r="BJ645" s="1070" t="str">
        <f t="shared" ref="BJ645:BJ681" si="193">IF(OR(AND($C645="Efficiency",$J645="PHA Oper Sub",$B645="50% AMI",NOT($M645="Common")),AND($C645="Efficiency",$J645="PHA Oper Sub",$B645="HOME 50% AMI",NOT($M645="Common"))),$E645,"")</f>
        <v/>
      </c>
      <c r="BK645" s="1070" t="str">
        <f t="shared" ref="BK645:BK681" si="194">IF(OR(AND($C645=1,$J645="PHA Oper Sub",$B645="50% AMI",NOT($M645="Common")),AND($C645=1,$J645="PHA Oper Sub",$B645="HOME 50% AMI",NOT($M645="Common"))),$E645,"")</f>
        <v/>
      </c>
      <c r="BL645" s="1070" t="str">
        <f t="shared" ref="BL645:BL681" si="195">IF(OR(AND($C645=2,$J645="PHA Oper Sub",$B645="50% AMI",NOT($M645="Common")),AND($C645=2,$J645="PHA Oper Sub",$B645="HOME 50% AMI",NOT($M645="Common"))),$E645,"")</f>
        <v/>
      </c>
      <c r="BM645" s="1070" t="str">
        <f t="shared" ref="BM645:BM681" si="196">IF(OR(AND($C645=3,$J645="PHA Oper Sub",$B645="50% AMI",NOT($M645="Common")),AND($C645=3,$J645="PHA Oper Sub",$B645="HOME 50% AMI",NOT($M645="Common"))),$E645,"")</f>
        <v/>
      </c>
      <c r="BN645" s="1070" t="str">
        <f t="shared" ref="BN645:BN681" si="197">IF(OR(AND($C645=4,$J645="PHA Oper Sub",$B645="50% AMI",NOT($M645="Common")),AND($C645=4,$J645="PHA Oper Sub",$B645="HOME 50% AMI",NOT($M645="Common"))),$E645,"")</f>
        <v/>
      </c>
      <c r="BO645" s="1070" t="str">
        <f t="shared" ref="BO645:BO681" si="198">IF(OR(AND($C645="Efficiency",$J645="PHA Oper Sub",$B645="60% AMI",NOT($M645="Common")),AND($C645="Efficiency",$J645="PHA Oper Sub",$B645="HOME 60% AMI",NOT($M645="Common"))),$E645,"")</f>
        <v/>
      </c>
      <c r="BP645" s="1070" t="str">
        <f t="shared" ref="BP645:BP681" si="199">IF(OR(AND($C645=1,$J645="PHA Oper Sub",$B645="60% AMI",NOT($M645="Common")),AND($C645=1,$J645="PHA Oper Sub",$B645="HOME 60% AMI",NOT($M645="Common"))),$E645,"")</f>
        <v/>
      </c>
      <c r="BQ645" s="1070" t="str">
        <f t="shared" ref="BQ645:BQ681" si="200">IF(OR(AND($C645=2,$J645="PHA Oper Sub",$B645="60% AMI",NOT($M645="Common")),AND($C645=2,$J645="PHA Oper Sub",$B645="HOME 60% AMI",NOT($M645="Common"))),$E645,"")</f>
        <v/>
      </c>
      <c r="BR645" s="1070" t="str">
        <f t="shared" ref="BR645:BR681" si="201">IF(OR(AND($C645=3,$J645="PHA Oper Sub",$B645="60% AMI",NOT($M645="Common")),AND($C645=3,$J645="PHA Oper Sub",$B645="HOME 60% AMI",NOT($M645="Common"))),$E645,"")</f>
        <v/>
      </c>
      <c r="BS645" s="1070" t="str">
        <f t="shared" ref="BS645:BS681" si="202">IF(OR(AND($C645=4,$J645="PHA Oper Sub",$B645="60% AMI",NOT($M645="Common")),AND($C645=4,$J645="PHA Oper Sub",$B645="HOME 60% AMI",NOT($M645="Common"))),$E645,"")</f>
        <v/>
      </c>
      <c r="BT645" s="1070" t="str">
        <f t="shared" si="21"/>
        <v/>
      </c>
      <c r="BU645" s="1070" t="str">
        <f t="shared" si="22"/>
        <v/>
      </c>
      <c r="BV645" s="1070" t="str">
        <f t="shared" si="23"/>
        <v/>
      </c>
      <c r="BW645" s="1070" t="str">
        <f t="shared" si="24"/>
        <v/>
      </c>
      <c r="BX645" s="1070" t="str">
        <f t="shared" si="25"/>
        <v/>
      </c>
      <c r="BY645" s="1070" t="str">
        <f t="shared" si="26"/>
        <v/>
      </c>
      <c r="BZ645" s="1070" t="str">
        <f t="shared" si="27"/>
        <v/>
      </c>
      <c r="CA645" s="1070" t="str">
        <f t="shared" si="28"/>
        <v/>
      </c>
      <c r="CB645" s="1070" t="str">
        <f t="shared" si="29"/>
        <v/>
      </c>
      <c r="CC645" s="1070" t="str">
        <f t="shared" si="30"/>
        <v/>
      </c>
      <c r="CD645" s="1070" t="str">
        <f t="shared" si="31"/>
        <v/>
      </c>
      <c r="CE645" s="1070">
        <f t="shared" si="32"/>
        <v>2040</v>
      </c>
      <c r="CF645" s="1070" t="str">
        <f t="shared" si="33"/>
        <v/>
      </c>
      <c r="CG645" s="1070" t="str">
        <f t="shared" si="34"/>
        <v/>
      </c>
      <c r="CH645" s="1070" t="str">
        <f t="shared" si="35"/>
        <v/>
      </c>
      <c r="CI645" s="1070" t="str">
        <f t="shared" si="36"/>
        <v/>
      </c>
      <c r="CJ645" s="1070" t="str">
        <f t="shared" si="37"/>
        <v/>
      </c>
      <c r="CK645" s="1070" t="str">
        <f t="shared" si="38"/>
        <v/>
      </c>
      <c r="CL645" s="1070" t="str">
        <f t="shared" si="39"/>
        <v/>
      </c>
      <c r="CM645" s="1070" t="str">
        <f t="shared" si="40"/>
        <v/>
      </c>
      <c r="CN645" s="1070" t="str">
        <f t="shared" si="41"/>
        <v/>
      </c>
      <c r="CO645" s="1070" t="str">
        <f t="shared" si="42"/>
        <v/>
      </c>
      <c r="CP645" s="1070" t="str">
        <f t="shared" si="43"/>
        <v/>
      </c>
      <c r="CQ645" s="1070" t="str">
        <f t="shared" si="44"/>
        <v/>
      </c>
      <c r="CR645" s="1070" t="str">
        <f t="shared" si="45"/>
        <v/>
      </c>
      <c r="CS645" s="1070" t="str">
        <f t="shared" si="46"/>
        <v/>
      </c>
      <c r="CT645" s="1070">
        <f t="shared" si="47"/>
        <v>2040</v>
      </c>
      <c r="CU645" s="1070" t="str">
        <f t="shared" si="48"/>
        <v/>
      </c>
      <c r="CV645" s="1070" t="str">
        <f t="shared" si="49"/>
        <v/>
      </c>
      <c r="CW645" s="1070" t="str">
        <f t="shared" si="50"/>
        <v/>
      </c>
      <c r="CX645" s="1070" t="str">
        <f t="shared" si="51"/>
        <v/>
      </c>
      <c r="CY645" s="1070" t="str">
        <f t="shared" si="52"/>
        <v/>
      </c>
      <c r="CZ645" s="1070" t="str">
        <f t="shared" si="53"/>
        <v/>
      </c>
      <c r="DA645" s="1070" t="str">
        <f t="shared" si="54"/>
        <v/>
      </c>
      <c r="DB645" s="1070" t="str">
        <f t="shared" si="55"/>
        <v/>
      </c>
      <c r="DC645" s="1070" t="str">
        <f t="shared" si="56"/>
        <v/>
      </c>
      <c r="DD645" s="1070">
        <f t="shared" si="57"/>
        <v>3</v>
      </c>
      <c r="DE645" s="1070" t="str">
        <f t="shared" si="58"/>
        <v/>
      </c>
      <c r="DF645" s="1070" t="str">
        <f t="shared" si="59"/>
        <v/>
      </c>
      <c r="DG645" s="1070" t="str">
        <f t="shared" si="60"/>
        <v/>
      </c>
      <c r="DH645" s="1070" t="str">
        <f t="shared" si="61"/>
        <v/>
      </c>
      <c r="DI645" s="1070" t="str">
        <f t="shared" si="62"/>
        <v/>
      </c>
      <c r="DJ645" s="1070" t="str">
        <f t="shared" si="63"/>
        <v/>
      </c>
      <c r="DK645" s="1070" t="str">
        <f t="shared" si="64"/>
        <v/>
      </c>
      <c r="DL645" s="1070" t="str">
        <f t="shared" si="65"/>
        <v/>
      </c>
      <c r="DM645" s="1070" t="str">
        <f t="shared" si="66"/>
        <v/>
      </c>
      <c r="DN645" s="1070" t="str">
        <f t="shared" si="67"/>
        <v/>
      </c>
      <c r="DO645" s="1070" t="str">
        <f t="shared" si="68"/>
        <v/>
      </c>
      <c r="DP645" s="1070" t="str">
        <f t="shared" si="69"/>
        <v/>
      </c>
      <c r="DQ645" s="1070" t="str">
        <f t="shared" si="70"/>
        <v/>
      </c>
      <c r="DR645" s="1070" t="str">
        <f t="shared" si="71"/>
        <v/>
      </c>
      <c r="DS645" s="1070" t="str">
        <f t="shared" si="72"/>
        <v/>
      </c>
      <c r="DT645" s="1070" t="str">
        <f t="shared" si="73"/>
        <v/>
      </c>
      <c r="DU645" s="1070" t="str">
        <f t="shared" si="74"/>
        <v/>
      </c>
      <c r="DV645" s="1070" t="str">
        <f t="shared" si="75"/>
        <v/>
      </c>
      <c r="DW645" s="1070" t="str">
        <f t="shared" si="76"/>
        <v/>
      </c>
      <c r="DX645" s="1070" t="str">
        <f t="shared" si="77"/>
        <v/>
      </c>
      <c r="DY645" s="1070" t="str">
        <f t="shared" si="78"/>
        <v/>
      </c>
      <c r="DZ645" s="1070" t="str">
        <f t="shared" si="79"/>
        <v/>
      </c>
      <c r="EA645" s="1070" t="str">
        <f t="shared" si="80"/>
        <v/>
      </c>
      <c r="EB645" s="1070" t="str">
        <f t="shared" si="81"/>
        <v/>
      </c>
      <c r="EC645" s="1070" t="str">
        <f t="shared" si="82"/>
        <v/>
      </c>
      <c r="ED645" s="1070" t="str">
        <f t="shared" si="83"/>
        <v/>
      </c>
      <c r="EE645" s="1070" t="str">
        <f t="shared" si="84"/>
        <v/>
      </c>
      <c r="EF645" s="1070" t="str">
        <f t="shared" si="85"/>
        <v/>
      </c>
      <c r="EG645" s="1070" t="str">
        <f t="shared" si="86"/>
        <v/>
      </c>
      <c r="EH645" s="1070" t="str">
        <f t="shared" si="87"/>
        <v/>
      </c>
      <c r="EI645" s="1070" t="str">
        <f t="shared" si="88"/>
        <v/>
      </c>
      <c r="EJ645" s="1070" t="str">
        <f t="shared" si="89"/>
        <v/>
      </c>
      <c r="EK645" s="1070" t="str">
        <f t="shared" si="90"/>
        <v/>
      </c>
      <c r="EL645" s="1070" t="str">
        <f t="shared" si="91"/>
        <v/>
      </c>
      <c r="EM645" s="1070" t="str">
        <f t="shared" si="92"/>
        <v/>
      </c>
      <c r="EN645" s="1070" t="str">
        <f t="shared" si="93"/>
        <v/>
      </c>
      <c r="EO645" s="1070" t="str">
        <f t="shared" si="94"/>
        <v/>
      </c>
      <c r="EP645" s="1070" t="str">
        <f t="shared" si="95"/>
        <v/>
      </c>
      <c r="EQ645" s="1070" t="str">
        <f t="shared" si="96"/>
        <v/>
      </c>
      <c r="ER645" s="1070" t="str">
        <f t="shared" si="97"/>
        <v/>
      </c>
      <c r="ES645" s="1070" t="str">
        <f t="shared" si="98"/>
        <v/>
      </c>
      <c r="ET645" s="1070" t="str">
        <f t="shared" si="99"/>
        <v/>
      </c>
      <c r="EU645" s="1070" t="str">
        <f t="shared" si="100"/>
        <v/>
      </c>
      <c r="EV645" s="831" t="str">
        <f t="shared" si="101"/>
        <v/>
      </c>
      <c r="EW645" s="831">
        <f t="shared" si="102"/>
        <v>3</v>
      </c>
      <c r="EX645" s="831" t="str">
        <f t="shared" si="103"/>
        <v/>
      </c>
      <c r="EY645" s="831" t="str">
        <f t="shared" si="104"/>
        <v/>
      </c>
      <c r="EZ645" s="831" t="str">
        <f t="shared" si="105"/>
        <v/>
      </c>
      <c r="FA645" s="831" t="str">
        <f t="shared" si="106"/>
        <v/>
      </c>
      <c r="FB645" s="831" t="str">
        <f t="shared" si="107"/>
        <v/>
      </c>
      <c r="FC645" s="831" t="str">
        <f t="shared" si="108"/>
        <v/>
      </c>
      <c r="FD645" s="831" t="str">
        <f t="shared" si="109"/>
        <v/>
      </c>
      <c r="FE645" s="831" t="str">
        <f t="shared" si="110"/>
        <v/>
      </c>
      <c r="FF645" s="831" t="str">
        <f t="shared" si="111"/>
        <v/>
      </c>
      <c r="FG645" s="831" t="str">
        <f t="shared" si="112"/>
        <v/>
      </c>
      <c r="FH645" s="831" t="str">
        <f t="shared" si="113"/>
        <v/>
      </c>
      <c r="FI645" s="831" t="str">
        <f t="shared" si="114"/>
        <v/>
      </c>
      <c r="FJ645" s="831" t="str">
        <f t="shared" si="115"/>
        <v/>
      </c>
      <c r="FK645" s="831" t="str">
        <f t="shared" si="116"/>
        <v/>
      </c>
      <c r="FL645" s="831" t="str">
        <f t="shared" si="117"/>
        <v/>
      </c>
      <c r="FM645" s="831" t="str">
        <f t="shared" si="118"/>
        <v/>
      </c>
      <c r="FN645" s="831" t="str">
        <f t="shared" si="119"/>
        <v/>
      </c>
      <c r="FO645" s="831" t="str">
        <f t="shared" si="120"/>
        <v/>
      </c>
      <c r="FP645" s="831" t="str">
        <f t="shared" si="121"/>
        <v/>
      </c>
      <c r="FQ645" s="831" t="str">
        <f t="shared" si="122"/>
        <v/>
      </c>
      <c r="FR645" s="831" t="str">
        <f t="shared" si="123"/>
        <v/>
      </c>
      <c r="FS645" s="831" t="str">
        <f t="shared" si="124"/>
        <v/>
      </c>
      <c r="FT645" s="831" t="str">
        <f t="shared" si="125"/>
        <v/>
      </c>
      <c r="FU645" s="831" t="str">
        <f t="shared" si="126"/>
        <v/>
      </c>
      <c r="FV645" s="831" t="str">
        <f t="shared" si="127"/>
        <v/>
      </c>
      <c r="FW645" s="831" t="str">
        <f t="shared" si="128"/>
        <v/>
      </c>
      <c r="FX645" s="831" t="str">
        <f t="shared" si="129"/>
        <v/>
      </c>
      <c r="FY645" s="831" t="str">
        <f t="shared" si="130"/>
        <v/>
      </c>
      <c r="FZ645" s="831" t="str">
        <f t="shared" si="131"/>
        <v/>
      </c>
      <c r="GA645" s="831" t="str">
        <f t="shared" si="132"/>
        <v/>
      </c>
      <c r="GB645" s="831" t="str">
        <f t="shared" si="133"/>
        <v/>
      </c>
      <c r="GC645" s="831" t="str">
        <f t="shared" si="134"/>
        <v/>
      </c>
      <c r="GD645" s="831" t="str">
        <f t="shared" si="135"/>
        <v/>
      </c>
      <c r="GE645" s="831" t="str">
        <f t="shared" si="136"/>
        <v/>
      </c>
      <c r="GF645" s="831" t="str">
        <f t="shared" si="137"/>
        <v/>
      </c>
      <c r="GG645" s="831" t="str">
        <f t="shared" si="138"/>
        <v/>
      </c>
      <c r="GH645" s="831" t="str">
        <f t="shared" si="139"/>
        <v/>
      </c>
      <c r="GI645" s="831" t="str">
        <f t="shared" si="140"/>
        <v/>
      </c>
      <c r="GJ645" s="831" t="str">
        <f t="shared" si="141"/>
        <v/>
      </c>
      <c r="GK645" s="831">
        <f t="shared" si="142"/>
        <v>3</v>
      </c>
      <c r="GL645" s="831" t="str">
        <f t="shared" si="143"/>
        <v/>
      </c>
      <c r="GM645" s="831" t="str">
        <f t="shared" si="144"/>
        <v/>
      </c>
      <c r="GN645" s="831" t="str">
        <f t="shared" si="145"/>
        <v/>
      </c>
      <c r="GO645" s="1113" t="str">
        <f t="shared" si="146"/>
        <v/>
      </c>
      <c r="GP645" s="1113" t="str">
        <f t="shared" si="147"/>
        <v/>
      </c>
      <c r="GQ645" s="1113" t="str">
        <f t="shared" si="148"/>
        <v/>
      </c>
      <c r="GR645" s="1113" t="str">
        <f t="shared" si="149"/>
        <v/>
      </c>
      <c r="GS645" s="1113" t="str">
        <f t="shared" si="150"/>
        <v/>
      </c>
      <c r="GT645" s="1070" t="str">
        <f t="shared" si="151"/>
        <v/>
      </c>
      <c r="GU645" s="1070" t="str">
        <f t="shared" si="152"/>
        <v/>
      </c>
      <c r="GV645" s="1070" t="str">
        <f t="shared" si="153"/>
        <v/>
      </c>
      <c r="GW645" s="1070" t="str">
        <f t="shared" si="154"/>
        <v/>
      </c>
      <c r="GX645" s="1070" t="str">
        <f t="shared" si="155"/>
        <v/>
      </c>
      <c r="GY645" s="1070" t="str">
        <f t="shared" si="156"/>
        <v/>
      </c>
      <c r="GZ645" s="1070" t="str">
        <f t="shared" si="157"/>
        <v/>
      </c>
      <c r="HA645" s="1070" t="str">
        <f t="shared" si="158"/>
        <v/>
      </c>
      <c r="HB645" s="1070" t="str">
        <f t="shared" si="159"/>
        <v/>
      </c>
      <c r="HC645" s="1070" t="str">
        <f t="shared" si="160"/>
        <v/>
      </c>
      <c r="HD645" s="1070" t="str">
        <f t="shared" si="161"/>
        <v/>
      </c>
      <c r="HE645" s="1070" t="str">
        <f t="shared" si="162"/>
        <v/>
      </c>
      <c r="HF645" s="1070" t="str">
        <f t="shared" si="163"/>
        <v/>
      </c>
      <c r="HG645" s="1070" t="str">
        <f t="shared" si="164"/>
        <v/>
      </c>
      <c r="HH645" s="1070" t="str">
        <f t="shared" si="165"/>
        <v/>
      </c>
      <c r="HI645" s="1070" t="str">
        <f t="shared" si="166"/>
        <v/>
      </c>
      <c r="HJ645" s="1070" t="str">
        <f t="shared" si="167"/>
        <v/>
      </c>
      <c r="HK645" s="1070" t="str">
        <f t="shared" si="168"/>
        <v/>
      </c>
      <c r="HL645" s="1070" t="str">
        <f t="shared" si="169"/>
        <v/>
      </c>
      <c r="HM645" s="1070" t="str">
        <f t="shared" si="170"/>
        <v/>
      </c>
    </row>
    <row r="646" spans="1:221" ht="13.15" customHeight="1">
      <c r="A646" s="1082" t="str">
        <f t="shared" si="171"/>
        <v/>
      </c>
      <c r="B646" s="1035" t="str">
        <f>'Part VI-Revenues &amp; Expenses'!B12</f>
        <v>50% AMI</v>
      </c>
      <c r="C646" s="1036">
        <f>'Part VI-Revenues &amp; Expenses'!C12</f>
        <v>2</v>
      </c>
      <c r="D646" s="1037">
        <f>'Part VI-Revenues &amp; Expenses'!D12</f>
        <v>1</v>
      </c>
      <c r="E646" s="1038">
        <f>'Part VI-Revenues &amp; Expenses'!E12</f>
        <v>2</v>
      </c>
      <c r="F646" s="1038">
        <f>'Part VI-Revenues &amp; Expenses'!F12</f>
        <v>886</v>
      </c>
      <c r="G646" s="1038">
        <f>'Part VI-Revenues &amp; Expenses'!G12</f>
        <v>725</v>
      </c>
      <c r="H646" s="1038">
        <f>'Part VI-Revenues &amp; Expenses'!H12</f>
        <v>789</v>
      </c>
      <c r="I646" s="1038">
        <f>'Part VI-Revenues &amp; Expenses'!I12</f>
        <v>176</v>
      </c>
      <c r="J646" s="1101" t="str">
        <f>'Part VI-Revenues &amp; Expenses'!J12</f>
        <v>HUD</v>
      </c>
      <c r="K646" s="906">
        <f t="shared" si="172"/>
        <v>613</v>
      </c>
      <c r="L646" s="906">
        <f t="shared" si="0"/>
        <v>1226</v>
      </c>
      <c r="M646" s="829" t="str">
        <f>'Part VI-Revenues &amp; Expenses'!M12</f>
        <v>No</v>
      </c>
      <c r="N646" s="829" t="str">
        <f>'Part VI-Revenues &amp; Expenses'!N12</f>
        <v>3+ Story</v>
      </c>
      <c r="O646" s="829" t="str">
        <f>'Part VI-Revenues &amp; Expenses'!O12</f>
        <v>New Construction</v>
      </c>
      <c r="P646" s="907">
        <f>IF(H646="","",H646*12/0.3)</f>
        <v>31560</v>
      </c>
      <c r="Q646" s="908">
        <f>'Part VI-Revenues &amp; Expenses'!Q12</f>
        <v>0.54451345755693581</v>
      </c>
      <c r="R646" s="907"/>
      <c r="S646" s="908"/>
      <c r="T646" s="1575"/>
      <c r="U646" s="1575"/>
      <c r="V646" s="1070" t="str">
        <f t="shared" si="1"/>
        <v/>
      </c>
      <c r="W646" s="1070" t="str">
        <f t="shared" si="2"/>
        <v/>
      </c>
      <c r="X646" s="1070" t="str">
        <f t="shared" si="3"/>
        <v/>
      </c>
      <c r="Y646" s="1070" t="str">
        <f t="shared" si="4"/>
        <v/>
      </c>
      <c r="Z646" s="1070" t="str">
        <f t="shared" si="5"/>
        <v/>
      </c>
      <c r="AA646" s="1070" t="str">
        <f t="shared" si="6"/>
        <v/>
      </c>
      <c r="AB646" s="1070" t="str">
        <f t="shared" si="7"/>
        <v/>
      </c>
      <c r="AC646" s="1070">
        <f t="shared" si="8"/>
        <v>2</v>
      </c>
      <c r="AD646" s="1070" t="str">
        <f t="shared" si="9"/>
        <v/>
      </c>
      <c r="AE646" s="1070" t="str">
        <f t="shared" si="10"/>
        <v/>
      </c>
      <c r="AF646" s="1070" t="str">
        <f t="shared" si="11"/>
        <v/>
      </c>
      <c r="AG646" s="1070" t="str">
        <f t="shared" si="12"/>
        <v/>
      </c>
      <c r="AH646" s="1070" t="str">
        <f t="shared" si="13"/>
        <v/>
      </c>
      <c r="AI646" s="1070" t="str">
        <f t="shared" si="14"/>
        <v/>
      </c>
      <c r="AJ646" s="1070" t="str">
        <f t="shared" si="15"/>
        <v/>
      </c>
      <c r="AK646" s="1070" t="str">
        <f t="shared" si="16"/>
        <v/>
      </c>
      <c r="AL646" s="1070" t="str">
        <f t="shared" si="17"/>
        <v/>
      </c>
      <c r="AM646" s="1070" t="str">
        <f t="shared" si="18"/>
        <v/>
      </c>
      <c r="AN646" s="1070" t="str">
        <f t="shared" si="19"/>
        <v/>
      </c>
      <c r="AO646" s="1070" t="str">
        <f t="shared" si="20"/>
        <v/>
      </c>
      <c r="AP646" s="1070" t="str">
        <f t="shared" si="173"/>
        <v/>
      </c>
      <c r="AQ646" s="1070" t="str">
        <f t="shared" si="174"/>
        <v/>
      </c>
      <c r="AR646" s="1070" t="str">
        <f t="shared" si="175"/>
        <v/>
      </c>
      <c r="AS646" s="1070" t="str">
        <f t="shared" si="176"/>
        <v/>
      </c>
      <c r="AT646" s="1070" t="str">
        <f t="shared" si="177"/>
        <v/>
      </c>
      <c r="AU646" s="1070" t="str">
        <f t="shared" si="178"/>
        <v/>
      </c>
      <c r="AV646" s="1070" t="str">
        <f t="shared" si="179"/>
        <v/>
      </c>
      <c r="AW646" s="1070">
        <f t="shared" si="180"/>
        <v>2</v>
      </c>
      <c r="AX646" s="1070" t="str">
        <f t="shared" si="181"/>
        <v/>
      </c>
      <c r="AY646" s="1070" t="str">
        <f t="shared" si="182"/>
        <v/>
      </c>
      <c r="AZ646" s="1070" t="str">
        <f t="shared" si="183"/>
        <v/>
      </c>
      <c r="BA646" s="1070" t="str">
        <f t="shared" si="184"/>
        <v/>
      </c>
      <c r="BB646" s="1070" t="str">
        <f t="shared" si="185"/>
        <v/>
      </c>
      <c r="BC646" s="1070" t="str">
        <f t="shared" si="186"/>
        <v/>
      </c>
      <c r="BD646" s="1070" t="str">
        <f t="shared" si="187"/>
        <v/>
      </c>
      <c r="BE646" s="1070" t="str">
        <f t="shared" si="188"/>
        <v/>
      </c>
      <c r="BF646" s="1070" t="str">
        <f t="shared" si="189"/>
        <v/>
      </c>
      <c r="BG646" s="1070" t="str">
        <f t="shared" si="190"/>
        <v/>
      </c>
      <c r="BH646" s="1070" t="str">
        <f t="shared" si="191"/>
        <v/>
      </c>
      <c r="BI646" s="1070" t="str">
        <f t="shared" si="192"/>
        <v/>
      </c>
      <c r="BJ646" s="1070" t="str">
        <f t="shared" si="193"/>
        <v/>
      </c>
      <c r="BK646" s="1070" t="str">
        <f t="shared" si="194"/>
        <v/>
      </c>
      <c r="BL646" s="1070" t="str">
        <f t="shared" si="195"/>
        <v/>
      </c>
      <c r="BM646" s="1070" t="str">
        <f t="shared" si="196"/>
        <v/>
      </c>
      <c r="BN646" s="1070" t="str">
        <f t="shared" si="197"/>
        <v/>
      </c>
      <c r="BO646" s="1070" t="str">
        <f t="shared" si="198"/>
        <v/>
      </c>
      <c r="BP646" s="1070" t="str">
        <f t="shared" si="199"/>
        <v/>
      </c>
      <c r="BQ646" s="1070" t="str">
        <f t="shared" si="200"/>
        <v/>
      </c>
      <c r="BR646" s="1070" t="str">
        <f t="shared" si="201"/>
        <v/>
      </c>
      <c r="BS646" s="1070" t="str">
        <f t="shared" si="202"/>
        <v/>
      </c>
      <c r="BT646" s="1070" t="str">
        <f t="shared" si="21"/>
        <v/>
      </c>
      <c r="BU646" s="1070" t="str">
        <f t="shared" si="22"/>
        <v/>
      </c>
      <c r="BV646" s="1070" t="str">
        <f t="shared" si="23"/>
        <v/>
      </c>
      <c r="BW646" s="1070" t="str">
        <f t="shared" si="24"/>
        <v/>
      </c>
      <c r="BX646" s="1070" t="str">
        <f t="shared" si="25"/>
        <v/>
      </c>
      <c r="BY646" s="1070" t="str">
        <f t="shared" si="26"/>
        <v/>
      </c>
      <c r="BZ646" s="1070" t="str">
        <f t="shared" si="27"/>
        <v/>
      </c>
      <c r="CA646" s="1070" t="str">
        <f t="shared" si="28"/>
        <v/>
      </c>
      <c r="CB646" s="1070" t="str">
        <f t="shared" si="29"/>
        <v/>
      </c>
      <c r="CC646" s="1070" t="str">
        <f t="shared" si="30"/>
        <v/>
      </c>
      <c r="CD646" s="1070" t="str">
        <f t="shared" si="31"/>
        <v/>
      </c>
      <c r="CE646" s="1070" t="str">
        <f t="shared" si="32"/>
        <v/>
      </c>
      <c r="CF646" s="1070">
        <f t="shared" si="33"/>
        <v>1772</v>
      </c>
      <c r="CG646" s="1070" t="str">
        <f t="shared" si="34"/>
        <v/>
      </c>
      <c r="CH646" s="1070" t="str">
        <f t="shared" si="35"/>
        <v/>
      </c>
      <c r="CI646" s="1070" t="str">
        <f t="shared" si="36"/>
        <v/>
      </c>
      <c r="CJ646" s="1070" t="str">
        <f t="shared" si="37"/>
        <v/>
      </c>
      <c r="CK646" s="1070" t="str">
        <f t="shared" si="38"/>
        <v/>
      </c>
      <c r="CL646" s="1070" t="str">
        <f t="shared" si="39"/>
        <v/>
      </c>
      <c r="CM646" s="1070" t="str">
        <f t="shared" si="40"/>
        <v/>
      </c>
      <c r="CN646" s="1070" t="str">
        <f t="shared" si="41"/>
        <v/>
      </c>
      <c r="CO646" s="1070" t="str">
        <f t="shared" si="42"/>
        <v/>
      </c>
      <c r="CP646" s="1070" t="str">
        <f t="shared" si="43"/>
        <v/>
      </c>
      <c r="CQ646" s="1070" t="str">
        <f t="shared" si="44"/>
        <v/>
      </c>
      <c r="CR646" s="1070" t="str">
        <f t="shared" si="45"/>
        <v/>
      </c>
      <c r="CS646" s="1070" t="str">
        <f t="shared" si="46"/>
        <v/>
      </c>
      <c r="CT646" s="1070" t="str">
        <f t="shared" si="47"/>
        <v/>
      </c>
      <c r="CU646" s="1070">
        <f t="shared" si="48"/>
        <v>1772</v>
      </c>
      <c r="CV646" s="1070" t="str">
        <f t="shared" si="49"/>
        <v/>
      </c>
      <c r="CW646" s="1070" t="str">
        <f t="shared" si="50"/>
        <v/>
      </c>
      <c r="CX646" s="1070" t="str">
        <f t="shared" si="51"/>
        <v/>
      </c>
      <c r="CY646" s="1070" t="str">
        <f t="shared" si="52"/>
        <v/>
      </c>
      <c r="CZ646" s="1070" t="str">
        <f t="shared" si="53"/>
        <v/>
      </c>
      <c r="DA646" s="1070" t="str">
        <f t="shared" si="54"/>
        <v/>
      </c>
      <c r="DB646" s="1070" t="str">
        <f t="shared" si="55"/>
        <v/>
      </c>
      <c r="DC646" s="1070" t="str">
        <f t="shared" si="56"/>
        <v/>
      </c>
      <c r="DD646" s="1070" t="str">
        <f t="shared" si="57"/>
        <v/>
      </c>
      <c r="DE646" s="1070">
        <f t="shared" si="58"/>
        <v>2</v>
      </c>
      <c r="DF646" s="1070" t="str">
        <f t="shared" si="59"/>
        <v/>
      </c>
      <c r="DG646" s="1070" t="str">
        <f t="shared" si="60"/>
        <v/>
      </c>
      <c r="DH646" s="1070" t="str">
        <f t="shared" si="61"/>
        <v/>
      </c>
      <c r="DI646" s="1070" t="str">
        <f t="shared" si="62"/>
        <v/>
      </c>
      <c r="DJ646" s="1070" t="str">
        <f t="shared" si="63"/>
        <v/>
      </c>
      <c r="DK646" s="1070" t="str">
        <f t="shared" si="64"/>
        <v/>
      </c>
      <c r="DL646" s="1070" t="str">
        <f t="shared" si="65"/>
        <v/>
      </c>
      <c r="DM646" s="1070" t="str">
        <f t="shared" si="66"/>
        <v/>
      </c>
      <c r="DN646" s="1070" t="str">
        <f t="shared" si="67"/>
        <v/>
      </c>
      <c r="DO646" s="1070" t="str">
        <f t="shared" si="68"/>
        <v/>
      </c>
      <c r="DP646" s="1070" t="str">
        <f t="shared" si="69"/>
        <v/>
      </c>
      <c r="DQ646" s="1070" t="str">
        <f t="shared" si="70"/>
        <v/>
      </c>
      <c r="DR646" s="1070" t="str">
        <f t="shared" si="71"/>
        <v/>
      </c>
      <c r="DS646" s="1070" t="str">
        <f t="shared" si="72"/>
        <v/>
      </c>
      <c r="DT646" s="1070" t="str">
        <f t="shared" si="73"/>
        <v/>
      </c>
      <c r="DU646" s="1070" t="str">
        <f t="shared" si="74"/>
        <v/>
      </c>
      <c r="DV646" s="1070" t="str">
        <f t="shared" si="75"/>
        <v/>
      </c>
      <c r="DW646" s="1070" t="str">
        <f t="shared" si="76"/>
        <v/>
      </c>
      <c r="DX646" s="1070" t="str">
        <f t="shared" si="77"/>
        <v/>
      </c>
      <c r="DY646" s="1070" t="str">
        <f t="shared" si="78"/>
        <v/>
      </c>
      <c r="DZ646" s="1070" t="str">
        <f t="shared" si="79"/>
        <v/>
      </c>
      <c r="EA646" s="1070" t="str">
        <f t="shared" si="80"/>
        <v/>
      </c>
      <c r="EB646" s="1070" t="str">
        <f t="shared" si="81"/>
        <v/>
      </c>
      <c r="EC646" s="1070" t="str">
        <f t="shared" si="82"/>
        <v/>
      </c>
      <c r="ED646" s="1070" t="str">
        <f t="shared" si="83"/>
        <v/>
      </c>
      <c r="EE646" s="1070" t="str">
        <f t="shared" si="84"/>
        <v/>
      </c>
      <c r="EF646" s="1070" t="str">
        <f t="shared" si="85"/>
        <v/>
      </c>
      <c r="EG646" s="1070" t="str">
        <f t="shared" si="86"/>
        <v/>
      </c>
      <c r="EH646" s="1070" t="str">
        <f t="shared" si="87"/>
        <v/>
      </c>
      <c r="EI646" s="1070" t="str">
        <f t="shared" si="88"/>
        <v/>
      </c>
      <c r="EJ646" s="1070" t="str">
        <f t="shared" si="89"/>
        <v/>
      </c>
      <c r="EK646" s="1070" t="str">
        <f t="shared" si="90"/>
        <v/>
      </c>
      <c r="EL646" s="1070" t="str">
        <f t="shared" si="91"/>
        <v/>
      </c>
      <c r="EM646" s="1070" t="str">
        <f t="shared" si="92"/>
        <v/>
      </c>
      <c r="EN646" s="1070" t="str">
        <f t="shared" si="93"/>
        <v/>
      </c>
      <c r="EO646" s="1070" t="str">
        <f t="shared" si="94"/>
        <v/>
      </c>
      <c r="EP646" s="1070" t="str">
        <f t="shared" si="95"/>
        <v/>
      </c>
      <c r="EQ646" s="1070" t="str">
        <f t="shared" si="96"/>
        <v/>
      </c>
      <c r="ER646" s="1070" t="str">
        <f t="shared" si="97"/>
        <v/>
      </c>
      <c r="ES646" s="1070" t="str">
        <f t="shared" si="98"/>
        <v/>
      </c>
      <c r="ET646" s="1070" t="str">
        <f t="shared" si="99"/>
        <v/>
      </c>
      <c r="EU646" s="1070" t="str">
        <f t="shared" si="100"/>
        <v/>
      </c>
      <c r="EV646" s="831" t="str">
        <f t="shared" si="101"/>
        <v/>
      </c>
      <c r="EW646" s="831" t="str">
        <f t="shared" si="102"/>
        <v/>
      </c>
      <c r="EX646" s="831">
        <f t="shared" si="103"/>
        <v>2</v>
      </c>
      <c r="EY646" s="831" t="str">
        <f t="shared" si="104"/>
        <v/>
      </c>
      <c r="EZ646" s="831" t="str">
        <f t="shared" si="105"/>
        <v/>
      </c>
      <c r="FA646" s="831" t="str">
        <f t="shared" si="106"/>
        <v/>
      </c>
      <c r="FB646" s="831" t="str">
        <f t="shared" si="107"/>
        <v/>
      </c>
      <c r="FC646" s="831" t="str">
        <f t="shared" si="108"/>
        <v/>
      </c>
      <c r="FD646" s="831" t="str">
        <f t="shared" si="109"/>
        <v/>
      </c>
      <c r="FE646" s="831" t="str">
        <f t="shared" si="110"/>
        <v/>
      </c>
      <c r="FF646" s="831" t="str">
        <f t="shared" si="111"/>
        <v/>
      </c>
      <c r="FG646" s="831" t="str">
        <f t="shared" si="112"/>
        <v/>
      </c>
      <c r="FH646" s="831" t="str">
        <f t="shared" si="113"/>
        <v/>
      </c>
      <c r="FI646" s="831" t="str">
        <f t="shared" si="114"/>
        <v/>
      </c>
      <c r="FJ646" s="831" t="str">
        <f t="shared" si="115"/>
        <v/>
      </c>
      <c r="FK646" s="831" t="str">
        <f t="shared" si="116"/>
        <v/>
      </c>
      <c r="FL646" s="831" t="str">
        <f t="shared" si="117"/>
        <v/>
      </c>
      <c r="FM646" s="831" t="str">
        <f t="shared" si="118"/>
        <v/>
      </c>
      <c r="FN646" s="831" t="str">
        <f t="shared" si="119"/>
        <v/>
      </c>
      <c r="FO646" s="831" t="str">
        <f t="shared" si="120"/>
        <v/>
      </c>
      <c r="FP646" s="831" t="str">
        <f t="shared" si="121"/>
        <v/>
      </c>
      <c r="FQ646" s="831" t="str">
        <f t="shared" si="122"/>
        <v/>
      </c>
      <c r="FR646" s="831" t="str">
        <f t="shared" si="123"/>
        <v/>
      </c>
      <c r="FS646" s="831" t="str">
        <f t="shared" si="124"/>
        <v/>
      </c>
      <c r="FT646" s="831" t="str">
        <f t="shared" si="125"/>
        <v/>
      </c>
      <c r="FU646" s="831" t="str">
        <f t="shared" si="126"/>
        <v/>
      </c>
      <c r="FV646" s="831" t="str">
        <f t="shared" si="127"/>
        <v/>
      </c>
      <c r="FW646" s="831" t="str">
        <f t="shared" si="128"/>
        <v/>
      </c>
      <c r="FX646" s="831" t="str">
        <f t="shared" si="129"/>
        <v/>
      </c>
      <c r="FY646" s="831" t="str">
        <f t="shared" si="130"/>
        <v/>
      </c>
      <c r="FZ646" s="831" t="str">
        <f t="shared" si="131"/>
        <v/>
      </c>
      <c r="GA646" s="831" t="str">
        <f t="shared" si="132"/>
        <v/>
      </c>
      <c r="GB646" s="831" t="str">
        <f t="shared" si="133"/>
        <v/>
      </c>
      <c r="GC646" s="831" t="str">
        <f t="shared" si="134"/>
        <v/>
      </c>
      <c r="GD646" s="831" t="str">
        <f t="shared" si="135"/>
        <v/>
      </c>
      <c r="GE646" s="831" t="str">
        <f t="shared" si="136"/>
        <v/>
      </c>
      <c r="GF646" s="831" t="str">
        <f t="shared" si="137"/>
        <v/>
      </c>
      <c r="GG646" s="831" t="str">
        <f t="shared" si="138"/>
        <v/>
      </c>
      <c r="GH646" s="831" t="str">
        <f t="shared" si="139"/>
        <v/>
      </c>
      <c r="GI646" s="831" t="str">
        <f t="shared" si="140"/>
        <v/>
      </c>
      <c r="GJ646" s="831" t="str">
        <f t="shared" si="141"/>
        <v/>
      </c>
      <c r="GK646" s="831" t="str">
        <f t="shared" si="142"/>
        <v/>
      </c>
      <c r="GL646" s="831">
        <f t="shared" si="143"/>
        <v>2</v>
      </c>
      <c r="GM646" s="831" t="str">
        <f t="shared" si="144"/>
        <v/>
      </c>
      <c r="GN646" s="831" t="str">
        <f t="shared" si="145"/>
        <v/>
      </c>
      <c r="GO646" s="1113" t="str">
        <f t="shared" si="146"/>
        <v/>
      </c>
      <c r="GP646" s="1113" t="str">
        <f t="shared" si="147"/>
        <v/>
      </c>
      <c r="GQ646" s="1113" t="str">
        <f t="shared" si="148"/>
        <v/>
      </c>
      <c r="GR646" s="1113" t="str">
        <f t="shared" si="149"/>
        <v/>
      </c>
      <c r="GS646" s="1113" t="str">
        <f t="shared" si="150"/>
        <v/>
      </c>
      <c r="GT646" s="1070" t="str">
        <f t="shared" si="151"/>
        <v/>
      </c>
      <c r="GU646" s="1070" t="str">
        <f t="shared" si="152"/>
        <v/>
      </c>
      <c r="GV646" s="1070" t="str">
        <f t="shared" si="153"/>
        <v/>
      </c>
      <c r="GW646" s="1070" t="str">
        <f t="shared" si="154"/>
        <v/>
      </c>
      <c r="GX646" s="1070" t="str">
        <f t="shared" si="155"/>
        <v/>
      </c>
      <c r="GY646" s="1070" t="str">
        <f t="shared" si="156"/>
        <v/>
      </c>
      <c r="GZ646" s="1070" t="str">
        <f t="shared" si="157"/>
        <v/>
      </c>
      <c r="HA646" s="1070" t="str">
        <f t="shared" si="158"/>
        <v/>
      </c>
      <c r="HB646" s="1070" t="str">
        <f t="shared" si="159"/>
        <v/>
      </c>
      <c r="HC646" s="1070" t="str">
        <f t="shared" si="160"/>
        <v/>
      </c>
      <c r="HD646" s="1070" t="str">
        <f t="shared" si="161"/>
        <v/>
      </c>
      <c r="HE646" s="1070" t="str">
        <f t="shared" si="162"/>
        <v/>
      </c>
      <c r="HF646" s="1070" t="str">
        <f t="shared" si="163"/>
        <v/>
      </c>
      <c r="HG646" s="1070" t="str">
        <f t="shared" si="164"/>
        <v/>
      </c>
      <c r="HH646" s="1070" t="str">
        <f t="shared" si="165"/>
        <v/>
      </c>
      <c r="HI646" s="1070" t="str">
        <f t="shared" si="166"/>
        <v/>
      </c>
      <c r="HJ646" s="1070" t="str">
        <f t="shared" si="167"/>
        <v/>
      </c>
      <c r="HK646" s="1070" t="str">
        <f t="shared" si="168"/>
        <v/>
      </c>
      <c r="HL646" s="1070" t="str">
        <f t="shared" si="169"/>
        <v/>
      </c>
      <c r="HM646" s="1070" t="str">
        <f t="shared" si="170"/>
        <v/>
      </c>
    </row>
    <row r="647" spans="1:221" ht="13.15" customHeight="1">
      <c r="A647" s="1082" t="str">
        <f t="shared" si="171"/>
        <v/>
      </c>
      <c r="B647" s="1035" t="str">
        <f>'Part VI-Revenues &amp; Expenses'!B13</f>
        <v>50% AMI</v>
      </c>
      <c r="C647" s="1036">
        <f>'Part VI-Revenues &amp; Expenses'!C13</f>
        <v>2</v>
      </c>
      <c r="D647" s="1037">
        <f>'Part VI-Revenues &amp; Expenses'!D13</f>
        <v>1</v>
      </c>
      <c r="E647" s="1038">
        <f>'Part VI-Revenues &amp; Expenses'!E13</f>
        <v>2</v>
      </c>
      <c r="F647" s="1038">
        <f>'Part VI-Revenues &amp; Expenses'!F13</f>
        <v>860</v>
      </c>
      <c r="G647" s="1038">
        <f>'Part VI-Revenues &amp; Expenses'!G13</f>
        <v>725</v>
      </c>
      <c r="H647" s="1038">
        <f>'Part VI-Revenues &amp; Expenses'!H13</f>
        <v>789</v>
      </c>
      <c r="I647" s="1038">
        <f>'Part VI-Revenues &amp; Expenses'!I13</f>
        <v>176</v>
      </c>
      <c r="J647" s="1101" t="str">
        <f>'Part VI-Revenues &amp; Expenses'!J13</f>
        <v>HUD</v>
      </c>
      <c r="K647" s="906">
        <f t="shared" si="172"/>
        <v>613</v>
      </c>
      <c r="L647" s="906">
        <f t="shared" si="0"/>
        <v>1226</v>
      </c>
      <c r="M647" s="829" t="str">
        <f>'Part VI-Revenues &amp; Expenses'!M13</f>
        <v>No</v>
      </c>
      <c r="N647" s="829" t="str">
        <f>'Part VI-Revenues &amp; Expenses'!N13</f>
        <v>3+ Story</v>
      </c>
      <c r="O647" s="829" t="str">
        <f>'Part VI-Revenues &amp; Expenses'!O13</f>
        <v>New Construction</v>
      </c>
      <c r="P647" s="907">
        <f>IF(H647="","",H647*12/0.3)</f>
        <v>31560</v>
      </c>
      <c r="Q647" s="908">
        <f>'Part VI-Revenues &amp; Expenses'!Q13</f>
        <v>0.54451345755693581</v>
      </c>
      <c r="R647" s="907"/>
      <c r="S647" s="908"/>
      <c r="T647" s="1575"/>
      <c r="U647" s="1575"/>
      <c r="V647" s="1070" t="str">
        <f t="shared" si="1"/>
        <v/>
      </c>
      <c r="W647" s="1070" t="str">
        <f t="shared" si="2"/>
        <v/>
      </c>
      <c r="X647" s="1070" t="str">
        <f t="shared" si="3"/>
        <v/>
      </c>
      <c r="Y647" s="1070" t="str">
        <f t="shared" si="4"/>
        <v/>
      </c>
      <c r="Z647" s="1070" t="str">
        <f t="shared" si="5"/>
        <v/>
      </c>
      <c r="AA647" s="1070" t="str">
        <f t="shared" si="6"/>
        <v/>
      </c>
      <c r="AB647" s="1070" t="str">
        <f t="shared" si="7"/>
        <v/>
      </c>
      <c r="AC647" s="1070">
        <f t="shared" si="8"/>
        <v>2</v>
      </c>
      <c r="AD647" s="1070" t="str">
        <f t="shared" si="9"/>
        <v/>
      </c>
      <c r="AE647" s="1070" t="str">
        <f t="shared" si="10"/>
        <v/>
      </c>
      <c r="AF647" s="1070" t="str">
        <f t="shared" si="11"/>
        <v/>
      </c>
      <c r="AG647" s="1070" t="str">
        <f t="shared" si="12"/>
        <v/>
      </c>
      <c r="AH647" s="1070" t="str">
        <f t="shared" si="13"/>
        <v/>
      </c>
      <c r="AI647" s="1070" t="str">
        <f t="shared" si="14"/>
        <v/>
      </c>
      <c r="AJ647" s="1070" t="str">
        <f t="shared" si="15"/>
        <v/>
      </c>
      <c r="AK647" s="1070" t="str">
        <f t="shared" si="16"/>
        <v/>
      </c>
      <c r="AL647" s="1070" t="str">
        <f t="shared" si="17"/>
        <v/>
      </c>
      <c r="AM647" s="1070" t="str">
        <f t="shared" si="18"/>
        <v/>
      </c>
      <c r="AN647" s="1070" t="str">
        <f t="shared" si="19"/>
        <v/>
      </c>
      <c r="AO647" s="1070" t="str">
        <f t="shared" si="20"/>
        <v/>
      </c>
      <c r="AP647" s="1070" t="str">
        <f t="shared" si="173"/>
        <v/>
      </c>
      <c r="AQ647" s="1070" t="str">
        <f t="shared" si="174"/>
        <v/>
      </c>
      <c r="AR647" s="1070" t="str">
        <f t="shared" si="175"/>
        <v/>
      </c>
      <c r="AS647" s="1070" t="str">
        <f t="shared" si="176"/>
        <v/>
      </c>
      <c r="AT647" s="1070" t="str">
        <f t="shared" si="177"/>
        <v/>
      </c>
      <c r="AU647" s="1070" t="str">
        <f t="shared" si="178"/>
        <v/>
      </c>
      <c r="AV647" s="1070" t="str">
        <f t="shared" si="179"/>
        <v/>
      </c>
      <c r="AW647" s="1070">
        <f t="shared" si="180"/>
        <v>2</v>
      </c>
      <c r="AX647" s="1070" t="str">
        <f t="shared" si="181"/>
        <v/>
      </c>
      <c r="AY647" s="1070" t="str">
        <f t="shared" si="182"/>
        <v/>
      </c>
      <c r="AZ647" s="1070" t="str">
        <f t="shared" si="183"/>
        <v/>
      </c>
      <c r="BA647" s="1070" t="str">
        <f t="shared" si="184"/>
        <v/>
      </c>
      <c r="BB647" s="1070" t="str">
        <f t="shared" si="185"/>
        <v/>
      </c>
      <c r="BC647" s="1070" t="str">
        <f t="shared" si="186"/>
        <v/>
      </c>
      <c r="BD647" s="1070" t="str">
        <f t="shared" si="187"/>
        <v/>
      </c>
      <c r="BE647" s="1070" t="str">
        <f t="shared" si="188"/>
        <v/>
      </c>
      <c r="BF647" s="1070" t="str">
        <f t="shared" si="189"/>
        <v/>
      </c>
      <c r="BG647" s="1070" t="str">
        <f t="shared" si="190"/>
        <v/>
      </c>
      <c r="BH647" s="1070" t="str">
        <f t="shared" si="191"/>
        <v/>
      </c>
      <c r="BI647" s="1070" t="str">
        <f t="shared" si="192"/>
        <v/>
      </c>
      <c r="BJ647" s="1070" t="str">
        <f t="shared" si="193"/>
        <v/>
      </c>
      <c r="BK647" s="1070" t="str">
        <f t="shared" si="194"/>
        <v/>
      </c>
      <c r="BL647" s="1070" t="str">
        <f t="shared" si="195"/>
        <v/>
      </c>
      <c r="BM647" s="1070" t="str">
        <f t="shared" si="196"/>
        <v/>
      </c>
      <c r="BN647" s="1070" t="str">
        <f t="shared" si="197"/>
        <v/>
      </c>
      <c r="BO647" s="1070" t="str">
        <f t="shared" si="198"/>
        <v/>
      </c>
      <c r="BP647" s="1070" t="str">
        <f t="shared" si="199"/>
        <v/>
      </c>
      <c r="BQ647" s="1070" t="str">
        <f t="shared" si="200"/>
        <v/>
      </c>
      <c r="BR647" s="1070" t="str">
        <f t="shared" si="201"/>
        <v/>
      </c>
      <c r="BS647" s="1070" t="str">
        <f t="shared" si="202"/>
        <v/>
      </c>
      <c r="BT647" s="1070" t="str">
        <f t="shared" si="21"/>
        <v/>
      </c>
      <c r="BU647" s="1070" t="str">
        <f t="shared" si="22"/>
        <v/>
      </c>
      <c r="BV647" s="1070" t="str">
        <f t="shared" si="23"/>
        <v/>
      </c>
      <c r="BW647" s="1070" t="str">
        <f t="shared" si="24"/>
        <v/>
      </c>
      <c r="BX647" s="1070" t="str">
        <f t="shared" si="25"/>
        <v/>
      </c>
      <c r="BY647" s="1070" t="str">
        <f t="shared" si="26"/>
        <v/>
      </c>
      <c r="BZ647" s="1070" t="str">
        <f t="shared" si="27"/>
        <v/>
      </c>
      <c r="CA647" s="1070" t="str">
        <f t="shared" si="28"/>
        <v/>
      </c>
      <c r="CB647" s="1070" t="str">
        <f t="shared" si="29"/>
        <v/>
      </c>
      <c r="CC647" s="1070" t="str">
        <f t="shared" si="30"/>
        <v/>
      </c>
      <c r="CD647" s="1070" t="str">
        <f t="shared" si="31"/>
        <v/>
      </c>
      <c r="CE647" s="1070" t="str">
        <f t="shared" si="32"/>
        <v/>
      </c>
      <c r="CF647" s="1070">
        <f t="shared" si="33"/>
        <v>1720</v>
      </c>
      <c r="CG647" s="1070" t="str">
        <f t="shared" si="34"/>
        <v/>
      </c>
      <c r="CH647" s="1070" t="str">
        <f t="shared" si="35"/>
        <v/>
      </c>
      <c r="CI647" s="1070" t="str">
        <f t="shared" si="36"/>
        <v/>
      </c>
      <c r="CJ647" s="1070" t="str">
        <f t="shared" si="37"/>
        <v/>
      </c>
      <c r="CK647" s="1070" t="str">
        <f t="shared" si="38"/>
        <v/>
      </c>
      <c r="CL647" s="1070" t="str">
        <f t="shared" si="39"/>
        <v/>
      </c>
      <c r="CM647" s="1070" t="str">
        <f t="shared" si="40"/>
        <v/>
      </c>
      <c r="CN647" s="1070" t="str">
        <f t="shared" si="41"/>
        <v/>
      </c>
      <c r="CO647" s="1070" t="str">
        <f t="shared" si="42"/>
        <v/>
      </c>
      <c r="CP647" s="1070" t="str">
        <f t="shared" si="43"/>
        <v/>
      </c>
      <c r="CQ647" s="1070" t="str">
        <f t="shared" si="44"/>
        <v/>
      </c>
      <c r="CR647" s="1070" t="str">
        <f t="shared" si="45"/>
        <v/>
      </c>
      <c r="CS647" s="1070" t="str">
        <f t="shared" si="46"/>
        <v/>
      </c>
      <c r="CT647" s="1070" t="str">
        <f t="shared" si="47"/>
        <v/>
      </c>
      <c r="CU647" s="1070">
        <f t="shared" si="48"/>
        <v>1720</v>
      </c>
      <c r="CV647" s="1070" t="str">
        <f t="shared" si="49"/>
        <v/>
      </c>
      <c r="CW647" s="1070" t="str">
        <f t="shared" si="50"/>
        <v/>
      </c>
      <c r="CX647" s="1070" t="str">
        <f t="shared" si="51"/>
        <v/>
      </c>
      <c r="CY647" s="1070" t="str">
        <f t="shared" si="52"/>
        <v/>
      </c>
      <c r="CZ647" s="1070" t="str">
        <f t="shared" si="53"/>
        <v/>
      </c>
      <c r="DA647" s="1070" t="str">
        <f t="shared" si="54"/>
        <v/>
      </c>
      <c r="DB647" s="1070" t="str">
        <f t="shared" si="55"/>
        <v/>
      </c>
      <c r="DC647" s="1070" t="str">
        <f t="shared" si="56"/>
        <v/>
      </c>
      <c r="DD647" s="1070" t="str">
        <f t="shared" si="57"/>
        <v/>
      </c>
      <c r="DE647" s="1070">
        <f t="shared" si="58"/>
        <v>2</v>
      </c>
      <c r="DF647" s="1070" t="str">
        <f t="shared" si="59"/>
        <v/>
      </c>
      <c r="DG647" s="1070" t="str">
        <f t="shared" si="60"/>
        <v/>
      </c>
      <c r="DH647" s="1070" t="str">
        <f t="shared" si="61"/>
        <v/>
      </c>
      <c r="DI647" s="1070" t="str">
        <f t="shared" si="62"/>
        <v/>
      </c>
      <c r="DJ647" s="1070" t="str">
        <f t="shared" si="63"/>
        <v/>
      </c>
      <c r="DK647" s="1070" t="str">
        <f t="shared" si="64"/>
        <v/>
      </c>
      <c r="DL647" s="1070" t="str">
        <f t="shared" si="65"/>
        <v/>
      </c>
      <c r="DM647" s="1070" t="str">
        <f t="shared" si="66"/>
        <v/>
      </c>
      <c r="DN647" s="1070" t="str">
        <f t="shared" si="67"/>
        <v/>
      </c>
      <c r="DO647" s="1070" t="str">
        <f t="shared" si="68"/>
        <v/>
      </c>
      <c r="DP647" s="1070" t="str">
        <f t="shared" si="69"/>
        <v/>
      </c>
      <c r="DQ647" s="1070" t="str">
        <f t="shared" si="70"/>
        <v/>
      </c>
      <c r="DR647" s="1070" t="str">
        <f t="shared" si="71"/>
        <v/>
      </c>
      <c r="DS647" s="1070" t="str">
        <f t="shared" si="72"/>
        <v/>
      </c>
      <c r="DT647" s="1070" t="str">
        <f t="shared" si="73"/>
        <v/>
      </c>
      <c r="DU647" s="1070" t="str">
        <f t="shared" si="74"/>
        <v/>
      </c>
      <c r="DV647" s="1070" t="str">
        <f t="shared" si="75"/>
        <v/>
      </c>
      <c r="DW647" s="1070" t="str">
        <f t="shared" si="76"/>
        <v/>
      </c>
      <c r="DX647" s="1070" t="str">
        <f t="shared" si="77"/>
        <v/>
      </c>
      <c r="DY647" s="1070" t="str">
        <f t="shared" si="78"/>
        <v/>
      </c>
      <c r="DZ647" s="1070" t="str">
        <f t="shared" si="79"/>
        <v/>
      </c>
      <c r="EA647" s="1070" t="str">
        <f t="shared" si="80"/>
        <v/>
      </c>
      <c r="EB647" s="1070" t="str">
        <f t="shared" si="81"/>
        <v/>
      </c>
      <c r="EC647" s="1070" t="str">
        <f t="shared" si="82"/>
        <v/>
      </c>
      <c r="ED647" s="1070" t="str">
        <f t="shared" si="83"/>
        <v/>
      </c>
      <c r="EE647" s="1070" t="str">
        <f t="shared" si="84"/>
        <v/>
      </c>
      <c r="EF647" s="1070" t="str">
        <f t="shared" si="85"/>
        <v/>
      </c>
      <c r="EG647" s="1070" t="str">
        <f t="shared" si="86"/>
        <v/>
      </c>
      <c r="EH647" s="1070" t="str">
        <f t="shared" si="87"/>
        <v/>
      </c>
      <c r="EI647" s="1070" t="str">
        <f t="shared" si="88"/>
        <v/>
      </c>
      <c r="EJ647" s="1070" t="str">
        <f t="shared" si="89"/>
        <v/>
      </c>
      <c r="EK647" s="1070" t="str">
        <f t="shared" si="90"/>
        <v/>
      </c>
      <c r="EL647" s="1070" t="str">
        <f t="shared" si="91"/>
        <v/>
      </c>
      <c r="EM647" s="1070" t="str">
        <f t="shared" si="92"/>
        <v/>
      </c>
      <c r="EN647" s="1070" t="str">
        <f t="shared" si="93"/>
        <v/>
      </c>
      <c r="EO647" s="1070" t="str">
        <f t="shared" si="94"/>
        <v/>
      </c>
      <c r="EP647" s="1070" t="str">
        <f t="shared" si="95"/>
        <v/>
      </c>
      <c r="EQ647" s="1070" t="str">
        <f t="shared" si="96"/>
        <v/>
      </c>
      <c r="ER647" s="1070" t="str">
        <f t="shared" si="97"/>
        <v/>
      </c>
      <c r="ES647" s="1070" t="str">
        <f t="shared" si="98"/>
        <v/>
      </c>
      <c r="ET647" s="1070" t="str">
        <f t="shared" si="99"/>
        <v/>
      </c>
      <c r="EU647" s="1070" t="str">
        <f t="shared" si="100"/>
        <v/>
      </c>
      <c r="EV647" s="831" t="str">
        <f t="shared" si="101"/>
        <v/>
      </c>
      <c r="EW647" s="831" t="str">
        <f t="shared" si="102"/>
        <v/>
      </c>
      <c r="EX647" s="831">
        <f t="shared" si="103"/>
        <v>2</v>
      </c>
      <c r="EY647" s="831" t="str">
        <f t="shared" si="104"/>
        <v/>
      </c>
      <c r="EZ647" s="831" t="str">
        <f t="shared" si="105"/>
        <v/>
      </c>
      <c r="FA647" s="831" t="str">
        <f t="shared" si="106"/>
        <v/>
      </c>
      <c r="FB647" s="831" t="str">
        <f t="shared" si="107"/>
        <v/>
      </c>
      <c r="FC647" s="831" t="str">
        <f t="shared" si="108"/>
        <v/>
      </c>
      <c r="FD647" s="831" t="str">
        <f t="shared" si="109"/>
        <v/>
      </c>
      <c r="FE647" s="831" t="str">
        <f t="shared" si="110"/>
        <v/>
      </c>
      <c r="FF647" s="831" t="str">
        <f t="shared" si="111"/>
        <v/>
      </c>
      <c r="FG647" s="831" t="str">
        <f t="shared" si="112"/>
        <v/>
      </c>
      <c r="FH647" s="831" t="str">
        <f t="shared" si="113"/>
        <v/>
      </c>
      <c r="FI647" s="831" t="str">
        <f t="shared" si="114"/>
        <v/>
      </c>
      <c r="FJ647" s="831" t="str">
        <f t="shared" si="115"/>
        <v/>
      </c>
      <c r="FK647" s="831" t="str">
        <f t="shared" si="116"/>
        <v/>
      </c>
      <c r="FL647" s="831" t="str">
        <f t="shared" si="117"/>
        <v/>
      </c>
      <c r="FM647" s="831" t="str">
        <f t="shared" si="118"/>
        <v/>
      </c>
      <c r="FN647" s="831" t="str">
        <f t="shared" si="119"/>
        <v/>
      </c>
      <c r="FO647" s="831" t="str">
        <f t="shared" si="120"/>
        <v/>
      </c>
      <c r="FP647" s="831" t="str">
        <f t="shared" si="121"/>
        <v/>
      </c>
      <c r="FQ647" s="831" t="str">
        <f t="shared" si="122"/>
        <v/>
      </c>
      <c r="FR647" s="831" t="str">
        <f t="shared" si="123"/>
        <v/>
      </c>
      <c r="FS647" s="831" t="str">
        <f t="shared" si="124"/>
        <v/>
      </c>
      <c r="FT647" s="831" t="str">
        <f t="shared" si="125"/>
        <v/>
      </c>
      <c r="FU647" s="831" t="str">
        <f t="shared" si="126"/>
        <v/>
      </c>
      <c r="FV647" s="831" t="str">
        <f t="shared" si="127"/>
        <v/>
      </c>
      <c r="FW647" s="831" t="str">
        <f t="shared" si="128"/>
        <v/>
      </c>
      <c r="FX647" s="831" t="str">
        <f t="shared" si="129"/>
        <v/>
      </c>
      <c r="FY647" s="831" t="str">
        <f t="shared" si="130"/>
        <v/>
      </c>
      <c r="FZ647" s="831" t="str">
        <f t="shared" si="131"/>
        <v/>
      </c>
      <c r="GA647" s="831" t="str">
        <f t="shared" si="132"/>
        <v/>
      </c>
      <c r="GB647" s="831" t="str">
        <f t="shared" si="133"/>
        <v/>
      </c>
      <c r="GC647" s="831" t="str">
        <f t="shared" si="134"/>
        <v/>
      </c>
      <c r="GD647" s="831" t="str">
        <f t="shared" si="135"/>
        <v/>
      </c>
      <c r="GE647" s="831" t="str">
        <f t="shared" si="136"/>
        <v/>
      </c>
      <c r="GF647" s="831" t="str">
        <f t="shared" si="137"/>
        <v/>
      </c>
      <c r="GG647" s="831" t="str">
        <f t="shared" si="138"/>
        <v/>
      </c>
      <c r="GH647" s="831" t="str">
        <f t="shared" si="139"/>
        <v/>
      </c>
      <c r="GI647" s="831" t="str">
        <f t="shared" si="140"/>
        <v/>
      </c>
      <c r="GJ647" s="831" t="str">
        <f t="shared" si="141"/>
        <v/>
      </c>
      <c r="GK647" s="831" t="str">
        <f t="shared" si="142"/>
        <v/>
      </c>
      <c r="GL647" s="831">
        <f t="shared" si="143"/>
        <v>2</v>
      </c>
      <c r="GM647" s="831" t="str">
        <f t="shared" si="144"/>
        <v/>
      </c>
      <c r="GN647" s="831" t="str">
        <f t="shared" si="145"/>
        <v/>
      </c>
      <c r="GO647" s="1113" t="str">
        <f t="shared" si="146"/>
        <v/>
      </c>
      <c r="GP647" s="1113" t="str">
        <f t="shared" si="147"/>
        <v/>
      </c>
      <c r="GQ647" s="1113" t="str">
        <f t="shared" si="148"/>
        <v/>
      </c>
      <c r="GR647" s="1113" t="str">
        <f t="shared" si="149"/>
        <v/>
      </c>
      <c r="GS647" s="1113" t="str">
        <f t="shared" si="150"/>
        <v/>
      </c>
      <c r="GT647" s="1070" t="str">
        <f t="shared" si="151"/>
        <v/>
      </c>
      <c r="GU647" s="1070" t="str">
        <f t="shared" si="152"/>
        <v/>
      </c>
      <c r="GV647" s="1070" t="str">
        <f t="shared" si="153"/>
        <v/>
      </c>
      <c r="GW647" s="1070" t="str">
        <f t="shared" si="154"/>
        <v/>
      </c>
      <c r="GX647" s="1070" t="str">
        <f t="shared" si="155"/>
        <v/>
      </c>
      <c r="GY647" s="1070" t="str">
        <f t="shared" si="156"/>
        <v/>
      </c>
      <c r="GZ647" s="1070" t="str">
        <f t="shared" si="157"/>
        <v/>
      </c>
      <c r="HA647" s="1070" t="str">
        <f t="shared" si="158"/>
        <v/>
      </c>
      <c r="HB647" s="1070" t="str">
        <f t="shared" si="159"/>
        <v/>
      </c>
      <c r="HC647" s="1070" t="str">
        <f t="shared" si="160"/>
        <v/>
      </c>
      <c r="HD647" s="1070" t="str">
        <f t="shared" si="161"/>
        <v/>
      </c>
      <c r="HE647" s="1070" t="str">
        <f t="shared" si="162"/>
        <v/>
      </c>
      <c r="HF647" s="1070" t="str">
        <f t="shared" si="163"/>
        <v/>
      </c>
      <c r="HG647" s="1070" t="str">
        <f t="shared" si="164"/>
        <v/>
      </c>
      <c r="HH647" s="1070" t="str">
        <f t="shared" si="165"/>
        <v/>
      </c>
      <c r="HI647" s="1070" t="str">
        <f t="shared" si="166"/>
        <v/>
      </c>
      <c r="HJ647" s="1070" t="str">
        <f t="shared" si="167"/>
        <v/>
      </c>
      <c r="HK647" s="1070" t="str">
        <f t="shared" si="168"/>
        <v/>
      </c>
      <c r="HL647" s="1070" t="str">
        <f t="shared" si="169"/>
        <v/>
      </c>
      <c r="HM647" s="1070" t="str">
        <f t="shared" si="170"/>
        <v/>
      </c>
    </row>
    <row r="648" spans="1:221" ht="13.15" customHeight="1">
      <c r="A648" s="1082" t="str">
        <f t="shared" si="171"/>
        <v/>
      </c>
      <c r="B648" s="1035" t="str">
        <f>'Part VI-Revenues &amp; Expenses'!B14</f>
        <v>50% AMI</v>
      </c>
      <c r="C648" s="1036">
        <f>'Part VI-Revenues &amp; Expenses'!C14</f>
        <v>2</v>
      </c>
      <c r="D648" s="1037">
        <f>'Part VI-Revenues &amp; Expenses'!D14</f>
        <v>2</v>
      </c>
      <c r="E648" s="1038">
        <f>'Part VI-Revenues &amp; Expenses'!E14</f>
        <v>4</v>
      </c>
      <c r="F648" s="1038">
        <f>'Part VI-Revenues &amp; Expenses'!F14</f>
        <v>1047</v>
      </c>
      <c r="G648" s="1038">
        <f>'Part VI-Revenues &amp; Expenses'!G14</f>
        <v>725</v>
      </c>
      <c r="H648" s="1038">
        <f>'Part VI-Revenues &amp; Expenses'!H14</f>
        <v>789</v>
      </c>
      <c r="I648" s="1038">
        <f>'Part VI-Revenues &amp; Expenses'!I14</f>
        <v>176</v>
      </c>
      <c r="J648" s="1101" t="str">
        <f>'Part VI-Revenues &amp; Expenses'!J14</f>
        <v>HUD</v>
      </c>
      <c r="K648" s="906">
        <f t="shared" si="172"/>
        <v>613</v>
      </c>
      <c r="L648" s="906">
        <f t="shared" si="0"/>
        <v>2452</v>
      </c>
      <c r="M648" s="829" t="str">
        <f>'Part VI-Revenues &amp; Expenses'!M14</f>
        <v>No</v>
      </c>
      <c r="N648" s="829" t="str">
        <f>'Part VI-Revenues &amp; Expenses'!N14</f>
        <v>3+ Story</v>
      </c>
      <c r="O648" s="829" t="str">
        <f>'Part VI-Revenues &amp; Expenses'!O14</f>
        <v>New Construction</v>
      </c>
      <c r="P648" s="907">
        <f>IF(H648="","",H648*12/0.3)</f>
        <v>31560</v>
      </c>
      <c r="Q648" s="908">
        <f>'Part VI-Revenues &amp; Expenses'!Q14</f>
        <v>0.54451345755693581</v>
      </c>
      <c r="R648" s="907"/>
      <c r="S648" s="908"/>
      <c r="T648" s="1575"/>
      <c r="U648" s="1575"/>
      <c r="V648" s="1070" t="str">
        <f t="shared" si="1"/>
        <v/>
      </c>
      <c r="W648" s="1070" t="str">
        <f t="shared" si="2"/>
        <v/>
      </c>
      <c r="X648" s="1070" t="str">
        <f t="shared" si="3"/>
        <v/>
      </c>
      <c r="Y648" s="1070" t="str">
        <f t="shared" si="4"/>
        <v/>
      </c>
      <c r="Z648" s="1070" t="str">
        <f t="shared" si="5"/>
        <v/>
      </c>
      <c r="AA648" s="1070" t="str">
        <f t="shared" si="6"/>
        <v/>
      </c>
      <c r="AB648" s="1070" t="str">
        <f t="shared" si="7"/>
        <v/>
      </c>
      <c r="AC648" s="1070">
        <f t="shared" si="8"/>
        <v>4</v>
      </c>
      <c r="AD648" s="1070" t="str">
        <f t="shared" si="9"/>
        <v/>
      </c>
      <c r="AE648" s="1070" t="str">
        <f t="shared" si="10"/>
        <v/>
      </c>
      <c r="AF648" s="1070" t="str">
        <f t="shared" si="11"/>
        <v/>
      </c>
      <c r="AG648" s="1070" t="str">
        <f t="shared" si="12"/>
        <v/>
      </c>
      <c r="AH648" s="1070" t="str">
        <f t="shared" si="13"/>
        <v/>
      </c>
      <c r="AI648" s="1070" t="str">
        <f t="shared" si="14"/>
        <v/>
      </c>
      <c r="AJ648" s="1070" t="str">
        <f t="shared" si="15"/>
        <v/>
      </c>
      <c r="AK648" s="1070" t="str">
        <f t="shared" si="16"/>
        <v/>
      </c>
      <c r="AL648" s="1070" t="str">
        <f t="shared" si="17"/>
        <v/>
      </c>
      <c r="AM648" s="1070" t="str">
        <f t="shared" si="18"/>
        <v/>
      </c>
      <c r="AN648" s="1070" t="str">
        <f t="shared" si="19"/>
        <v/>
      </c>
      <c r="AO648" s="1070" t="str">
        <f t="shared" si="20"/>
        <v/>
      </c>
      <c r="AP648" s="1070" t="str">
        <f t="shared" si="173"/>
        <v/>
      </c>
      <c r="AQ648" s="1070" t="str">
        <f t="shared" si="174"/>
        <v/>
      </c>
      <c r="AR648" s="1070" t="str">
        <f t="shared" si="175"/>
        <v/>
      </c>
      <c r="AS648" s="1070" t="str">
        <f t="shared" si="176"/>
        <v/>
      </c>
      <c r="AT648" s="1070" t="str">
        <f t="shared" si="177"/>
        <v/>
      </c>
      <c r="AU648" s="1070" t="str">
        <f t="shared" si="178"/>
        <v/>
      </c>
      <c r="AV648" s="1070" t="str">
        <f t="shared" si="179"/>
        <v/>
      </c>
      <c r="AW648" s="1070">
        <f t="shared" si="180"/>
        <v>4</v>
      </c>
      <c r="AX648" s="1070" t="str">
        <f t="shared" si="181"/>
        <v/>
      </c>
      <c r="AY648" s="1070" t="str">
        <f t="shared" si="182"/>
        <v/>
      </c>
      <c r="AZ648" s="1070" t="str">
        <f t="shared" si="183"/>
        <v/>
      </c>
      <c r="BA648" s="1070" t="str">
        <f t="shared" si="184"/>
        <v/>
      </c>
      <c r="BB648" s="1070" t="str">
        <f t="shared" si="185"/>
        <v/>
      </c>
      <c r="BC648" s="1070" t="str">
        <f t="shared" si="186"/>
        <v/>
      </c>
      <c r="BD648" s="1070" t="str">
        <f t="shared" si="187"/>
        <v/>
      </c>
      <c r="BE648" s="1070" t="str">
        <f t="shared" si="188"/>
        <v/>
      </c>
      <c r="BF648" s="1070" t="str">
        <f t="shared" si="189"/>
        <v/>
      </c>
      <c r="BG648" s="1070" t="str">
        <f t="shared" si="190"/>
        <v/>
      </c>
      <c r="BH648" s="1070" t="str">
        <f t="shared" si="191"/>
        <v/>
      </c>
      <c r="BI648" s="1070" t="str">
        <f t="shared" si="192"/>
        <v/>
      </c>
      <c r="BJ648" s="1070" t="str">
        <f t="shared" si="193"/>
        <v/>
      </c>
      <c r="BK648" s="1070" t="str">
        <f t="shared" si="194"/>
        <v/>
      </c>
      <c r="BL648" s="1070" t="str">
        <f t="shared" si="195"/>
        <v/>
      </c>
      <c r="BM648" s="1070" t="str">
        <f t="shared" si="196"/>
        <v/>
      </c>
      <c r="BN648" s="1070" t="str">
        <f t="shared" si="197"/>
        <v/>
      </c>
      <c r="BO648" s="1070" t="str">
        <f t="shared" si="198"/>
        <v/>
      </c>
      <c r="BP648" s="1070" t="str">
        <f t="shared" si="199"/>
        <v/>
      </c>
      <c r="BQ648" s="1070" t="str">
        <f t="shared" si="200"/>
        <v/>
      </c>
      <c r="BR648" s="1070" t="str">
        <f t="shared" si="201"/>
        <v/>
      </c>
      <c r="BS648" s="1070" t="str">
        <f t="shared" si="202"/>
        <v/>
      </c>
      <c r="BT648" s="1070" t="str">
        <f t="shared" si="21"/>
        <v/>
      </c>
      <c r="BU648" s="1070" t="str">
        <f t="shared" si="22"/>
        <v/>
      </c>
      <c r="BV648" s="1070" t="str">
        <f t="shared" si="23"/>
        <v/>
      </c>
      <c r="BW648" s="1070" t="str">
        <f t="shared" si="24"/>
        <v/>
      </c>
      <c r="BX648" s="1070" t="str">
        <f t="shared" si="25"/>
        <v/>
      </c>
      <c r="BY648" s="1070" t="str">
        <f t="shared" si="26"/>
        <v/>
      </c>
      <c r="BZ648" s="1070" t="str">
        <f t="shared" si="27"/>
        <v/>
      </c>
      <c r="CA648" s="1070" t="str">
        <f t="shared" si="28"/>
        <v/>
      </c>
      <c r="CB648" s="1070" t="str">
        <f t="shared" si="29"/>
        <v/>
      </c>
      <c r="CC648" s="1070" t="str">
        <f t="shared" si="30"/>
        <v/>
      </c>
      <c r="CD648" s="1070" t="str">
        <f t="shared" si="31"/>
        <v/>
      </c>
      <c r="CE648" s="1070" t="str">
        <f t="shared" si="32"/>
        <v/>
      </c>
      <c r="CF648" s="1070">
        <f t="shared" si="33"/>
        <v>4188</v>
      </c>
      <c r="CG648" s="1070" t="str">
        <f t="shared" si="34"/>
        <v/>
      </c>
      <c r="CH648" s="1070" t="str">
        <f t="shared" si="35"/>
        <v/>
      </c>
      <c r="CI648" s="1070" t="str">
        <f t="shared" si="36"/>
        <v/>
      </c>
      <c r="CJ648" s="1070" t="str">
        <f t="shared" si="37"/>
        <v/>
      </c>
      <c r="CK648" s="1070" t="str">
        <f t="shared" si="38"/>
        <v/>
      </c>
      <c r="CL648" s="1070" t="str">
        <f t="shared" si="39"/>
        <v/>
      </c>
      <c r="CM648" s="1070" t="str">
        <f t="shared" si="40"/>
        <v/>
      </c>
      <c r="CN648" s="1070" t="str">
        <f t="shared" si="41"/>
        <v/>
      </c>
      <c r="CO648" s="1070" t="str">
        <f t="shared" si="42"/>
        <v/>
      </c>
      <c r="CP648" s="1070" t="str">
        <f t="shared" si="43"/>
        <v/>
      </c>
      <c r="CQ648" s="1070" t="str">
        <f t="shared" si="44"/>
        <v/>
      </c>
      <c r="CR648" s="1070" t="str">
        <f t="shared" si="45"/>
        <v/>
      </c>
      <c r="CS648" s="1070" t="str">
        <f t="shared" si="46"/>
        <v/>
      </c>
      <c r="CT648" s="1070" t="str">
        <f t="shared" si="47"/>
        <v/>
      </c>
      <c r="CU648" s="1070">
        <f t="shared" si="48"/>
        <v>4188</v>
      </c>
      <c r="CV648" s="1070" t="str">
        <f t="shared" si="49"/>
        <v/>
      </c>
      <c r="CW648" s="1070" t="str">
        <f t="shared" si="50"/>
        <v/>
      </c>
      <c r="CX648" s="1070" t="str">
        <f t="shared" si="51"/>
        <v/>
      </c>
      <c r="CY648" s="1070" t="str">
        <f t="shared" si="52"/>
        <v/>
      </c>
      <c r="CZ648" s="1070" t="str">
        <f t="shared" si="53"/>
        <v/>
      </c>
      <c r="DA648" s="1070" t="str">
        <f t="shared" si="54"/>
        <v/>
      </c>
      <c r="DB648" s="1070" t="str">
        <f t="shared" si="55"/>
        <v/>
      </c>
      <c r="DC648" s="1070" t="str">
        <f t="shared" si="56"/>
        <v/>
      </c>
      <c r="DD648" s="1070" t="str">
        <f t="shared" si="57"/>
        <v/>
      </c>
      <c r="DE648" s="1070">
        <f t="shared" si="58"/>
        <v>4</v>
      </c>
      <c r="DF648" s="1070" t="str">
        <f t="shared" si="59"/>
        <v/>
      </c>
      <c r="DG648" s="1070" t="str">
        <f t="shared" si="60"/>
        <v/>
      </c>
      <c r="DH648" s="1070" t="str">
        <f t="shared" si="61"/>
        <v/>
      </c>
      <c r="DI648" s="1070" t="str">
        <f t="shared" si="62"/>
        <v/>
      </c>
      <c r="DJ648" s="1070" t="str">
        <f t="shared" si="63"/>
        <v/>
      </c>
      <c r="DK648" s="1070" t="str">
        <f t="shared" si="64"/>
        <v/>
      </c>
      <c r="DL648" s="1070" t="str">
        <f t="shared" si="65"/>
        <v/>
      </c>
      <c r="DM648" s="1070" t="str">
        <f t="shared" si="66"/>
        <v/>
      </c>
      <c r="DN648" s="1070" t="str">
        <f t="shared" si="67"/>
        <v/>
      </c>
      <c r="DO648" s="1070" t="str">
        <f t="shared" si="68"/>
        <v/>
      </c>
      <c r="DP648" s="1070" t="str">
        <f t="shared" si="69"/>
        <v/>
      </c>
      <c r="DQ648" s="1070" t="str">
        <f t="shared" si="70"/>
        <v/>
      </c>
      <c r="DR648" s="1070" t="str">
        <f t="shared" si="71"/>
        <v/>
      </c>
      <c r="DS648" s="1070" t="str">
        <f t="shared" si="72"/>
        <v/>
      </c>
      <c r="DT648" s="1070" t="str">
        <f t="shared" si="73"/>
        <v/>
      </c>
      <c r="DU648" s="1070" t="str">
        <f t="shared" si="74"/>
        <v/>
      </c>
      <c r="DV648" s="1070" t="str">
        <f t="shared" si="75"/>
        <v/>
      </c>
      <c r="DW648" s="1070" t="str">
        <f t="shared" si="76"/>
        <v/>
      </c>
      <c r="DX648" s="1070" t="str">
        <f t="shared" si="77"/>
        <v/>
      </c>
      <c r="DY648" s="1070" t="str">
        <f t="shared" si="78"/>
        <v/>
      </c>
      <c r="DZ648" s="1070" t="str">
        <f t="shared" si="79"/>
        <v/>
      </c>
      <c r="EA648" s="1070" t="str">
        <f t="shared" si="80"/>
        <v/>
      </c>
      <c r="EB648" s="1070" t="str">
        <f t="shared" si="81"/>
        <v/>
      </c>
      <c r="EC648" s="1070" t="str">
        <f t="shared" si="82"/>
        <v/>
      </c>
      <c r="ED648" s="1070" t="str">
        <f t="shared" si="83"/>
        <v/>
      </c>
      <c r="EE648" s="1070" t="str">
        <f t="shared" si="84"/>
        <v/>
      </c>
      <c r="EF648" s="1070" t="str">
        <f t="shared" si="85"/>
        <v/>
      </c>
      <c r="EG648" s="1070" t="str">
        <f t="shared" si="86"/>
        <v/>
      </c>
      <c r="EH648" s="1070" t="str">
        <f t="shared" si="87"/>
        <v/>
      </c>
      <c r="EI648" s="1070" t="str">
        <f t="shared" si="88"/>
        <v/>
      </c>
      <c r="EJ648" s="1070" t="str">
        <f t="shared" si="89"/>
        <v/>
      </c>
      <c r="EK648" s="1070" t="str">
        <f t="shared" si="90"/>
        <v/>
      </c>
      <c r="EL648" s="1070" t="str">
        <f t="shared" si="91"/>
        <v/>
      </c>
      <c r="EM648" s="1070" t="str">
        <f t="shared" si="92"/>
        <v/>
      </c>
      <c r="EN648" s="1070" t="str">
        <f t="shared" si="93"/>
        <v/>
      </c>
      <c r="EO648" s="1070" t="str">
        <f t="shared" si="94"/>
        <v/>
      </c>
      <c r="EP648" s="1070" t="str">
        <f t="shared" si="95"/>
        <v/>
      </c>
      <c r="EQ648" s="1070" t="str">
        <f t="shared" si="96"/>
        <v/>
      </c>
      <c r="ER648" s="1070" t="str">
        <f t="shared" si="97"/>
        <v/>
      </c>
      <c r="ES648" s="1070" t="str">
        <f t="shared" si="98"/>
        <v/>
      </c>
      <c r="ET648" s="1070" t="str">
        <f t="shared" si="99"/>
        <v/>
      </c>
      <c r="EU648" s="1070" t="str">
        <f t="shared" si="100"/>
        <v/>
      </c>
      <c r="EV648" s="831" t="str">
        <f t="shared" si="101"/>
        <v/>
      </c>
      <c r="EW648" s="831" t="str">
        <f t="shared" si="102"/>
        <v/>
      </c>
      <c r="EX648" s="831">
        <f t="shared" si="103"/>
        <v>4</v>
      </c>
      <c r="EY648" s="831" t="str">
        <f t="shared" si="104"/>
        <v/>
      </c>
      <c r="EZ648" s="831" t="str">
        <f t="shared" si="105"/>
        <v/>
      </c>
      <c r="FA648" s="831" t="str">
        <f t="shared" si="106"/>
        <v/>
      </c>
      <c r="FB648" s="831" t="str">
        <f t="shared" si="107"/>
        <v/>
      </c>
      <c r="FC648" s="831" t="str">
        <f t="shared" si="108"/>
        <v/>
      </c>
      <c r="FD648" s="831" t="str">
        <f t="shared" si="109"/>
        <v/>
      </c>
      <c r="FE648" s="831" t="str">
        <f t="shared" si="110"/>
        <v/>
      </c>
      <c r="FF648" s="831" t="str">
        <f t="shared" si="111"/>
        <v/>
      </c>
      <c r="FG648" s="831" t="str">
        <f t="shared" si="112"/>
        <v/>
      </c>
      <c r="FH648" s="831" t="str">
        <f t="shared" si="113"/>
        <v/>
      </c>
      <c r="FI648" s="831" t="str">
        <f t="shared" si="114"/>
        <v/>
      </c>
      <c r="FJ648" s="831" t="str">
        <f t="shared" si="115"/>
        <v/>
      </c>
      <c r="FK648" s="831" t="str">
        <f t="shared" si="116"/>
        <v/>
      </c>
      <c r="FL648" s="831" t="str">
        <f t="shared" si="117"/>
        <v/>
      </c>
      <c r="FM648" s="831" t="str">
        <f t="shared" si="118"/>
        <v/>
      </c>
      <c r="FN648" s="831" t="str">
        <f t="shared" si="119"/>
        <v/>
      </c>
      <c r="FO648" s="831" t="str">
        <f t="shared" si="120"/>
        <v/>
      </c>
      <c r="FP648" s="831" t="str">
        <f t="shared" si="121"/>
        <v/>
      </c>
      <c r="FQ648" s="831" t="str">
        <f t="shared" si="122"/>
        <v/>
      </c>
      <c r="FR648" s="831" t="str">
        <f t="shared" si="123"/>
        <v/>
      </c>
      <c r="FS648" s="831" t="str">
        <f t="shared" si="124"/>
        <v/>
      </c>
      <c r="FT648" s="831" t="str">
        <f t="shared" si="125"/>
        <v/>
      </c>
      <c r="FU648" s="831" t="str">
        <f t="shared" si="126"/>
        <v/>
      </c>
      <c r="FV648" s="831" t="str">
        <f t="shared" si="127"/>
        <v/>
      </c>
      <c r="FW648" s="831" t="str">
        <f t="shared" si="128"/>
        <v/>
      </c>
      <c r="FX648" s="831" t="str">
        <f t="shared" si="129"/>
        <v/>
      </c>
      <c r="FY648" s="831" t="str">
        <f t="shared" si="130"/>
        <v/>
      </c>
      <c r="FZ648" s="831" t="str">
        <f t="shared" si="131"/>
        <v/>
      </c>
      <c r="GA648" s="831" t="str">
        <f t="shared" si="132"/>
        <v/>
      </c>
      <c r="GB648" s="831" t="str">
        <f t="shared" si="133"/>
        <v/>
      </c>
      <c r="GC648" s="831" t="str">
        <f t="shared" si="134"/>
        <v/>
      </c>
      <c r="GD648" s="831" t="str">
        <f t="shared" si="135"/>
        <v/>
      </c>
      <c r="GE648" s="831" t="str">
        <f t="shared" si="136"/>
        <v/>
      </c>
      <c r="GF648" s="831" t="str">
        <f t="shared" si="137"/>
        <v/>
      </c>
      <c r="GG648" s="831" t="str">
        <f t="shared" si="138"/>
        <v/>
      </c>
      <c r="GH648" s="831" t="str">
        <f t="shared" si="139"/>
        <v/>
      </c>
      <c r="GI648" s="831" t="str">
        <f t="shared" si="140"/>
        <v/>
      </c>
      <c r="GJ648" s="831" t="str">
        <f t="shared" si="141"/>
        <v/>
      </c>
      <c r="GK648" s="831" t="str">
        <f t="shared" si="142"/>
        <v/>
      </c>
      <c r="GL648" s="831">
        <f t="shared" si="143"/>
        <v>4</v>
      </c>
      <c r="GM648" s="831" t="str">
        <f t="shared" si="144"/>
        <v/>
      </c>
      <c r="GN648" s="831" t="str">
        <f t="shared" si="145"/>
        <v/>
      </c>
      <c r="GO648" s="1113" t="str">
        <f t="shared" si="146"/>
        <v/>
      </c>
      <c r="GP648" s="1113" t="str">
        <f t="shared" si="147"/>
        <v/>
      </c>
      <c r="GQ648" s="1113" t="str">
        <f t="shared" si="148"/>
        <v/>
      </c>
      <c r="GR648" s="1113" t="str">
        <f t="shared" si="149"/>
        <v/>
      </c>
      <c r="GS648" s="1113" t="str">
        <f t="shared" si="150"/>
        <v/>
      </c>
      <c r="GT648" s="1070" t="str">
        <f t="shared" si="151"/>
        <v/>
      </c>
      <c r="GU648" s="1070" t="str">
        <f t="shared" si="152"/>
        <v/>
      </c>
      <c r="GV648" s="1070" t="str">
        <f t="shared" si="153"/>
        <v/>
      </c>
      <c r="GW648" s="1070" t="str">
        <f t="shared" si="154"/>
        <v/>
      </c>
      <c r="GX648" s="1070" t="str">
        <f t="shared" si="155"/>
        <v/>
      </c>
      <c r="GY648" s="1070" t="str">
        <f t="shared" si="156"/>
        <v/>
      </c>
      <c r="GZ648" s="1070" t="str">
        <f t="shared" si="157"/>
        <v/>
      </c>
      <c r="HA648" s="1070" t="str">
        <f t="shared" si="158"/>
        <v/>
      </c>
      <c r="HB648" s="1070" t="str">
        <f t="shared" si="159"/>
        <v/>
      </c>
      <c r="HC648" s="1070" t="str">
        <f t="shared" si="160"/>
        <v/>
      </c>
      <c r="HD648" s="1070" t="str">
        <f t="shared" si="161"/>
        <v/>
      </c>
      <c r="HE648" s="1070" t="str">
        <f t="shared" si="162"/>
        <v/>
      </c>
      <c r="HF648" s="1070" t="str">
        <f t="shared" si="163"/>
        <v/>
      </c>
      <c r="HG648" s="1070" t="str">
        <f t="shared" si="164"/>
        <v/>
      </c>
      <c r="HH648" s="1070" t="str">
        <f t="shared" si="165"/>
        <v/>
      </c>
      <c r="HI648" s="1070" t="str">
        <f t="shared" si="166"/>
        <v/>
      </c>
      <c r="HJ648" s="1070" t="str">
        <f t="shared" si="167"/>
        <v/>
      </c>
      <c r="HK648" s="1070" t="str">
        <f t="shared" si="168"/>
        <v/>
      </c>
      <c r="HL648" s="1070" t="str">
        <f t="shared" si="169"/>
        <v/>
      </c>
      <c r="HM648" s="1070" t="str">
        <f t="shared" si="170"/>
        <v/>
      </c>
    </row>
    <row r="649" spans="1:221" ht="13.15" customHeight="1">
      <c r="A649" s="1082" t="str">
        <f t="shared" si="171"/>
        <v/>
      </c>
      <c r="B649" s="1035" t="str">
        <f>'Part VI-Revenues &amp; Expenses'!B15</f>
        <v>50% AMI</v>
      </c>
      <c r="C649" s="1036">
        <f>'Part VI-Revenues &amp; Expenses'!C15</f>
        <v>3</v>
      </c>
      <c r="D649" s="1037">
        <f>'Part VI-Revenues &amp; Expenses'!D15</f>
        <v>2</v>
      </c>
      <c r="E649" s="1038">
        <f>'Part VI-Revenues &amp; Expenses'!E15</f>
        <v>2</v>
      </c>
      <c r="F649" s="1038">
        <f>'Part VI-Revenues &amp; Expenses'!F15</f>
        <v>1309</v>
      </c>
      <c r="G649" s="1038">
        <f>'Part VI-Revenues &amp; Expenses'!G15</f>
        <v>837</v>
      </c>
      <c r="H649" s="1038">
        <f>'Part VI-Revenues &amp; Expenses'!H15</f>
        <v>823</v>
      </c>
      <c r="I649" s="1038">
        <f>'Part VI-Revenues &amp; Expenses'!I15</f>
        <v>200</v>
      </c>
      <c r="J649" s="1101" t="str">
        <f>'Part VI-Revenues &amp; Expenses'!J15</f>
        <v>HUD</v>
      </c>
      <c r="K649" s="906">
        <f t="shared" si="172"/>
        <v>623</v>
      </c>
      <c r="L649" s="906">
        <f t="shared" si="0"/>
        <v>1246</v>
      </c>
      <c r="M649" s="829" t="str">
        <f>'Part VI-Revenues &amp; Expenses'!M15</f>
        <v>No</v>
      </c>
      <c r="N649" s="829" t="str">
        <f>'Part VI-Revenues &amp; Expenses'!N15</f>
        <v>3+ Story</v>
      </c>
      <c r="O649" s="829" t="str">
        <f>'Part VI-Revenues &amp; Expenses'!O15</f>
        <v>New Construction</v>
      </c>
      <c r="P649" s="907">
        <f t="shared" ref="P649:P681" si="203">IF(H649="","",H649*12/0.3)</f>
        <v>32920</v>
      </c>
      <c r="Q649" s="908">
        <f>'Part VI-Revenues &amp; Expenses'!Q15</f>
        <v>0.49151935021500237</v>
      </c>
      <c r="R649" s="907"/>
      <c r="S649" s="908"/>
      <c r="T649" s="1575"/>
      <c r="U649" s="1575"/>
      <c r="V649" s="1070" t="str">
        <f t="shared" si="1"/>
        <v/>
      </c>
      <c r="W649" s="1070" t="str">
        <f t="shared" si="2"/>
        <v/>
      </c>
      <c r="X649" s="1070" t="str">
        <f t="shared" si="3"/>
        <v/>
      </c>
      <c r="Y649" s="1070" t="str">
        <f t="shared" si="4"/>
        <v/>
      </c>
      <c r="Z649" s="1070" t="str">
        <f t="shared" si="5"/>
        <v/>
      </c>
      <c r="AA649" s="1070" t="str">
        <f t="shared" si="6"/>
        <v/>
      </c>
      <c r="AB649" s="1070" t="str">
        <f t="shared" si="7"/>
        <v/>
      </c>
      <c r="AC649" s="1070" t="str">
        <f t="shared" si="8"/>
        <v/>
      </c>
      <c r="AD649" s="1070">
        <f t="shared" si="9"/>
        <v>2</v>
      </c>
      <c r="AE649" s="1070" t="str">
        <f t="shared" si="10"/>
        <v/>
      </c>
      <c r="AF649" s="1070" t="str">
        <f t="shared" si="11"/>
        <v/>
      </c>
      <c r="AG649" s="1070" t="str">
        <f t="shared" si="12"/>
        <v/>
      </c>
      <c r="AH649" s="1070" t="str">
        <f t="shared" si="13"/>
        <v/>
      </c>
      <c r="AI649" s="1070" t="str">
        <f t="shared" si="14"/>
        <v/>
      </c>
      <c r="AJ649" s="1070" t="str">
        <f t="shared" si="15"/>
        <v/>
      </c>
      <c r="AK649" s="1070" t="str">
        <f t="shared" si="16"/>
        <v/>
      </c>
      <c r="AL649" s="1070" t="str">
        <f t="shared" si="17"/>
        <v/>
      </c>
      <c r="AM649" s="1070" t="str">
        <f t="shared" si="18"/>
        <v/>
      </c>
      <c r="AN649" s="1070" t="str">
        <f t="shared" si="19"/>
        <v/>
      </c>
      <c r="AO649" s="1070" t="str">
        <f t="shared" si="20"/>
        <v/>
      </c>
      <c r="AP649" s="1070" t="str">
        <f t="shared" si="173"/>
        <v/>
      </c>
      <c r="AQ649" s="1070" t="str">
        <f t="shared" si="174"/>
        <v/>
      </c>
      <c r="AR649" s="1070" t="str">
        <f t="shared" si="175"/>
        <v/>
      </c>
      <c r="AS649" s="1070" t="str">
        <f t="shared" si="176"/>
        <v/>
      </c>
      <c r="AT649" s="1070" t="str">
        <f t="shared" si="177"/>
        <v/>
      </c>
      <c r="AU649" s="1070" t="str">
        <f t="shared" si="178"/>
        <v/>
      </c>
      <c r="AV649" s="1070" t="str">
        <f t="shared" si="179"/>
        <v/>
      </c>
      <c r="AW649" s="1070" t="str">
        <f t="shared" si="180"/>
        <v/>
      </c>
      <c r="AX649" s="1070">
        <f t="shared" si="181"/>
        <v>2</v>
      </c>
      <c r="AY649" s="1070" t="str">
        <f t="shared" si="182"/>
        <v/>
      </c>
      <c r="AZ649" s="1070" t="str">
        <f t="shared" si="183"/>
        <v/>
      </c>
      <c r="BA649" s="1070" t="str">
        <f t="shared" si="184"/>
        <v/>
      </c>
      <c r="BB649" s="1070" t="str">
        <f t="shared" si="185"/>
        <v/>
      </c>
      <c r="BC649" s="1070" t="str">
        <f t="shared" si="186"/>
        <v/>
      </c>
      <c r="BD649" s="1070" t="str">
        <f t="shared" si="187"/>
        <v/>
      </c>
      <c r="BE649" s="1070" t="str">
        <f t="shared" si="188"/>
        <v/>
      </c>
      <c r="BF649" s="1070" t="str">
        <f t="shared" si="189"/>
        <v/>
      </c>
      <c r="BG649" s="1070" t="str">
        <f t="shared" si="190"/>
        <v/>
      </c>
      <c r="BH649" s="1070" t="str">
        <f t="shared" si="191"/>
        <v/>
      </c>
      <c r="BI649" s="1070" t="str">
        <f t="shared" si="192"/>
        <v/>
      </c>
      <c r="BJ649" s="1070" t="str">
        <f t="shared" si="193"/>
        <v/>
      </c>
      <c r="BK649" s="1070" t="str">
        <f t="shared" si="194"/>
        <v/>
      </c>
      <c r="BL649" s="1070" t="str">
        <f t="shared" si="195"/>
        <v/>
      </c>
      <c r="BM649" s="1070" t="str">
        <f t="shared" si="196"/>
        <v/>
      </c>
      <c r="BN649" s="1070" t="str">
        <f t="shared" si="197"/>
        <v/>
      </c>
      <c r="BO649" s="1070" t="str">
        <f t="shared" si="198"/>
        <v/>
      </c>
      <c r="BP649" s="1070" t="str">
        <f t="shared" si="199"/>
        <v/>
      </c>
      <c r="BQ649" s="1070" t="str">
        <f t="shared" si="200"/>
        <v/>
      </c>
      <c r="BR649" s="1070" t="str">
        <f t="shared" si="201"/>
        <v/>
      </c>
      <c r="BS649" s="1070" t="str">
        <f t="shared" si="202"/>
        <v/>
      </c>
      <c r="BT649" s="1070" t="str">
        <f t="shared" si="21"/>
        <v/>
      </c>
      <c r="BU649" s="1070" t="str">
        <f t="shared" si="22"/>
        <v/>
      </c>
      <c r="BV649" s="1070" t="str">
        <f t="shared" si="23"/>
        <v/>
      </c>
      <c r="BW649" s="1070" t="str">
        <f t="shared" si="24"/>
        <v/>
      </c>
      <c r="BX649" s="1070" t="str">
        <f t="shared" si="25"/>
        <v/>
      </c>
      <c r="BY649" s="1070" t="str">
        <f t="shared" si="26"/>
        <v/>
      </c>
      <c r="BZ649" s="1070" t="str">
        <f t="shared" si="27"/>
        <v/>
      </c>
      <c r="CA649" s="1070" t="str">
        <f t="shared" si="28"/>
        <v/>
      </c>
      <c r="CB649" s="1070" t="str">
        <f t="shared" si="29"/>
        <v/>
      </c>
      <c r="CC649" s="1070" t="str">
        <f t="shared" si="30"/>
        <v/>
      </c>
      <c r="CD649" s="1070" t="str">
        <f t="shared" si="31"/>
        <v/>
      </c>
      <c r="CE649" s="1070" t="str">
        <f t="shared" si="32"/>
        <v/>
      </c>
      <c r="CF649" s="1070" t="str">
        <f t="shared" si="33"/>
        <v/>
      </c>
      <c r="CG649" s="1070">
        <f t="shared" si="34"/>
        <v>2618</v>
      </c>
      <c r="CH649" s="1070" t="str">
        <f t="shared" si="35"/>
        <v/>
      </c>
      <c r="CI649" s="1070" t="str">
        <f t="shared" si="36"/>
        <v/>
      </c>
      <c r="CJ649" s="1070" t="str">
        <f t="shared" si="37"/>
        <v/>
      </c>
      <c r="CK649" s="1070" t="str">
        <f t="shared" si="38"/>
        <v/>
      </c>
      <c r="CL649" s="1070" t="str">
        <f t="shared" si="39"/>
        <v/>
      </c>
      <c r="CM649" s="1070" t="str">
        <f t="shared" si="40"/>
        <v/>
      </c>
      <c r="CN649" s="1070" t="str">
        <f t="shared" si="41"/>
        <v/>
      </c>
      <c r="CO649" s="1070" t="str">
        <f t="shared" si="42"/>
        <v/>
      </c>
      <c r="CP649" s="1070" t="str">
        <f t="shared" si="43"/>
        <v/>
      </c>
      <c r="CQ649" s="1070" t="str">
        <f t="shared" si="44"/>
        <v/>
      </c>
      <c r="CR649" s="1070" t="str">
        <f t="shared" si="45"/>
        <v/>
      </c>
      <c r="CS649" s="1070" t="str">
        <f t="shared" si="46"/>
        <v/>
      </c>
      <c r="CT649" s="1070" t="str">
        <f t="shared" si="47"/>
        <v/>
      </c>
      <c r="CU649" s="1070" t="str">
        <f t="shared" si="48"/>
        <v/>
      </c>
      <c r="CV649" s="1070">
        <f t="shared" si="49"/>
        <v>2618</v>
      </c>
      <c r="CW649" s="1070" t="str">
        <f t="shared" si="50"/>
        <v/>
      </c>
      <c r="CX649" s="1070" t="str">
        <f t="shared" si="51"/>
        <v/>
      </c>
      <c r="CY649" s="1070" t="str">
        <f t="shared" si="52"/>
        <v/>
      </c>
      <c r="CZ649" s="1070" t="str">
        <f t="shared" si="53"/>
        <v/>
      </c>
      <c r="DA649" s="1070" t="str">
        <f t="shared" si="54"/>
        <v/>
      </c>
      <c r="DB649" s="1070" t="str">
        <f t="shared" si="55"/>
        <v/>
      </c>
      <c r="DC649" s="1070" t="str">
        <f t="shared" si="56"/>
        <v/>
      </c>
      <c r="DD649" s="1070" t="str">
        <f t="shared" si="57"/>
        <v/>
      </c>
      <c r="DE649" s="1070" t="str">
        <f t="shared" si="58"/>
        <v/>
      </c>
      <c r="DF649" s="1070">
        <f t="shared" si="59"/>
        <v>2</v>
      </c>
      <c r="DG649" s="1070" t="str">
        <f t="shared" si="60"/>
        <v/>
      </c>
      <c r="DH649" s="1070" t="str">
        <f t="shared" si="61"/>
        <v/>
      </c>
      <c r="DI649" s="1070" t="str">
        <f t="shared" si="62"/>
        <v/>
      </c>
      <c r="DJ649" s="1070" t="str">
        <f t="shared" si="63"/>
        <v/>
      </c>
      <c r="DK649" s="1070" t="str">
        <f t="shared" si="64"/>
        <v/>
      </c>
      <c r="DL649" s="1070" t="str">
        <f t="shared" si="65"/>
        <v/>
      </c>
      <c r="DM649" s="1070" t="str">
        <f t="shared" si="66"/>
        <v/>
      </c>
      <c r="DN649" s="1070" t="str">
        <f t="shared" si="67"/>
        <v/>
      </c>
      <c r="DO649" s="1070" t="str">
        <f t="shared" si="68"/>
        <v/>
      </c>
      <c r="DP649" s="1070" t="str">
        <f t="shared" si="69"/>
        <v/>
      </c>
      <c r="DQ649" s="1070" t="str">
        <f t="shared" si="70"/>
        <v/>
      </c>
      <c r="DR649" s="1070" t="str">
        <f t="shared" si="71"/>
        <v/>
      </c>
      <c r="DS649" s="1070" t="str">
        <f t="shared" si="72"/>
        <v/>
      </c>
      <c r="DT649" s="1070" t="str">
        <f t="shared" si="73"/>
        <v/>
      </c>
      <c r="DU649" s="1070" t="str">
        <f t="shared" si="74"/>
        <v/>
      </c>
      <c r="DV649" s="1070" t="str">
        <f t="shared" si="75"/>
        <v/>
      </c>
      <c r="DW649" s="1070" t="str">
        <f t="shared" si="76"/>
        <v/>
      </c>
      <c r="DX649" s="1070" t="str">
        <f t="shared" si="77"/>
        <v/>
      </c>
      <c r="DY649" s="1070" t="str">
        <f t="shared" si="78"/>
        <v/>
      </c>
      <c r="DZ649" s="1070" t="str">
        <f t="shared" si="79"/>
        <v/>
      </c>
      <c r="EA649" s="1070" t="str">
        <f t="shared" si="80"/>
        <v/>
      </c>
      <c r="EB649" s="1070" t="str">
        <f t="shared" si="81"/>
        <v/>
      </c>
      <c r="EC649" s="1070" t="str">
        <f t="shared" si="82"/>
        <v/>
      </c>
      <c r="ED649" s="1070" t="str">
        <f t="shared" si="83"/>
        <v/>
      </c>
      <c r="EE649" s="1070" t="str">
        <f t="shared" si="84"/>
        <v/>
      </c>
      <c r="EF649" s="1070" t="str">
        <f t="shared" si="85"/>
        <v/>
      </c>
      <c r="EG649" s="1070" t="str">
        <f t="shared" si="86"/>
        <v/>
      </c>
      <c r="EH649" s="1070" t="str">
        <f t="shared" si="87"/>
        <v/>
      </c>
      <c r="EI649" s="1070" t="str">
        <f t="shared" si="88"/>
        <v/>
      </c>
      <c r="EJ649" s="1070" t="str">
        <f t="shared" si="89"/>
        <v/>
      </c>
      <c r="EK649" s="1070" t="str">
        <f t="shared" si="90"/>
        <v/>
      </c>
      <c r="EL649" s="1070" t="str">
        <f t="shared" si="91"/>
        <v/>
      </c>
      <c r="EM649" s="1070" t="str">
        <f t="shared" si="92"/>
        <v/>
      </c>
      <c r="EN649" s="1070" t="str">
        <f t="shared" si="93"/>
        <v/>
      </c>
      <c r="EO649" s="1070" t="str">
        <f t="shared" si="94"/>
        <v/>
      </c>
      <c r="EP649" s="1070" t="str">
        <f t="shared" si="95"/>
        <v/>
      </c>
      <c r="EQ649" s="1070" t="str">
        <f t="shared" si="96"/>
        <v/>
      </c>
      <c r="ER649" s="1070" t="str">
        <f t="shared" si="97"/>
        <v/>
      </c>
      <c r="ES649" s="1070" t="str">
        <f t="shared" si="98"/>
        <v/>
      </c>
      <c r="ET649" s="1070" t="str">
        <f t="shared" si="99"/>
        <v/>
      </c>
      <c r="EU649" s="1070" t="str">
        <f t="shared" si="100"/>
        <v/>
      </c>
      <c r="EV649" s="831" t="str">
        <f t="shared" si="101"/>
        <v/>
      </c>
      <c r="EW649" s="831" t="str">
        <f t="shared" si="102"/>
        <v/>
      </c>
      <c r="EX649" s="831" t="str">
        <f t="shared" si="103"/>
        <v/>
      </c>
      <c r="EY649" s="831">
        <f t="shared" si="104"/>
        <v>2</v>
      </c>
      <c r="EZ649" s="831" t="str">
        <f t="shared" si="105"/>
        <v/>
      </c>
      <c r="FA649" s="831" t="str">
        <f t="shared" si="106"/>
        <v/>
      </c>
      <c r="FB649" s="831" t="str">
        <f t="shared" si="107"/>
        <v/>
      </c>
      <c r="FC649" s="831" t="str">
        <f t="shared" si="108"/>
        <v/>
      </c>
      <c r="FD649" s="831" t="str">
        <f t="shared" si="109"/>
        <v/>
      </c>
      <c r="FE649" s="831" t="str">
        <f t="shared" si="110"/>
        <v/>
      </c>
      <c r="FF649" s="831" t="str">
        <f t="shared" si="111"/>
        <v/>
      </c>
      <c r="FG649" s="831" t="str">
        <f t="shared" si="112"/>
        <v/>
      </c>
      <c r="FH649" s="831" t="str">
        <f t="shared" si="113"/>
        <v/>
      </c>
      <c r="FI649" s="831" t="str">
        <f t="shared" si="114"/>
        <v/>
      </c>
      <c r="FJ649" s="831" t="str">
        <f t="shared" si="115"/>
        <v/>
      </c>
      <c r="FK649" s="831" t="str">
        <f t="shared" si="116"/>
        <v/>
      </c>
      <c r="FL649" s="831" t="str">
        <f t="shared" si="117"/>
        <v/>
      </c>
      <c r="FM649" s="831" t="str">
        <f t="shared" si="118"/>
        <v/>
      </c>
      <c r="FN649" s="831" t="str">
        <f t="shared" si="119"/>
        <v/>
      </c>
      <c r="FO649" s="831" t="str">
        <f t="shared" si="120"/>
        <v/>
      </c>
      <c r="FP649" s="831" t="str">
        <f t="shared" si="121"/>
        <v/>
      </c>
      <c r="FQ649" s="831" t="str">
        <f t="shared" si="122"/>
        <v/>
      </c>
      <c r="FR649" s="831" t="str">
        <f t="shared" si="123"/>
        <v/>
      </c>
      <c r="FS649" s="831" t="str">
        <f t="shared" si="124"/>
        <v/>
      </c>
      <c r="FT649" s="831" t="str">
        <f t="shared" si="125"/>
        <v/>
      </c>
      <c r="FU649" s="831" t="str">
        <f t="shared" si="126"/>
        <v/>
      </c>
      <c r="FV649" s="831" t="str">
        <f t="shared" si="127"/>
        <v/>
      </c>
      <c r="FW649" s="831" t="str">
        <f t="shared" si="128"/>
        <v/>
      </c>
      <c r="FX649" s="831" t="str">
        <f t="shared" si="129"/>
        <v/>
      </c>
      <c r="FY649" s="831" t="str">
        <f t="shared" si="130"/>
        <v/>
      </c>
      <c r="FZ649" s="831" t="str">
        <f t="shared" si="131"/>
        <v/>
      </c>
      <c r="GA649" s="831" t="str">
        <f t="shared" si="132"/>
        <v/>
      </c>
      <c r="GB649" s="831" t="str">
        <f t="shared" si="133"/>
        <v/>
      </c>
      <c r="GC649" s="831" t="str">
        <f t="shared" si="134"/>
        <v/>
      </c>
      <c r="GD649" s="831" t="str">
        <f t="shared" si="135"/>
        <v/>
      </c>
      <c r="GE649" s="831" t="str">
        <f t="shared" si="136"/>
        <v/>
      </c>
      <c r="GF649" s="831" t="str">
        <f t="shared" si="137"/>
        <v/>
      </c>
      <c r="GG649" s="831" t="str">
        <f t="shared" si="138"/>
        <v/>
      </c>
      <c r="GH649" s="831" t="str">
        <f t="shared" si="139"/>
        <v/>
      </c>
      <c r="GI649" s="831" t="str">
        <f t="shared" si="140"/>
        <v/>
      </c>
      <c r="GJ649" s="831" t="str">
        <f t="shared" si="141"/>
        <v/>
      </c>
      <c r="GK649" s="831" t="str">
        <f t="shared" si="142"/>
        <v/>
      </c>
      <c r="GL649" s="831" t="str">
        <f t="shared" si="143"/>
        <v/>
      </c>
      <c r="GM649" s="831">
        <f t="shared" si="144"/>
        <v>2</v>
      </c>
      <c r="GN649" s="831" t="str">
        <f t="shared" si="145"/>
        <v/>
      </c>
      <c r="GO649" s="1113" t="str">
        <f t="shared" si="146"/>
        <v/>
      </c>
      <c r="GP649" s="1113" t="str">
        <f t="shared" si="147"/>
        <v/>
      </c>
      <c r="GQ649" s="1113" t="str">
        <f t="shared" si="148"/>
        <v/>
      </c>
      <c r="GR649" s="1113" t="str">
        <f t="shared" si="149"/>
        <v/>
      </c>
      <c r="GS649" s="1113" t="str">
        <f t="shared" si="150"/>
        <v/>
      </c>
      <c r="GT649" s="1070" t="str">
        <f t="shared" si="151"/>
        <v/>
      </c>
      <c r="GU649" s="1070" t="str">
        <f t="shared" si="152"/>
        <v/>
      </c>
      <c r="GV649" s="1070" t="str">
        <f t="shared" si="153"/>
        <v/>
      </c>
      <c r="GW649" s="1070" t="str">
        <f t="shared" si="154"/>
        <v/>
      </c>
      <c r="GX649" s="1070" t="str">
        <f t="shared" si="155"/>
        <v/>
      </c>
      <c r="GY649" s="1070" t="str">
        <f t="shared" si="156"/>
        <v/>
      </c>
      <c r="GZ649" s="1070" t="str">
        <f t="shared" si="157"/>
        <v/>
      </c>
      <c r="HA649" s="1070" t="str">
        <f t="shared" si="158"/>
        <v/>
      </c>
      <c r="HB649" s="1070" t="str">
        <f t="shared" si="159"/>
        <v/>
      </c>
      <c r="HC649" s="1070" t="str">
        <f t="shared" si="160"/>
        <v/>
      </c>
      <c r="HD649" s="1070" t="str">
        <f t="shared" si="161"/>
        <v/>
      </c>
      <c r="HE649" s="1070" t="str">
        <f t="shared" si="162"/>
        <v/>
      </c>
      <c r="HF649" s="1070" t="str">
        <f t="shared" si="163"/>
        <v/>
      </c>
      <c r="HG649" s="1070" t="str">
        <f t="shared" si="164"/>
        <v/>
      </c>
      <c r="HH649" s="1070" t="str">
        <f t="shared" si="165"/>
        <v/>
      </c>
      <c r="HI649" s="1070" t="str">
        <f t="shared" si="166"/>
        <v/>
      </c>
      <c r="HJ649" s="1070" t="str">
        <f t="shared" si="167"/>
        <v/>
      </c>
      <c r="HK649" s="1070" t="str">
        <f t="shared" si="168"/>
        <v/>
      </c>
      <c r="HL649" s="1070" t="str">
        <f t="shared" si="169"/>
        <v/>
      </c>
      <c r="HM649" s="1070" t="str">
        <f t="shared" si="170"/>
        <v/>
      </c>
    </row>
    <row r="650" spans="1:221" ht="13.15" customHeight="1">
      <c r="A650" s="1082" t="str">
        <f t="shared" si="171"/>
        <v/>
      </c>
      <c r="B650" s="1035" t="str">
        <f>'Part VI-Revenues &amp; Expenses'!B16</f>
        <v>60% AMI</v>
      </c>
      <c r="C650" s="1036">
        <f>'Part VI-Revenues &amp; Expenses'!C16</f>
        <v>1</v>
      </c>
      <c r="D650" s="1037">
        <f>'Part VI-Revenues &amp; Expenses'!D16</f>
        <v>1</v>
      </c>
      <c r="E650" s="1038">
        <f>'Part VI-Revenues &amp; Expenses'!E16</f>
        <v>4</v>
      </c>
      <c r="F650" s="1038">
        <f>'Part VI-Revenues &amp; Expenses'!F16</f>
        <v>728</v>
      </c>
      <c r="G650" s="1038">
        <f>'Part VI-Revenues &amp; Expenses'!G16</f>
        <v>725</v>
      </c>
      <c r="H650" s="1038">
        <f>'Part VI-Revenues &amp; Expenses'!H16</f>
        <v>737</v>
      </c>
      <c r="I650" s="1038">
        <f>'Part VI-Revenues &amp; Expenses'!I16</f>
        <v>109</v>
      </c>
      <c r="J650" s="1101" t="str">
        <f>'Part VI-Revenues &amp; Expenses'!J16</f>
        <v>HUD</v>
      </c>
      <c r="K650" s="906">
        <f t="shared" si="172"/>
        <v>628</v>
      </c>
      <c r="L650" s="906">
        <f t="shared" si="0"/>
        <v>2512</v>
      </c>
      <c r="M650" s="829" t="str">
        <f>'Part VI-Revenues &amp; Expenses'!M16</f>
        <v>No</v>
      </c>
      <c r="N650" s="829" t="str">
        <f>'Part VI-Revenues &amp; Expenses'!N16</f>
        <v>3+ Story</v>
      </c>
      <c r="O650" s="829" t="str">
        <f>'Part VI-Revenues &amp; Expenses'!O16</f>
        <v>New Construction</v>
      </c>
      <c r="P650" s="907">
        <f t="shared" si="203"/>
        <v>29480</v>
      </c>
      <c r="Q650" s="908">
        <f>'Part VI-Revenues &amp; Expenses'!Q16</f>
        <v>0.61035196687370596</v>
      </c>
      <c r="R650" s="907"/>
      <c r="S650" s="908"/>
      <c r="T650" s="1575"/>
      <c r="U650" s="1575"/>
      <c r="V650" s="1070" t="str">
        <f t="shared" si="1"/>
        <v/>
      </c>
      <c r="W650" s="1070">
        <f t="shared" si="2"/>
        <v>4</v>
      </c>
      <c r="X650" s="1070" t="str">
        <f t="shared" si="3"/>
        <v/>
      </c>
      <c r="Y650" s="1070" t="str">
        <f t="shared" si="4"/>
        <v/>
      </c>
      <c r="Z650" s="1070" t="str">
        <f t="shared" si="5"/>
        <v/>
      </c>
      <c r="AA650" s="1070" t="str">
        <f t="shared" si="6"/>
        <v/>
      </c>
      <c r="AB650" s="1070" t="str">
        <f t="shared" si="7"/>
        <v/>
      </c>
      <c r="AC650" s="1070" t="str">
        <f t="shared" si="8"/>
        <v/>
      </c>
      <c r="AD650" s="1070" t="str">
        <f t="shared" si="9"/>
        <v/>
      </c>
      <c r="AE650" s="1070" t="str">
        <f t="shared" si="10"/>
        <v/>
      </c>
      <c r="AF650" s="1070" t="str">
        <f t="shared" si="11"/>
        <v/>
      </c>
      <c r="AG650" s="1070" t="str">
        <f t="shared" si="12"/>
        <v/>
      </c>
      <c r="AH650" s="1070" t="str">
        <f t="shared" si="13"/>
        <v/>
      </c>
      <c r="AI650" s="1070" t="str">
        <f t="shared" si="14"/>
        <v/>
      </c>
      <c r="AJ650" s="1070" t="str">
        <f t="shared" si="15"/>
        <v/>
      </c>
      <c r="AK650" s="1070" t="str">
        <f t="shared" si="16"/>
        <v/>
      </c>
      <c r="AL650" s="1070" t="str">
        <f t="shared" si="17"/>
        <v/>
      </c>
      <c r="AM650" s="1070" t="str">
        <f t="shared" si="18"/>
        <v/>
      </c>
      <c r="AN650" s="1070" t="str">
        <f t="shared" si="19"/>
        <v/>
      </c>
      <c r="AO650" s="1070" t="str">
        <f t="shared" si="20"/>
        <v/>
      </c>
      <c r="AP650" s="1070" t="str">
        <f t="shared" si="173"/>
        <v/>
      </c>
      <c r="AQ650" s="1070" t="str">
        <f t="shared" si="174"/>
        <v/>
      </c>
      <c r="AR650" s="1070" t="str">
        <f t="shared" si="175"/>
        <v/>
      </c>
      <c r="AS650" s="1070" t="str">
        <f t="shared" si="176"/>
        <v/>
      </c>
      <c r="AT650" s="1070" t="str">
        <f t="shared" si="177"/>
        <v/>
      </c>
      <c r="AU650" s="1070" t="str">
        <f t="shared" si="178"/>
        <v/>
      </c>
      <c r="AV650" s="1070" t="str">
        <f t="shared" si="179"/>
        <v/>
      </c>
      <c r="AW650" s="1070" t="str">
        <f t="shared" si="180"/>
        <v/>
      </c>
      <c r="AX650" s="1070" t="str">
        <f t="shared" si="181"/>
        <v/>
      </c>
      <c r="AY650" s="1070" t="str">
        <f t="shared" si="182"/>
        <v/>
      </c>
      <c r="AZ650" s="1070" t="str">
        <f t="shared" si="183"/>
        <v/>
      </c>
      <c r="BA650" s="1070">
        <f t="shared" si="184"/>
        <v>4</v>
      </c>
      <c r="BB650" s="1070" t="str">
        <f t="shared" si="185"/>
        <v/>
      </c>
      <c r="BC650" s="1070" t="str">
        <f t="shared" si="186"/>
        <v/>
      </c>
      <c r="BD650" s="1070" t="str">
        <f t="shared" si="187"/>
        <v/>
      </c>
      <c r="BE650" s="1070" t="str">
        <f t="shared" si="188"/>
        <v/>
      </c>
      <c r="BF650" s="1070" t="str">
        <f t="shared" si="189"/>
        <v/>
      </c>
      <c r="BG650" s="1070" t="str">
        <f t="shared" si="190"/>
        <v/>
      </c>
      <c r="BH650" s="1070" t="str">
        <f t="shared" si="191"/>
        <v/>
      </c>
      <c r="BI650" s="1070" t="str">
        <f t="shared" si="192"/>
        <v/>
      </c>
      <c r="BJ650" s="1070" t="str">
        <f t="shared" si="193"/>
        <v/>
      </c>
      <c r="BK650" s="1070" t="str">
        <f t="shared" si="194"/>
        <v/>
      </c>
      <c r="BL650" s="1070" t="str">
        <f t="shared" si="195"/>
        <v/>
      </c>
      <c r="BM650" s="1070" t="str">
        <f t="shared" si="196"/>
        <v/>
      </c>
      <c r="BN650" s="1070" t="str">
        <f t="shared" si="197"/>
        <v/>
      </c>
      <c r="BO650" s="1070" t="str">
        <f t="shared" si="198"/>
        <v/>
      </c>
      <c r="BP650" s="1070" t="str">
        <f t="shared" si="199"/>
        <v/>
      </c>
      <c r="BQ650" s="1070" t="str">
        <f t="shared" si="200"/>
        <v/>
      </c>
      <c r="BR650" s="1070" t="str">
        <f t="shared" si="201"/>
        <v/>
      </c>
      <c r="BS650" s="1070" t="str">
        <f t="shared" si="202"/>
        <v/>
      </c>
      <c r="BT650" s="1070" t="str">
        <f t="shared" si="21"/>
        <v/>
      </c>
      <c r="BU650" s="1070" t="str">
        <f t="shared" si="22"/>
        <v/>
      </c>
      <c r="BV650" s="1070" t="str">
        <f t="shared" si="23"/>
        <v/>
      </c>
      <c r="BW650" s="1070" t="str">
        <f t="shared" si="24"/>
        <v/>
      </c>
      <c r="BX650" s="1070" t="str">
        <f t="shared" si="25"/>
        <v/>
      </c>
      <c r="BY650" s="1070" t="str">
        <f t="shared" si="26"/>
        <v/>
      </c>
      <c r="BZ650" s="1070">
        <f t="shared" si="27"/>
        <v>2912</v>
      </c>
      <c r="CA650" s="1070" t="str">
        <f t="shared" si="28"/>
        <v/>
      </c>
      <c r="CB650" s="1070" t="str">
        <f t="shared" si="29"/>
        <v/>
      </c>
      <c r="CC650" s="1070" t="str">
        <f t="shared" si="30"/>
        <v/>
      </c>
      <c r="CD650" s="1070" t="str">
        <f t="shared" si="31"/>
        <v/>
      </c>
      <c r="CE650" s="1070" t="str">
        <f t="shared" si="32"/>
        <v/>
      </c>
      <c r="CF650" s="1070" t="str">
        <f t="shared" si="33"/>
        <v/>
      </c>
      <c r="CG650" s="1070" t="str">
        <f t="shared" si="34"/>
        <v/>
      </c>
      <c r="CH650" s="1070" t="str">
        <f t="shared" si="35"/>
        <v/>
      </c>
      <c r="CI650" s="1070" t="str">
        <f t="shared" si="36"/>
        <v/>
      </c>
      <c r="CJ650" s="1070" t="str">
        <f t="shared" si="37"/>
        <v/>
      </c>
      <c r="CK650" s="1070" t="str">
        <f t="shared" si="38"/>
        <v/>
      </c>
      <c r="CL650" s="1070" t="str">
        <f t="shared" si="39"/>
        <v/>
      </c>
      <c r="CM650" s="1070" t="str">
        <f t="shared" si="40"/>
        <v/>
      </c>
      <c r="CN650" s="1070" t="str">
        <f t="shared" si="41"/>
        <v/>
      </c>
      <c r="CO650" s="1070" t="str">
        <f t="shared" si="42"/>
        <v/>
      </c>
      <c r="CP650" s="1070" t="str">
        <f t="shared" si="43"/>
        <v/>
      </c>
      <c r="CQ650" s="1070" t="str">
        <f t="shared" si="44"/>
        <v/>
      </c>
      <c r="CR650" s="1070" t="str">
        <f t="shared" si="45"/>
        <v/>
      </c>
      <c r="CS650" s="1070" t="str">
        <f t="shared" si="46"/>
        <v/>
      </c>
      <c r="CT650" s="1070">
        <f t="shared" si="47"/>
        <v>2912</v>
      </c>
      <c r="CU650" s="1070" t="str">
        <f t="shared" si="48"/>
        <v/>
      </c>
      <c r="CV650" s="1070" t="str">
        <f t="shared" si="49"/>
        <v/>
      </c>
      <c r="CW650" s="1070" t="str">
        <f t="shared" si="50"/>
        <v/>
      </c>
      <c r="CX650" s="1070" t="str">
        <f t="shared" si="51"/>
        <v/>
      </c>
      <c r="CY650" s="1070" t="str">
        <f t="shared" si="52"/>
        <v/>
      </c>
      <c r="CZ650" s="1070" t="str">
        <f t="shared" si="53"/>
        <v/>
      </c>
      <c r="DA650" s="1070" t="str">
        <f t="shared" si="54"/>
        <v/>
      </c>
      <c r="DB650" s="1070" t="str">
        <f t="shared" si="55"/>
        <v/>
      </c>
      <c r="DC650" s="1070" t="str">
        <f t="shared" si="56"/>
        <v/>
      </c>
      <c r="DD650" s="1070">
        <f t="shared" si="57"/>
        <v>4</v>
      </c>
      <c r="DE650" s="1070" t="str">
        <f t="shared" si="58"/>
        <v/>
      </c>
      <c r="DF650" s="1070" t="str">
        <f t="shared" si="59"/>
        <v/>
      </c>
      <c r="DG650" s="1070" t="str">
        <f t="shared" si="60"/>
        <v/>
      </c>
      <c r="DH650" s="1070" t="str">
        <f t="shared" si="61"/>
        <v/>
      </c>
      <c r="DI650" s="1070" t="str">
        <f t="shared" si="62"/>
        <v/>
      </c>
      <c r="DJ650" s="1070" t="str">
        <f t="shared" si="63"/>
        <v/>
      </c>
      <c r="DK650" s="1070" t="str">
        <f t="shared" si="64"/>
        <v/>
      </c>
      <c r="DL650" s="1070" t="str">
        <f t="shared" si="65"/>
        <v/>
      </c>
      <c r="DM650" s="1070" t="str">
        <f t="shared" si="66"/>
        <v/>
      </c>
      <c r="DN650" s="1070" t="str">
        <f t="shared" si="67"/>
        <v/>
      </c>
      <c r="DO650" s="1070" t="str">
        <f t="shared" si="68"/>
        <v/>
      </c>
      <c r="DP650" s="1070" t="str">
        <f t="shared" si="69"/>
        <v/>
      </c>
      <c r="DQ650" s="1070" t="str">
        <f t="shared" si="70"/>
        <v/>
      </c>
      <c r="DR650" s="1070" t="str">
        <f t="shared" si="71"/>
        <v/>
      </c>
      <c r="DS650" s="1070" t="str">
        <f t="shared" si="72"/>
        <v/>
      </c>
      <c r="DT650" s="1070" t="str">
        <f t="shared" si="73"/>
        <v/>
      </c>
      <c r="DU650" s="1070" t="str">
        <f t="shared" si="74"/>
        <v/>
      </c>
      <c r="DV650" s="1070" t="str">
        <f t="shared" si="75"/>
        <v/>
      </c>
      <c r="DW650" s="1070" t="str">
        <f t="shared" si="76"/>
        <v/>
      </c>
      <c r="DX650" s="1070" t="str">
        <f t="shared" si="77"/>
        <v/>
      </c>
      <c r="DY650" s="1070" t="str">
        <f t="shared" si="78"/>
        <v/>
      </c>
      <c r="DZ650" s="1070" t="str">
        <f t="shared" si="79"/>
        <v/>
      </c>
      <c r="EA650" s="1070" t="str">
        <f t="shared" si="80"/>
        <v/>
      </c>
      <c r="EB650" s="1070" t="str">
        <f t="shared" si="81"/>
        <v/>
      </c>
      <c r="EC650" s="1070" t="str">
        <f t="shared" si="82"/>
        <v/>
      </c>
      <c r="ED650" s="1070" t="str">
        <f t="shared" si="83"/>
        <v/>
      </c>
      <c r="EE650" s="1070" t="str">
        <f t="shared" si="84"/>
        <v/>
      </c>
      <c r="EF650" s="1070" t="str">
        <f t="shared" si="85"/>
        <v/>
      </c>
      <c r="EG650" s="1070" t="str">
        <f t="shared" si="86"/>
        <v/>
      </c>
      <c r="EH650" s="1070" t="str">
        <f t="shared" si="87"/>
        <v/>
      </c>
      <c r="EI650" s="1070" t="str">
        <f t="shared" si="88"/>
        <v/>
      </c>
      <c r="EJ650" s="1070" t="str">
        <f t="shared" si="89"/>
        <v/>
      </c>
      <c r="EK650" s="1070" t="str">
        <f t="shared" si="90"/>
        <v/>
      </c>
      <c r="EL650" s="1070" t="str">
        <f t="shared" si="91"/>
        <v/>
      </c>
      <c r="EM650" s="1070" t="str">
        <f t="shared" si="92"/>
        <v/>
      </c>
      <c r="EN650" s="1070" t="str">
        <f t="shared" si="93"/>
        <v/>
      </c>
      <c r="EO650" s="1070" t="str">
        <f t="shared" si="94"/>
        <v/>
      </c>
      <c r="EP650" s="1070" t="str">
        <f t="shared" si="95"/>
        <v/>
      </c>
      <c r="EQ650" s="1070" t="str">
        <f t="shared" si="96"/>
        <v/>
      </c>
      <c r="ER650" s="1070" t="str">
        <f t="shared" si="97"/>
        <v/>
      </c>
      <c r="ES650" s="1070" t="str">
        <f t="shared" si="98"/>
        <v/>
      </c>
      <c r="ET650" s="1070" t="str">
        <f t="shared" si="99"/>
        <v/>
      </c>
      <c r="EU650" s="1070" t="str">
        <f t="shared" si="100"/>
        <v/>
      </c>
      <c r="EV650" s="831" t="str">
        <f t="shared" si="101"/>
        <v/>
      </c>
      <c r="EW650" s="831">
        <f t="shared" si="102"/>
        <v>4</v>
      </c>
      <c r="EX650" s="831" t="str">
        <f t="shared" si="103"/>
        <v/>
      </c>
      <c r="EY650" s="831" t="str">
        <f t="shared" si="104"/>
        <v/>
      </c>
      <c r="EZ650" s="831" t="str">
        <f t="shared" si="105"/>
        <v/>
      </c>
      <c r="FA650" s="831" t="str">
        <f t="shared" si="106"/>
        <v/>
      </c>
      <c r="FB650" s="831" t="str">
        <f t="shared" si="107"/>
        <v/>
      </c>
      <c r="FC650" s="831" t="str">
        <f t="shared" si="108"/>
        <v/>
      </c>
      <c r="FD650" s="831" t="str">
        <f t="shared" si="109"/>
        <v/>
      </c>
      <c r="FE650" s="831" t="str">
        <f t="shared" si="110"/>
        <v/>
      </c>
      <c r="FF650" s="831" t="str">
        <f t="shared" si="111"/>
        <v/>
      </c>
      <c r="FG650" s="831" t="str">
        <f t="shared" si="112"/>
        <v/>
      </c>
      <c r="FH650" s="831" t="str">
        <f t="shared" si="113"/>
        <v/>
      </c>
      <c r="FI650" s="831" t="str">
        <f t="shared" si="114"/>
        <v/>
      </c>
      <c r="FJ650" s="831" t="str">
        <f t="shared" si="115"/>
        <v/>
      </c>
      <c r="FK650" s="831" t="str">
        <f t="shared" si="116"/>
        <v/>
      </c>
      <c r="FL650" s="831" t="str">
        <f t="shared" si="117"/>
        <v/>
      </c>
      <c r="FM650" s="831" t="str">
        <f t="shared" si="118"/>
        <v/>
      </c>
      <c r="FN650" s="831" t="str">
        <f t="shared" si="119"/>
        <v/>
      </c>
      <c r="FO650" s="831" t="str">
        <f t="shared" si="120"/>
        <v/>
      </c>
      <c r="FP650" s="831" t="str">
        <f t="shared" si="121"/>
        <v/>
      </c>
      <c r="FQ650" s="831" t="str">
        <f t="shared" si="122"/>
        <v/>
      </c>
      <c r="FR650" s="831" t="str">
        <f t="shared" si="123"/>
        <v/>
      </c>
      <c r="FS650" s="831" t="str">
        <f t="shared" si="124"/>
        <v/>
      </c>
      <c r="FT650" s="831" t="str">
        <f t="shared" si="125"/>
        <v/>
      </c>
      <c r="FU650" s="831" t="str">
        <f t="shared" si="126"/>
        <v/>
      </c>
      <c r="FV650" s="831" t="str">
        <f t="shared" si="127"/>
        <v/>
      </c>
      <c r="FW650" s="831" t="str">
        <f t="shared" si="128"/>
        <v/>
      </c>
      <c r="FX650" s="831" t="str">
        <f t="shared" si="129"/>
        <v/>
      </c>
      <c r="FY650" s="831" t="str">
        <f t="shared" si="130"/>
        <v/>
      </c>
      <c r="FZ650" s="831" t="str">
        <f t="shared" si="131"/>
        <v/>
      </c>
      <c r="GA650" s="831" t="str">
        <f t="shared" si="132"/>
        <v/>
      </c>
      <c r="GB650" s="831" t="str">
        <f t="shared" si="133"/>
        <v/>
      </c>
      <c r="GC650" s="831" t="str">
        <f t="shared" si="134"/>
        <v/>
      </c>
      <c r="GD650" s="831" t="str">
        <f t="shared" si="135"/>
        <v/>
      </c>
      <c r="GE650" s="831" t="str">
        <f t="shared" si="136"/>
        <v/>
      </c>
      <c r="GF650" s="831" t="str">
        <f t="shared" si="137"/>
        <v/>
      </c>
      <c r="GG650" s="831" t="str">
        <f t="shared" si="138"/>
        <v/>
      </c>
      <c r="GH650" s="831" t="str">
        <f t="shared" si="139"/>
        <v/>
      </c>
      <c r="GI650" s="831" t="str">
        <f t="shared" si="140"/>
        <v/>
      </c>
      <c r="GJ650" s="831" t="str">
        <f t="shared" si="141"/>
        <v/>
      </c>
      <c r="GK650" s="831">
        <f t="shared" si="142"/>
        <v>4</v>
      </c>
      <c r="GL650" s="831" t="str">
        <f t="shared" si="143"/>
        <v/>
      </c>
      <c r="GM650" s="831" t="str">
        <f t="shared" si="144"/>
        <v/>
      </c>
      <c r="GN650" s="831" t="str">
        <f t="shared" si="145"/>
        <v/>
      </c>
      <c r="GO650" s="1113" t="str">
        <f t="shared" si="146"/>
        <v/>
      </c>
      <c r="GP650" s="1113" t="str">
        <f t="shared" si="147"/>
        <v/>
      </c>
      <c r="GQ650" s="1113" t="str">
        <f t="shared" si="148"/>
        <v/>
      </c>
      <c r="GR650" s="1113" t="str">
        <f t="shared" si="149"/>
        <v/>
      </c>
      <c r="GS650" s="1113" t="str">
        <f t="shared" si="150"/>
        <v/>
      </c>
      <c r="GT650" s="1070" t="str">
        <f t="shared" si="151"/>
        <v/>
      </c>
      <c r="GU650" s="1070" t="str">
        <f t="shared" si="152"/>
        <v/>
      </c>
      <c r="GV650" s="1070" t="str">
        <f t="shared" si="153"/>
        <v/>
      </c>
      <c r="GW650" s="1070" t="str">
        <f t="shared" si="154"/>
        <v/>
      </c>
      <c r="GX650" s="1070" t="str">
        <f t="shared" si="155"/>
        <v/>
      </c>
      <c r="GY650" s="1070" t="str">
        <f t="shared" si="156"/>
        <v/>
      </c>
      <c r="GZ650" s="1070" t="str">
        <f t="shared" si="157"/>
        <v/>
      </c>
      <c r="HA650" s="1070" t="str">
        <f t="shared" si="158"/>
        <v/>
      </c>
      <c r="HB650" s="1070" t="str">
        <f t="shared" si="159"/>
        <v/>
      </c>
      <c r="HC650" s="1070" t="str">
        <f t="shared" si="160"/>
        <v/>
      </c>
      <c r="HD650" s="1070" t="str">
        <f t="shared" si="161"/>
        <v/>
      </c>
      <c r="HE650" s="1070" t="str">
        <f t="shared" si="162"/>
        <v/>
      </c>
      <c r="HF650" s="1070" t="str">
        <f t="shared" si="163"/>
        <v/>
      </c>
      <c r="HG650" s="1070" t="str">
        <f t="shared" si="164"/>
        <v/>
      </c>
      <c r="HH650" s="1070" t="str">
        <f t="shared" si="165"/>
        <v/>
      </c>
      <c r="HI650" s="1070" t="str">
        <f t="shared" si="166"/>
        <v/>
      </c>
      <c r="HJ650" s="1070" t="str">
        <f t="shared" si="167"/>
        <v/>
      </c>
      <c r="HK650" s="1070" t="str">
        <f t="shared" si="168"/>
        <v/>
      </c>
      <c r="HL650" s="1070" t="str">
        <f t="shared" si="169"/>
        <v/>
      </c>
      <c r="HM650" s="1070" t="str">
        <f t="shared" si="170"/>
        <v/>
      </c>
    </row>
    <row r="651" spans="1:221" ht="13.15" customHeight="1">
      <c r="A651" s="1082" t="str">
        <f t="shared" si="171"/>
        <v/>
      </c>
      <c r="B651" s="1035" t="str">
        <f>'Part VI-Revenues &amp; Expenses'!B17</f>
        <v>60% AMI</v>
      </c>
      <c r="C651" s="1036">
        <f>'Part VI-Revenues &amp; Expenses'!C17</f>
        <v>1</v>
      </c>
      <c r="D651" s="1037">
        <f>'Part VI-Revenues &amp; Expenses'!D17</f>
        <v>1</v>
      </c>
      <c r="E651" s="1038">
        <f>'Part VI-Revenues &amp; Expenses'!E17</f>
        <v>15</v>
      </c>
      <c r="F651" s="1038">
        <f>'Part VI-Revenues &amp; Expenses'!F17</f>
        <v>680</v>
      </c>
      <c r="G651" s="1038">
        <f>'Part VI-Revenues &amp; Expenses'!G17</f>
        <v>725</v>
      </c>
      <c r="H651" s="1038">
        <f>'Part VI-Revenues &amp; Expenses'!H17</f>
        <v>737</v>
      </c>
      <c r="I651" s="1038">
        <f>'Part VI-Revenues &amp; Expenses'!I17</f>
        <v>109</v>
      </c>
      <c r="J651" s="1101" t="str">
        <f>'Part VI-Revenues &amp; Expenses'!J17</f>
        <v>HUD</v>
      </c>
      <c r="K651" s="906">
        <f t="shared" si="172"/>
        <v>628</v>
      </c>
      <c r="L651" s="906">
        <f t="shared" si="0"/>
        <v>9420</v>
      </c>
      <c r="M651" s="829" t="str">
        <f>'Part VI-Revenues &amp; Expenses'!M17</f>
        <v>No</v>
      </c>
      <c r="N651" s="829" t="str">
        <f>'Part VI-Revenues &amp; Expenses'!N17</f>
        <v>3+ Story</v>
      </c>
      <c r="O651" s="829" t="str">
        <f>'Part VI-Revenues &amp; Expenses'!O17</f>
        <v>New Construction</v>
      </c>
      <c r="P651" s="907">
        <f t="shared" si="203"/>
        <v>29480</v>
      </c>
      <c r="Q651" s="908">
        <f>'Part VI-Revenues &amp; Expenses'!Q17</f>
        <v>0.61035196687370596</v>
      </c>
      <c r="R651" s="907"/>
      <c r="S651" s="908"/>
      <c r="T651" s="1575"/>
      <c r="U651" s="1575"/>
      <c r="V651" s="1070" t="str">
        <f t="shared" si="1"/>
        <v/>
      </c>
      <c r="W651" s="1070">
        <f t="shared" si="2"/>
        <v>15</v>
      </c>
      <c r="X651" s="1070" t="str">
        <f t="shared" si="3"/>
        <v/>
      </c>
      <c r="Y651" s="1070" t="str">
        <f t="shared" si="4"/>
        <v/>
      </c>
      <c r="Z651" s="1070" t="str">
        <f t="shared" si="5"/>
        <v/>
      </c>
      <c r="AA651" s="1070" t="str">
        <f t="shared" si="6"/>
        <v/>
      </c>
      <c r="AB651" s="1070" t="str">
        <f t="shared" si="7"/>
        <v/>
      </c>
      <c r="AC651" s="1070" t="str">
        <f t="shared" si="8"/>
        <v/>
      </c>
      <c r="AD651" s="1070" t="str">
        <f t="shared" si="9"/>
        <v/>
      </c>
      <c r="AE651" s="1070" t="str">
        <f t="shared" si="10"/>
        <v/>
      </c>
      <c r="AF651" s="1070" t="str">
        <f t="shared" si="11"/>
        <v/>
      </c>
      <c r="AG651" s="1070" t="str">
        <f t="shared" si="12"/>
        <v/>
      </c>
      <c r="AH651" s="1070" t="str">
        <f t="shared" si="13"/>
        <v/>
      </c>
      <c r="AI651" s="1070" t="str">
        <f t="shared" si="14"/>
        <v/>
      </c>
      <c r="AJ651" s="1070" t="str">
        <f t="shared" si="15"/>
        <v/>
      </c>
      <c r="AK651" s="1070" t="str">
        <f t="shared" si="16"/>
        <v/>
      </c>
      <c r="AL651" s="1070" t="str">
        <f t="shared" si="17"/>
        <v/>
      </c>
      <c r="AM651" s="1070" t="str">
        <f t="shared" si="18"/>
        <v/>
      </c>
      <c r="AN651" s="1070" t="str">
        <f t="shared" si="19"/>
        <v/>
      </c>
      <c r="AO651" s="1070" t="str">
        <f t="shared" si="20"/>
        <v/>
      </c>
      <c r="AP651" s="1070" t="str">
        <f t="shared" si="173"/>
        <v/>
      </c>
      <c r="AQ651" s="1070" t="str">
        <f t="shared" si="174"/>
        <v/>
      </c>
      <c r="AR651" s="1070" t="str">
        <f t="shared" si="175"/>
        <v/>
      </c>
      <c r="AS651" s="1070" t="str">
        <f t="shared" si="176"/>
        <v/>
      </c>
      <c r="AT651" s="1070" t="str">
        <f t="shared" si="177"/>
        <v/>
      </c>
      <c r="AU651" s="1070" t="str">
        <f t="shared" si="178"/>
        <v/>
      </c>
      <c r="AV651" s="1070" t="str">
        <f t="shared" si="179"/>
        <v/>
      </c>
      <c r="AW651" s="1070" t="str">
        <f t="shared" si="180"/>
        <v/>
      </c>
      <c r="AX651" s="1070" t="str">
        <f t="shared" si="181"/>
        <v/>
      </c>
      <c r="AY651" s="1070" t="str">
        <f t="shared" si="182"/>
        <v/>
      </c>
      <c r="AZ651" s="1070" t="str">
        <f t="shared" si="183"/>
        <v/>
      </c>
      <c r="BA651" s="1070">
        <f t="shared" si="184"/>
        <v>15</v>
      </c>
      <c r="BB651" s="1070" t="str">
        <f t="shared" si="185"/>
        <v/>
      </c>
      <c r="BC651" s="1070" t="str">
        <f t="shared" si="186"/>
        <v/>
      </c>
      <c r="BD651" s="1070" t="str">
        <f t="shared" si="187"/>
        <v/>
      </c>
      <c r="BE651" s="1070" t="str">
        <f t="shared" si="188"/>
        <v/>
      </c>
      <c r="BF651" s="1070" t="str">
        <f t="shared" si="189"/>
        <v/>
      </c>
      <c r="BG651" s="1070" t="str">
        <f t="shared" si="190"/>
        <v/>
      </c>
      <c r="BH651" s="1070" t="str">
        <f t="shared" si="191"/>
        <v/>
      </c>
      <c r="BI651" s="1070" t="str">
        <f t="shared" si="192"/>
        <v/>
      </c>
      <c r="BJ651" s="1070" t="str">
        <f t="shared" si="193"/>
        <v/>
      </c>
      <c r="BK651" s="1070" t="str">
        <f t="shared" si="194"/>
        <v/>
      </c>
      <c r="BL651" s="1070" t="str">
        <f t="shared" si="195"/>
        <v/>
      </c>
      <c r="BM651" s="1070" t="str">
        <f t="shared" si="196"/>
        <v/>
      </c>
      <c r="BN651" s="1070" t="str">
        <f t="shared" si="197"/>
        <v/>
      </c>
      <c r="BO651" s="1070" t="str">
        <f t="shared" si="198"/>
        <v/>
      </c>
      <c r="BP651" s="1070" t="str">
        <f t="shared" si="199"/>
        <v/>
      </c>
      <c r="BQ651" s="1070" t="str">
        <f t="shared" si="200"/>
        <v/>
      </c>
      <c r="BR651" s="1070" t="str">
        <f t="shared" si="201"/>
        <v/>
      </c>
      <c r="BS651" s="1070" t="str">
        <f t="shared" si="202"/>
        <v/>
      </c>
      <c r="BT651" s="1070" t="str">
        <f t="shared" si="21"/>
        <v/>
      </c>
      <c r="BU651" s="1070" t="str">
        <f t="shared" si="22"/>
        <v/>
      </c>
      <c r="BV651" s="1070" t="str">
        <f t="shared" si="23"/>
        <v/>
      </c>
      <c r="BW651" s="1070" t="str">
        <f t="shared" si="24"/>
        <v/>
      </c>
      <c r="BX651" s="1070" t="str">
        <f t="shared" si="25"/>
        <v/>
      </c>
      <c r="BY651" s="1070" t="str">
        <f t="shared" si="26"/>
        <v/>
      </c>
      <c r="BZ651" s="1070">
        <f t="shared" si="27"/>
        <v>10200</v>
      </c>
      <c r="CA651" s="1070" t="str">
        <f t="shared" si="28"/>
        <v/>
      </c>
      <c r="CB651" s="1070" t="str">
        <f t="shared" si="29"/>
        <v/>
      </c>
      <c r="CC651" s="1070" t="str">
        <f t="shared" si="30"/>
        <v/>
      </c>
      <c r="CD651" s="1070" t="str">
        <f t="shared" si="31"/>
        <v/>
      </c>
      <c r="CE651" s="1070" t="str">
        <f t="shared" si="32"/>
        <v/>
      </c>
      <c r="CF651" s="1070" t="str">
        <f t="shared" si="33"/>
        <v/>
      </c>
      <c r="CG651" s="1070" t="str">
        <f t="shared" si="34"/>
        <v/>
      </c>
      <c r="CH651" s="1070" t="str">
        <f t="shared" si="35"/>
        <v/>
      </c>
      <c r="CI651" s="1070" t="str">
        <f t="shared" si="36"/>
        <v/>
      </c>
      <c r="CJ651" s="1070" t="str">
        <f t="shared" si="37"/>
        <v/>
      </c>
      <c r="CK651" s="1070" t="str">
        <f t="shared" si="38"/>
        <v/>
      </c>
      <c r="CL651" s="1070" t="str">
        <f t="shared" si="39"/>
        <v/>
      </c>
      <c r="CM651" s="1070" t="str">
        <f t="shared" si="40"/>
        <v/>
      </c>
      <c r="CN651" s="1070" t="str">
        <f t="shared" si="41"/>
        <v/>
      </c>
      <c r="CO651" s="1070" t="str">
        <f t="shared" si="42"/>
        <v/>
      </c>
      <c r="CP651" s="1070" t="str">
        <f t="shared" si="43"/>
        <v/>
      </c>
      <c r="CQ651" s="1070" t="str">
        <f t="shared" si="44"/>
        <v/>
      </c>
      <c r="CR651" s="1070" t="str">
        <f t="shared" si="45"/>
        <v/>
      </c>
      <c r="CS651" s="1070" t="str">
        <f t="shared" si="46"/>
        <v/>
      </c>
      <c r="CT651" s="1070">
        <f t="shared" si="47"/>
        <v>10200</v>
      </c>
      <c r="CU651" s="1070" t="str">
        <f t="shared" si="48"/>
        <v/>
      </c>
      <c r="CV651" s="1070" t="str">
        <f t="shared" si="49"/>
        <v/>
      </c>
      <c r="CW651" s="1070" t="str">
        <f t="shared" si="50"/>
        <v/>
      </c>
      <c r="CX651" s="1070" t="str">
        <f t="shared" si="51"/>
        <v/>
      </c>
      <c r="CY651" s="1070" t="str">
        <f t="shared" si="52"/>
        <v/>
      </c>
      <c r="CZ651" s="1070" t="str">
        <f t="shared" si="53"/>
        <v/>
      </c>
      <c r="DA651" s="1070" t="str">
        <f t="shared" si="54"/>
        <v/>
      </c>
      <c r="DB651" s="1070" t="str">
        <f t="shared" si="55"/>
        <v/>
      </c>
      <c r="DC651" s="1070" t="str">
        <f t="shared" si="56"/>
        <v/>
      </c>
      <c r="DD651" s="1070">
        <f t="shared" si="57"/>
        <v>15</v>
      </c>
      <c r="DE651" s="1070" t="str">
        <f t="shared" si="58"/>
        <v/>
      </c>
      <c r="DF651" s="1070" t="str">
        <f t="shared" si="59"/>
        <v/>
      </c>
      <c r="DG651" s="1070" t="str">
        <f t="shared" si="60"/>
        <v/>
      </c>
      <c r="DH651" s="1070" t="str">
        <f t="shared" si="61"/>
        <v/>
      </c>
      <c r="DI651" s="1070" t="str">
        <f t="shared" si="62"/>
        <v/>
      </c>
      <c r="DJ651" s="1070" t="str">
        <f t="shared" si="63"/>
        <v/>
      </c>
      <c r="DK651" s="1070" t="str">
        <f t="shared" si="64"/>
        <v/>
      </c>
      <c r="DL651" s="1070" t="str">
        <f t="shared" si="65"/>
        <v/>
      </c>
      <c r="DM651" s="1070" t="str">
        <f t="shared" si="66"/>
        <v/>
      </c>
      <c r="DN651" s="1070" t="str">
        <f t="shared" si="67"/>
        <v/>
      </c>
      <c r="DO651" s="1070" t="str">
        <f t="shared" si="68"/>
        <v/>
      </c>
      <c r="DP651" s="1070" t="str">
        <f t="shared" si="69"/>
        <v/>
      </c>
      <c r="DQ651" s="1070" t="str">
        <f t="shared" si="70"/>
        <v/>
      </c>
      <c r="DR651" s="1070" t="str">
        <f t="shared" si="71"/>
        <v/>
      </c>
      <c r="DS651" s="1070" t="str">
        <f t="shared" si="72"/>
        <v/>
      </c>
      <c r="DT651" s="1070" t="str">
        <f t="shared" si="73"/>
        <v/>
      </c>
      <c r="DU651" s="1070" t="str">
        <f t="shared" si="74"/>
        <v/>
      </c>
      <c r="DV651" s="1070" t="str">
        <f t="shared" si="75"/>
        <v/>
      </c>
      <c r="DW651" s="1070" t="str">
        <f t="shared" si="76"/>
        <v/>
      </c>
      <c r="DX651" s="1070" t="str">
        <f t="shared" si="77"/>
        <v/>
      </c>
      <c r="DY651" s="1070" t="str">
        <f t="shared" si="78"/>
        <v/>
      </c>
      <c r="DZ651" s="1070" t="str">
        <f t="shared" si="79"/>
        <v/>
      </c>
      <c r="EA651" s="1070" t="str">
        <f t="shared" si="80"/>
        <v/>
      </c>
      <c r="EB651" s="1070" t="str">
        <f t="shared" si="81"/>
        <v/>
      </c>
      <c r="EC651" s="1070" t="str">
        <f t="shared" si="82"/>
        <v/>
      </c>
      <c r="ED651" s="1070" t="str">
        <f t="shared" si="83"/>
        <v/>
      </c>
      <c r="EE651" s="1070" t="str">
        <f t="shared" si="84"/>
        <v/>
      </c>
      <c r="EF651" s="1070" t="str">
        <f t="shared" si="85"/>
        <v/>
      </c>
      <c r="EG651" s="1070" t="str">
        <f t="shared" si="86"/>
        <v/>
      </c>
      <c r="EH651" s="1070" t="str">
        <f t="shared" si="87"/>
        <v/>
      </c>
      <c r="EI651" s="1070" t="str">
        <f t="shared" si="88"/>
        <v/>
      </c>
      <c r="EJ651" s="1070" t="str">
        <f t="shared" si="89"/>
        <v/>
      </c>
      <c r="EK651" s="1070" t="str">
        <f t="shared" si="90"/>
        <v/>
      </c>
      <c r="EL651" s="1070" t="str">
        <f t="shared" si="91"/>
        <v/>
      </c>
      <c r="EM651" s="1070" t="str">
        <f t="shared" si="92"/>
        <v/>
      </c>
      <c r="EN651" s="1070" t="str">
        <f t="shared" si="93"/>
        <v/>
      </c>
      <c r="EO651" s="1070" t="str">
        <f t="shared" si="94"/>
        <v/>
      </c>
      <c r="EP651" s="1070" t="str">
        <f t="shared" si="95"/>
        <v/>
      </c>
      <c r="EQ651" s="1070" t="str">
        <f t="shared" si="96"/>
        <v/>
      </c>
      <c r="ER651" s="1070" t="str">
        <f t="shared" si="97"/>
        <v/>
      </c>
      <c r="ES651" s="1070" t="str">
        <f t="shared" si="98"/>
        <v/>
      </c>
      <c r="ET651" s="1070" t="str">
        <f t="shared" si="99"/>
        <v/>
      </c>
      <c r="EU651" s="1070" t="str">
        <f t="shared" si="100"/>
        <v/>
      </c>
      <c r="EV651" s="831" t="str">
        <f t="shared" si="101"/>
        <v/>
      </c>
      <c r="EW651" s="831">
        <f t="shared" si="102"/>
        <v>15</v>
      </c>
      <c r="EX651" s="831" t="str">
        <f t="shared" si="103"/>
        <v/>
      </c>
      <c r="EY651" s="831" t="str">
        <f t="shared" si="104"/>
        <v/>
      </c>
      <c r="EZ651" s="831" t="str">
        <f t="shared" si="105"/>
        <v/>
      </c>
      <c r="FA651" s="831" t="str">
        <f t="shared" si="106"/>
        <v/>
      </c>
      <c r="FB651" s="831" t="str">
        <f t="shared" si="107"/>
        <v/>
      </c>
      <c r="FC651" s="831" t="str">
        <f t="shared" si="108"/>
        <v/>
      </c>
      <c r="FD651" s="831" t="str">
        <f t="shared" si="109"/>
        <v/>
      </c>
      <c r="FE651" s="831" t="str">
        <f t="shared" si="110"/>
        <v/>
      </c>
      <c r="FF651" s="831" t="str">
        <f t="shared" si="111"/>
        <v/>
      </c>
      <c r="FG651" s="831" t="str">
        <f t="shared" si="112"/>
        <v/>
      </c>
      <c r="FH651" s="831" t="str">
        <f t="shared" si="113"/>
        <v/>
      </c>
      <c r="FI651" s="831" t="str">
        <f t="shared" si="114"/>
        <v/>
      </c>
      <c r="FJ651" s="831" t="str">
        <f t="shared" si="115"/>
        <v/>
      </c>
      <c r="FK651" s="831" t="str">
        <f t="shared" si="116"/>
        <v/>
      </c>
      <c r="FL651" s="831" t="str">
        <f t="shared" si="117"/>
        <v/>
      </c>
      <c r="FM651" s="831" t="str">
        <f t="shared" si="118"/>
        <v/>
      </c>
      <c r="FN651" s="831" t="str">
        <f t="shared" si="119"/>
        <v/>
      </c>
      <c r="FO651" s="831" t="str">
        <f t="shared" si="120"/>
        <v/>
      </c>
      <c r="FP651" s="831" t="str">
        <f t="shared" si="121"/>
        <v/>
      </c>
      <c r="FQ651" s="831" t="str">
        <f t="shared" si="122"/>
        <v/>
      </c>
      <c r="FR651" s="831" t="str">
        <f t="shared" si="123"/>
        <v/>
      </c>
      <c r="FS651" s="831" t="str">
        <f t="shared" si="124"/>
        <v/>
      </c>
      <c r="FT651" s="831" t="str">
        <f t="shared" si="125"/>
        <v/>
      </c>
      <c r="FU651" s="831" t="str">
        <f t="shared" si="126"/>
        <v/>
      </c>
      <c r="FV651" s="831" t="str">
        <f t="shared" si="127"/>
        <v/>
      </c>
      <c r="FW651" s="831" t="str">
        <f t="shared" si="128"/>
        <v/>
      </c>
      <c r="FX651" s="831" t="str">
        <f t="shared" si="129"/>
        <v/>
      </c>
      <c r="FY651" s="831" t="str">
        <f t="shared" si="130"/>
        <v/>
      </c>
      <c r="FZ651" s="831" t="str">
        <f t="shared" si="131"/>
        <v/>
      </c>
      <c r="GA651" s="831" t="str">
        <f t="shared" si="132"/>
        <v/>
      </c>
      <c r="GB651" s="831" t="str">
        <f t="shared" si="133"/>
        <v/>
      </c>
      <c r="GC651" s="831" t="str">
        <f t="shared" si="134"/>
        <v/>
      </c>
      <c r="GD651" s="831" t="str">
        <f t="shared" si="135"/>
        <v/>
      </c>
      <c r="GE651" s="831" t="str">
        <f t="shared" si="136"/>
        <v/>
      </c>
      <c r="GF651" s="831" t="str">
        <f t="shared" si="137"/>
        <v/>
      </c>
      <c r="GG651" s="831" t="str">
        <f t="shared" si="138"/>
        <v/>
      </c>
      <c r="GH651" s="831" t="str">
        <f t="shared" si="139"/>
        <v/>
      </c>
      <c r="GI651" s="831" t="str">
        <f t="shared" si="140"/>
        <v/>
      </c>
      <c r="GJ651" s="831" t="str">
        <f t="shared" si="141"/>
        <v/>
      </c>
      <c r="GK651" s="831">
        <f t="shared" si="142"/>
        <v>15</v>
      </c>
      <c r="GL651" s="831" t="str">
        <f t="shared" si="143"/>
        <v/>
      </c>
      <c r="GM651" s="831" t="str">
        <f t="shared" si="144"/>
        <v/>
      </c>
      <c r="GN651" s="831" t="str">
        <f t="shared" si="145"/>
        <v/>
      </c>
      <c r="GO651" s="1113" t="str">
        <f t="shared" si="146"/>
        <v/>
      </c>
      <c r="GP651" s="1113" t="str">
        <f t="shared" si="147"/>
        <v/>
      </c>
      <c r="GQ651" s="1113" t="str">
        <f t="shared" si="148"/>
        <v/>
      </c>
      <c r="GR651" s="1113" t="str">
        <f t="shared" si="149"/>
        <v/>
      </c>
      <c r="GS651" s="1113" t="str">
        <f t="shared" si="150"/>
        <v/>
      </c>
      <c r="GT651" s="1070" t="str">
        <f t="shared" si="151"/>
        <v/>
      </c>
      <c r="GU651" s="1070" t="str">
        <f t="shared" si="152"/>
        <v/>
      </c>
      <c r="GV651" s="1070" t="str">
        <f t="shared" si="153"/>
        <v/>
      </c>
      <c r="GW651" s="1070" t="str">
        <f t="shared" si="154"/>
        <v/>
      </c>
      <c r="GX651" s="1070" t="str">
        <f t="shared" si="155"/>
        <v/>
      </c>
      <c r="GY651" s="1070" t="str">
        <f t="shared" si="156"/>
        <v/>
      </c>
      <c r="GZ651" s="1070" t="str">
        <f t="shared" si="157"/>
        <v/>
      </c>
      <c r="HA651" s="1070" t="str">
        <f t="shared" si="158"/>
        <v/>
      </c>
      <c r="HB651" s="1070" t="str">
        <f t="shared" si="159"/>
        <v/>
      </c>
      <c r="HC651" s="1070" t="str">
        <f t="shared" si="160"/>
        <v/>
      </c>
      <c r="HD651" s="1070" t="str">
        <f t="shared" si="161"/>
        <v/>
      </c>
      <c r="HE651" s="1070" t="str">
        <f t="shared" si="162"/>
        <v/>
      </c>
      <c r="HF651" s="1070" t="str">
        <f t="shared" si="163"/>
        <v/>
      </c>
      <c r="HG651" s="1070" t="str">
        <f t="shared" si="164"/>
        <v/>
      </c>
      <c r="HH651" s="1070" t="str">
        <f t="shared" si="165"/>
        <v/>
      </c>
      <c r="HI651" s="1070" t="str">
        <f t="shared" si="166"/>
        <v/>
      </c>
      <c r="HJ651" s="1070" t="str">
        <f t="shared" si="167"/>
        <v/>
      </c>
      <c r="HK651" s="1070" t="str">
        <f t="shared" si="168"/>
        <v/>
      </c>
      <c r="HL651" s="1070" t="str">
        <f t="shared" si="169"/>
        <v/>
      </c>
      <c r="HM651" s="1070" t="str">
        <f t="shared" si="170"/>
        <v/>
      </c>
    </row>
    <row r="652" spans="1:221" ht="13.15" customHeight="1">
      <c r="A652" s="1082" t="str">
        <f t="shared" si="171"/>
        <v/>
      </c>
      <c r="B652" s="1035" t="str">
        <f>'Part VI-Revenues &amp; Expenses'!B18</f>
        <v>60% AMI</v>
      </c>
      <c r="C652" s="1036">
        <f>'Part VI-Revenues &amp; Expenses'!C18</f>
        <v>2</v>
      </c>
      <c r="D652" s="1037">
        <f>'Part VI-Revenues &amp; Expenses'!D18</f>
        <v>1</v>
      </c>
      <c r="E652" s="1038">
        <f>'Part VI-Revenues &amp; Expenses'!E18</f>
        <v>4</v>
      </c>
      <c r="F652" s="1038">
        <f>'Part VI-Revenues &amp; Expenses'!F18</f>
        <v>886</v>
      </c>
      <c r="G652" s="1038">
        <f>'Part VI-Revenues &amp; Expenses'!G18</f>
        <v>870</v>
      </c>
      <c r="H652" s="1038">
        <f>'Part VI-Revenues &amp; Expenses'!H18</f>
        <v>789</v>
      </c>
      <c r="I652" s="1038">
        <f>'Part VI-Revenues &amp; Expenses'!I18</f>
        <v>176</v>
      </c>
      <c r="J652" s="1101" t="str">
        <f>'Part VI-Revenues &amp; Expenses'!J18</f>
        <v>HUD</v>
      </c>
      <c r="K652" s="906">
        <f t="shared" si="172"/>
        <v>613</v>
      </c>
      <c r="L652" s="906">
        <f t="shared" si="0"/>
        <v>2452</v>
      </c>
      <c r="M652" s="829" t="str">
        <f>'Part VI-Revenues &amp; Expenses'!M18</f>
        <v>No</v>
      </c>
      <c r="N652" s="829" t="str">
        <f>'Part VI-Revenues &amp; Expenses'!N18</f>
        <v>3+ Story</v>
      </c>
      <c r="O652" s="829" t="str">
        <f>'Part VI-Revenues &amp; Expenses'!O18</f>
        <v>New Construction</v>
      </c>
      <c r="P652" s="907">
        <f t="shared" si="203"/>
        <v>31560</v>
      </c>
      <c r="Q652" s="908">
        <f>'Part VI-Revenues &amp; Expenses'!Q18</f>
        <v>0.54451345755693581</v>
      </c>
      <c r="R652" s="907"/>
      <c r="S652" s="908"/>
      <c r="T652" s="1575"/>
      <c r="U652" s="1575"/>
      <c r="V652" s="1070" t="str">
        <f t="shared" si="1"/>
        <v/>
      </c>
      <c r="W652" s="1070" t="str">
        <f t="shared" si="2"/>
        <v/>
      </c>
      <c r="X652" s="1070">
        <f t="shared" si="3"/>
        <v>4</v>
      </c>
      <c r="Y652" s="1070" t="str">
        <f t="shared" si="4"/>
        <v/>
      </c>
      <c r="Z652" s="1070" t="str">
        <f t="shared" si="5"/>
        <v/>
      </c>
      <c r="AA652" s="1070" t="str">
        <f t="shared" si="6"/>
        <v/>
      </c>
      <c r="AB652" s="1070" t="str">
        <f t="shared" si="7"/>
        <v/>
      </c>
      <c r="AC652" s="1070" t="str">
        <f t="shared" si="8"/>
        <v/>
      </c>
      <c r="AD652" s="1070" t="str">
        <f t="shared" si="9"/>
        <v/>
      </c>
      <c r="AE652" s="1070" t="str">
        <f t="shared" si="10"/>
        <v/>
      </c>
      <c r="AF652" s="1070" t="str">
        <f t="shared" si="11"/>
        <v/>
      </c>
      <c r="AG652" s="1070" t="str">
        <f t="shared" si="12"/>
        <v/>
      </c>
      <c r="AH652" s="1070" t="str">
        <f t="shared" si="13"/>
        <v/>
      </c>
      <c r="AI652" s="1070" t="str">
        <f t="shared" si="14"/>
        <v/>
      </c>
      <c r="AJ652" s="1070" t="str">
        <f t="shared" si="15"/>
        <v/>
      </c>
      <c r="AK652" s="1070" t="str">
        <f t="shared" si="16"/>
        <v/>
      </c>
      <c r="AL652" s="1070" t="str">
        <f t="shared" si="17"/>
        <v/>
      </c>
      <c r="AM652" s="1070" t="str">
        <f t="shared" si="18"/>
        <v/>
      </c>
      <c r="AN652" s="1070" t="str">
        <f t="shared" si="19"/>
        <v/>
      </c>
      <c r="AO652" s="1070" t="str">
        <f t="shared" si="20"/>
        <v/>
      </c>
      <c r="AP652" s="1070" t="str">
        <f t="shared" si="173"/>
        <v/>
      </c>
      <c r="AQ652" s="1070" t="str">
        <f t="shared" si="174"/>
        <v/>
      </c>
      <c r="AR652" s="1070" t="str">
        <f t="shared" si="175"/>
        <v/>
      </c>
      <c r="AS652" s="1070" t="str">
        <f t="shared" si="176"/>
        <v/>
      </c>
      <c r="AT652" s="1070" t="str">
        <f t="shared" si="177"/>
        <v/>
      </c>
      <c r="AU652" s="1070" t="str">
        <f t="shared" si="178"/>
        <v/>
      </c>
      <c r="AV652" s="1070" t="str">
        <f t="shared" si="179"/>
        <v/>
      </c>
      <c r="AW652" s="1070" t="str">
        <f t="shared" si="180"/>
        <v/>
      </c>
      <c r="AX652" s="1070" t="str">
        <f t="shared" si="181"/>
        <v/>
      </c>
      <c r="AY652" s="1070" t="str">
        <f t="shared" si="182"/>
        <v/>
      </c>
      <c r="AZ652" s="1070" t="str">
        <f t="shared" si="183"/>
        <v/>
      </c>
      <c r="BA652" s="1070" t="str">
        <f t="shared" si="184"/>
        <v/>
      </c>
      <c r="BB652" s="1070">
        <f t="shared" si="185"/>
        <v>4</v>
      </c>
      <c r="BC652" s="1070" t="str">
        <f t="shared" si="186"/>
        <v/>
      </c>
      <c r="BD652" s="1070" t="str">
        <f t="shared" si="187"/>
        <v/>
      </c>
      <c r="BE652" s="1070" t="str">
        <f t="shared" si="188"/>
        <v/>
      </c>
      <c r="BF652" s="1070" t="str">
        <f t="shared" si="189"/>
        <v/>
      </c>
      <c r="BG652" s="1070" t="str">
        <f t="shared" si="190"/>
        <v/>
      </c>
      <c r="BH652" s="1070" t="str">
        <f t="shared" si="191"/>
        <v/>
      </c>
      <c r="BI652" s="1070" t="str">
        <f t="shared" si="192"/>
        <v/>
      </c>
      <c r="BJ652" s="1070" t="str">
        <f t="shared" si="193"/>
        <v/>
      </c>
      <c r="BK652" s="1070" t="str">
        <f t="shared" si="194"/>
        <v/>
      </c>
      <c r="BL652" s="1070" t="str">
        <f t="shared" si="195"/>
        <v/>
      </c>
      <c r="BM652" s="1070" t="str">
        <f t="shared" si="196"/>
        <v/>
      </c>
      <c r="BN652" s="1070" t="str">
        <f t="shared" si="197"/>
        <v/>
      </c>
      <c r="BO652" s="1070" t="str">
        <f t="shared" si="198"/>
        <v/>
      </c>
      <c r="BP652" s="1070" t="str">
        <f t="shared" si="199"/>
        <v/>
      </c>
      <c r="BQ652" s="1070" t="str">
        <f t="shared" si="200"/>
        <v/>
      </c>
      <c r="BR652" s="1070" t="str">
        <f t="shared" si="201"/>
        <v/>
      </c>
      <c r="BS652" s="1070" t="str">
        <f t="shared" si="202"/>
        <v/>
      </c>
      <c r="BT652" s="1070" t="str">
        <f t="shared" si="21"/>
        <v/>
      </c>
      <c r="BU652" s="1070" t="str">
        <f t="shared" si="22"/>
        <v/>
      </c>
      <c r="BV652" s="1070" t="str">
        <f t="shared" si="23"/>
        <v/>
      </c>
      <c r="BW652" s="1070" t="str">
        <f t="shared" si="24"/>
        <v/>
      </c>
      <c r="BX652" s="1070" t="str">
        <f t="shared" si="25"/>
        <v/>
      </c>
      <c r="BY652" s="1070" t="str">
        <f t="shared" si="26"/>
        <v/>
      </c>
      <c r="BZ652" s="1070" t="str">
        <f t="shared" si="27"/>
        <v/>
      </c>
      <c r="CA652" s="1070">
        <f t="shared" si="28"/>
        <v>3544</v>
      </c>
      <c r="CB652" s="1070" t="str">
        <f t="shared" si="29"/>
        <v/>
      </c>
      <c r="CC652" s="1070" t="str">
        <f t="shared" si="30"/>
        <v/>
      </c>
      <c r="CD652" s="1070" t="str">
        <f t="shared" si="31"/>
        <v/>
      </c>
      <c r="CE652" s="1070" t="str">
        <f t="shared" si="32"/>
        <v/>
      </c>
      <c r="CF652" s="1070" t="str">
        <f t="shared" si="33"/>
        <v/>
      </c>
      <c r="CG652" s="1070" t="str">
        <f t="shared" si="34"/>
        <v/>
      </c>
      <c r="CH652" s="1070" t="str">
        <f t="shared" si="35"/>
        <v/>
      </c>
      <c r="CI652" s="1070" t="str">
        <f t="shared" si="36"/>
        <v/>
      </c>
      <c r="CJ652" s="1070" t="str">
        <f t="shared" si="37"/>
        <v/>
      </c>
      <c r="CK652" s="1070" t="str">
        <f t="shared" si="38"/>
        <v/>
      </c>
      <c r="CL652" s="1070" t="str">
        <f t="shared" si="39"/>
        <v/>
      </c>
      <c r="CM652" s="1070" t="str">
        <f t="shared" si="40"/>
        <v/>
      </c>
      <c r="CN652" s="1070" t="str">
        <f t="shared" si="41"/>
        <v/>
      </c>
      <c r="CO652" s="1070" t="str">
        <f t="shared" si="42"/>
        <v/>
      </c>
      <c r="CP652" s="1070" t="str">
        <f t="shared" si="43"/>
        <v/>
      </c>
      <c r="CQ652" s="1070" t="str">
        <f t="shared" si="44"/>
        <v/>
      </c>
      <c r="CR652" s="1070" t="str">
        <f t="shared" si="45"/>
        <v/>
      </c>
      <c r="CS652" s="1070" t="str">
        <f t="shared" si="46"/>
        <v/>
      </c>
      <c r="CT652" s="1070" t="str">
        <f t="shared" si="47"/>
        <v/>
      </c>
      <c r="CU652" s="1070">
        <f t="shared" si="48"/>
        <v>3544</v>
      </c>
      <c r="CV652" s="1070" t="str">
        <f t="shared" si="49"/>
        <v/>
      </c>
      <c r="CW652" s="1070" t="str">
        <f t="shared" si="50"/>
        <v/>
      </c>
      <c r="CX652" s="1070" t="str">
        <f t="shared" si="51"/>
        <v/>
      </c>
      <c r="CY652" s="1070" t="str">
        <f t="shared" si="52"/>
        <v/>
      </c>
      <c r="CZ652" s="1070" t="str">
        <f t="shared" si="53"/>
        <v/>
      </c>
      <c r="DA652" s="1070" t="str">
        <f t="shared" si="54"/>
        <v/>
      </c>
      <c r="DB652" s="1070" t="str">
        <f t="shared" si="55"/>
        <v/>
      </c>
      <c r="DC652" s="1070" t="str">
        <f t="shared" si="56"/>
        <v/>
      </c>
      <c r="DD652" s="1070" t="str">
        <f t="shared" si="57"/>
        <v/>
      </c>
      <c r="DE652" s="1070">
        <f t="shared" si="58"/>
        <v>4</v>
      </c>
      <c r="DF652" s="1070" t="str">
        <f t="shared" si="59"/>
        <v/>
      </c>
      <c r="DG652" s="1070" t="str">
        <f t="shared" si="60"/>
        <v/>
      </c>
      <c r="DH652" s="1070" t="str">
        <f t="shared" si="61"/>
        <v/>
      </c>
      <c r="DI652" s="1070" t="str">
        <f t="shared" si="62"/>
        <v/>
      </c>
      <c r="DJ652" s="1070" t="str">
        <f t="shared" si="63"/>
        <v/>
      </c>
      <c r="DK652" s="1070" t="str">
        <f t="shared" si="64"/>
        <v/>
      </c>
      <c r="DL652" s="1070" t="str">
        <f t="shared" si="65"/>
        <v/>
      </c>
      <c r="DM652" s="1070" t="str">
        <f t="shared" si="66"/>
        <v/>
      </c>
      <c r="DN652" s="1070" t="str">
        <f t="shared" si="67"/>
        <v/>
      </c>
      <c r="DO652" s="1070" t="str">
        <f t="shared" si="68"/>
        <v/>
      </c>
      <c r="DP652" s="1070" t="str">
        <f t="shared" si="69"/>
        <v/>
      </c>
      <c r="DQ652" s="1070" t="str">
        <f t="shared" si="70"/>
        <v/>
      </c>
      <c r="DR652" s="1070" t="str">
        <f t="shared" si="71"/>
        <v/>
      </c>
      <c r="DS652" s="1070" t="str">
        <f t="shared" si="72"/>
        <v/>
      </c>
      <c r="DT652" s="1070" t="str">
        <f t="shared" si="73"/>
        <v/>
      </c>
      <c r="DU652" s="1070" t="str">
        <f t="shared" si="74"/>
        <v/>
      </c>
      <c r="DV652" s="1070" t="str">
        <f t="shared" si="75"/>
        <v/>
      </c>
      <c r="DW652" s="1070" t="str">
        <f t="shared" si="76"/>
        <v/>
      </c>
      <c r="DX652" s="1070" t="str">
        <f t="shared" si="77"/>
        <v/>
      </c>
      <c r="DY652" s="1070" t="str">
        <f t="shared" si="78"/>
        <v/>
      </c>
      <c r="DZ652" s="1070" t="str">
        <f t="shared" si="79"/>
        <v/>
      </c>
      <c r="EA652" s="1070" t="str">
        <f t="shared" si="80"/>
        <v/>
      </c>
      <c r="EB652" s="1070" t="str">
        <f t="shared" si="81"/>
        <v/>
      </c>
      <c r="EC652" s="1070" t="str">
        <f t="shared" si="82"/>
        <v/>
      </c>
      <c r="ED652" s="1070" t="str">
        <f t="shared" si="83"/>
        <v/>
      </c>
      <c r="EE652" s="1070" t="str">
        <f t="shared" si="84"/>
        <v/>
      </c>
      <c r="EF652" s="1070" t="str">
        <f t="shared" si="85"/>
        <v/>
      </c>
      <c r="EG652" s="1070" t="str">
        <f t="shared" si="86"/>
        <v/>
      </c>
      <c r="EH652" s="1070" t="str">
        <f t="shared" si="87"/>
        <v/>
      </c>
      <c r="EI652" s="1070" t="str">
        <f t="shared" si="88"/>
        <v/>
      </c>
      <c r="EJ652" s="1070" t="str">
        <f t="shared" si="89"/>
        <v/>
      </c>
      <c r="EK652" s="1070" t="str">
        <f t="shared" si="90"/>
        <v/>
      </c>
      <c r="EL652" s="1070" t="str">
        <f t="shared" si="91"/>
        <v/>
      </c>
      <c r="EM652" s="1070" t="str">
        <f t="shared" si="92"/>
        <v/>
      </c>
      <c r="EN652" s="1070" t="str">
        <f t="shared" si="93"/>
        <v/>
      </c>
      <c r="EO652" s="1070" t="str">
        <f t="shared" si="94"/>
        <v/>
      </c>
      <c r="EP652" s="1070" t="str">
        <f t="shared" si="95"/>
        <v/>
      </c>
      <c r="EQ652" s="1070" t="str">
        <f t="shared" si="96"/>
        <v/>
      </c>
      <c r="ER652" s="1070" t="str">
        <f t="shared" si="97"/>
        <v/>
      </c>
      <c r="ES652" s="1070" t="str">
        <f t="shared" si="98"/>
        <v/>
      </c>
      <c r="ET652" s="1070" t="str">
        <f t="shared" si="99"/>
        <v/>
      </c>
      <c r="EU652" s="1070" t="str">
        <f t="shared" si="100"/>
        <v/>
      </c>
      <c r="EV652" s="831" t="str">
        <f t="shared" si="101"/>
        <v/>
      </c>
      <c r="EW652" s="831" t="str">
        <f t="shared" si="102"/>
        <v/>
      </c>
      <c r="EX652" s="831">
        <f t="shared" si="103"/>
        <v>4</v>
      </c>
      <c r="EY652" s="831" t="str">
        <f t="shared" si="104"/>
        <v/>
      </c>
      <c r="EZ652" s="831" t="str">
        <f t="shared" si="105"/>
        <v/>
      </c>
      <c r="FA652" s="831" t="str">
        <f t="shared" si="106"/>
        <v/>
      </c>
      <c r="FB652" s="831" t="str">
        <f t="shared" si="107"/>
        <v/>
      </c>
      <c r="FC652" s="831" t="str">
        <f t="shared" si="108"/>
        <v/>
      </c>
      <c r="FD652" s="831" t="str">
        <f t="shared" si="109"/>
        <v/>
      </c>
      <c r="FE652" s="831" t="str">
        <f t="shared" si="110"/>
        <v/>
      </c>
      <c r="FF652" s="831" t="str">
        <f t="shared" si="111"/>
        <v/>
      </c>
      <c r="FG652" s="831" t="str">
        <f t="shared" si="112"/>
        <v/>
      </c>
      <c r="FH652" s="831" t="str">
        <f t="shared" si="113"/>
        <v/>
      </c>
      <c r="FI652" s="831" t="str">
        <f t="shared" si="114"/>
        <v/>
      </c>
      <c r="FJ652" s="831" t="str">
        <f t="shared" si="115"/>
        <v/>
      </c>
      <c r="FK652" s="831" t="str">
        <f t="shared" si="116"/>
        <v/>
      </c>
      <c r="FL652" s="831" t="str">
        <f t="shared" si="117"/>
        <v/>
      </c>
      <c r="FM652" s="831" t="str">
        <f t="shared" si="118"/>
        <v/>
      </c>
      <c r="FN652" s="831" t="str">
        <f t="shared" si="119"/>
        <v/>
      </c>
      <c r="FO652" s="831" t="str">
        <f t="shared" si="120"/>
        <v/>
      </c>
      <c r="FP652" s="831" t="str">
        <f t="shared" si="121"/>
        <v/>
      </c>
      <c r="FQ652" s="831" t="str">
        <f t="shared" si="122"/>
        <v/>
      </c>
      <c r="FR652" s="831" t="str">
        <f t="shared" si="123"/>
        <v/>
      </c>
      <c r="FS652" s="831" t="str">
        <f t="shared" si="124"/>
        <v/>
      </c>
      <c r="FT652" s="831" t="str">
        <f t="shared" si="125"/>
        <v/>
      </c>
      <c r="FU652" s="831" t="str">
        <f t="shared" si="126"/>
        <v/>
      </c>
      <c r="FV652" s="831" t="str">
        <f t="shared" si="127"/>
        <v/>
      </c>
      <c r="FW652" s="831" t="str">
        <f t="shared" si="128"/>
        <v/>
      </c>
      <c r="FX652" s="831" t="str">
        <f t="shared" si="129"/>
        <v/>
      </c>
      <c r="FY652" s="831" t="str">
        <f t="shared" si="130"/>
        <v/>
      </c>
      <c r="FZ652" s="831" t="str">
        <f t="shared" si="131"/>
        <v/>
      </c>
      <c r="GA652" s="831" t="str">
        <f t="shared" si="132"/>
        <v/>
      </c>
      <c r="GB652" s="831" t="str">
        <f t="shared" si="133"/>
        <v/>
      </c>
      <c r="GC652" s="831" t="str">
        <f t="shared" si="134"/>
        <v/>
      </c>
      <c r="GD652" s="831" t="str">
        <f t="shared" si="135"/>
        <v/>
      </c>
      <c r="GE652" s="831" t="str">
        <f t="shared" si="136"/>
        <v/>
      </c>
      <c r="GF652" s="831" t="str">
        <f t="shared" si="137"/>
        <v/>
      </c>
      <c r="GG652" s="831" t="str">
        <f t="shared" si="138"/>
        <v/>
      </c>
      <c r="GH652" s="831" t="str">
        <f t="shared" si="139"/>
        <v/>
      </c>
      <c r="GI652" s="831" t="str">
        <f t="shared" si="140"/>
        <v/>
      </c>
      <c r="GJ652" s="831" t="str">
        <f t="shared" si="141"/>
        <v/>
      </c>
      <c r="GK652" s="831" t="str">
        <f t="shared" si="142"/>
        <v/>
      </c>
      <c r="GL652" s="831">
        <f t="shared" si="143"/>
        <v>4</v>
      </c>
      <c r="GM652" s="831" t="str">
        <f t="shared" si="144"/>
        <v/>
      </c>
      <c r="GN652" s="831" t="str">
        <f t="shared" si="145"/>
        <v/>
      </c>
      <c r="GO652" s="1113" t="str">
        <f t="shared" si="146"/>
        <v/>
      </c>
      <c r="GP652" s="1113" t="str">
        <f t="shared" si="147"/>
        <v/>
      </c>
      <c r="GQ652" s="1113" t="str">
        <f t="shared" si="148"/>
        <v/>
      </c>
      <c r="GR652" s="1113" t="str">
        <f t="shared" si="149"/>
        <v/>
      </c>
      <c r="GS652" s="1113" t="str">
        <f t="shared" si="150"/>
        <v/>
      </c>
      <c r="GT652" s="1070" t="str">
        <f t="shared" si="151"/>
        <v/>
      </c>
      <c r="GU652" s="1070" t="str">
        <f t="shared" si="152"/>
        <v/>
      </c>
      <c r="GV652" s="1070" t="str">
        <f t="shared" si="153"/>
        <v/>
      </c>
      <c r="GW652" s="1070" t="str">
        <f t="shared" si="154"/>
        <v/>
      </c>
      <c r="GX652" s="1070" t="str">
        <f t="shared" si="155"/>
        <v/>
      </c>
      <c r="GY652" s="1070" t="str">
        <f t="shared" si="156"/>
        <v/>
      </c>
      <c r="GZ652" s="1070" t="str">
        <f t="shared" si="157"/>
        <v/>
      </c>
      <c r="HA652" s="1070" t="str">
        <f t="shared" si="158"/>
        <v/>
      </c>
      <c r="HB652" s="1070" t="str">
        <f t="shared" si="159"/>
        <v/>
      </c>
      <c r="HC652" s="1070" t="str">
        <f t="shared" si="160"/>
        <v/>
      </c>
      <c r="HD652" s="1070" t="str">
        <f t="shared" si="161"/>
        <v/>
      </c>
      <c r="HE652" s="1070" t="str">
        <f t="shared" si="162"/>
        <v/>
      </c>
      <c r="HF652" s="1070" t="str">
        <f t="shared" si="163"/>
        <v/>
      </c>
      <c r="HG652" s="1070" t="str">
        <f t="shared" si="164"/>
        <v/>
      </c>
      <c r="HH652" s="1070" t="str">
        <f t="shared" si="165"/>
        <v/>
      </c>
      <c r="HI652" s="1070" t="str">
        <f t="shared" si="166"/>
        <v/>
      </c>
      <c r="HJ652" s="1070" t="str">
        <f t="shared" si="167"/>
        <v/>
      </c>
      <c r="HK652" s="1070" t="str">
        <f t="shared" si="168"/>
        <v/>
      </c>
      <c r="HL652" s="1070" t="str">
        <f t="shared" si="169"/>
        <v/>
      </c>
      <c r="HM652" s="1070" t="str">
        <f t="shared" si="170"/>
        <v/>
      </c>
    </row>
    <row r="653" spans="1:221" ht="13.15" customHeight="1">
      <c r="A653" s="1082" t="str">
        <f t="shared" si="171"/>
        <v/>
      </c>
      <c r="B653" s="1035" t="str">
        <f>'Part VI-Revenues &amp; Expenses'!B19</f>
        <v>60% AMI</v>
      </c>
      <c r="C653" s="1036">
        <f>'Part VI-Revenues &amp; Expenses'!C19</f>
        <v>2</v>
      </c>
      <c r="D653" s="1037">
        <f>'Part VI-Revenues &amp; Expenses'!D19</f>
        <v>1</v>
      </c>
      <c r="E653" s="1038">
        <f>'Part VI-Revenues &amp; Expenses'!E19</f>
        <v>4</v>
      </c>
      <c r="F653" s="1038">
        <f>'Part VI-Revenues &amp; Expenses'!F19</f>
        <v>860</v>
      </c>
      <c r="G653" s="1038">
        <f>'Part VI-Revenues &amp; Expenses'!G19</f>
        <v>870</v>
      </c>
      <c r="H653" s="1038">
        <f>'Part VI-Revenues &amp; Expenses'!H19</f>
        <v>789</v>
      </c>
      <c r="I653" s="1038">
        <f>'Part VI-Revenues &amp; Expenses'!I19</f>
        <v>176</v>
      </c>
      <c r="J653" s="1101" t="str">
        <f>'Part VI-Revenues &amp; Expenses'!J19</f>
        <v>HUD</v>
      </c>
      <c r="K653" s="906">
        <f t="shared" si="172"/>
        <v>613</v>
      </c>
      <c r="L653" s="906">
        <f t="shared" si="0"/>
        <v>2452</v>
      </c>
      <c r="M653" s="829" t="str">
        <f>'Part VI-Revenues &amp; Expenses'!M19</f>
        <v>No</v>
      </c>
      <c r="N653" s="829" t="str">
        <f>'Part VI-Revenues &amp; Expenses'!N19</f>
        <v>3+ Story</v>
      </c>
      <c r="O653" s="829" t="str">
        <f>'Part VI-Revenues &amp; Expenses'!O19</f>
        <v>New Construction</v>
      </c>
      <c r="P653" s="907">
        <f t="shared" si="203"/>
        <v>31560</v>
      </c>
      <c r="Q653" s="908">
        <f>'Part VI-Revenues &amp; Expenses'!Q19</f>
        <v>0.54451345755693581</v>
      </c>
      <c r="R653" s="907"/>
      <c r="S653" s="908"/>
      <c r="T653" s="1575"/>
      <c r="U653" s="1575"/>
      <c r="V653" s="1070" t="str">
        <f t="shared" si="1"/>
        <v/>
      </c>
      <c r="W653" s="1070" t="str">
        <f t="shared" si="2"/>
        <v/>
      </c>
      <c r="X653" s="1070">
        <f t="shared" si="3"/>
        <v>4</v>
      </c>
      <c r="Y653" s="1070" t="str">
        <f t="shared" si="4"/>
        <v/>
      </c>
      <c r="Z653" s="1070" t="str">
        <f t="shared" si="5"/>
        <v/>
      </c>
      <c r="AA653" s="1070" t="str">
        <f t="shared" si="6"/>
        <v/>
      </c>
      <c r="AB653" s="1070" t="str">
        <f t="shared" si="7"/>
        <v/>
      </c>
      <c r="AC653" s="1070" t="str">
        <f t="shared" si="8"/>
        <v/>
      </c>
      <c r="AD653" s="1070" t="str">
        <f t="shared" si="9"/>
        <v/>
      </c>
      <c r="AE653" s="1070" t="str">
        <f t="shared" si="10"/>
        <v/>
      </c>
      <c r="AF653" s="1070" t="str">
        <f t="shared" si="11"/>
        <v/>
      </c>
      <c r="AG653" s="1070" t="str">
        <f t="shared" si="12"/>
        <v/>
      </c>
      <c r="AH653" s="1070" t="str">
        <f t="shared" si="13"/>
        <v/>
      </c>
      <c r="AI653" s="1070" t="str">
        <f t="shared" si="14"/>
        <v/>
      </c>
      <c r="AJ653" s="1070" t="str">
        <f t="shared" si="15"/>
        <v/>
      </c>
      <c r="AK653" s="1070" t="str">
        <f t="shared" si="16"/>
        <v/>
      </c>
      <c r="AL653" s="1070" t="str">
        <f t="shared" si="17"/>
        <v/>
      </c>
      <c r="AM653" s="1070" t="str">
        <f t="shared" si="18"/>
        <v/>
      </c>
      <c r="AN653" s="1070" t="str">
        <f t="shared" si="19"/>
        <v/>
      </c>
      <c r="AO653" s="1070" t="str">
        <f t="shared" si="20"/>
        <v/>
      </c>
      <c r="AP653" s="1070" t="str">
        <f t="shared" si="173"/>
        <v/>
      </c>
      <c r="AQ653" s="1070" t="str">
        <f t="shared" si="174"/>
        <v/>
      </c>
      <c r="AR653" s="1070" t="str">
        <f t="shared" si="175"/>
        <v/>
      </c>
      <c r="AS653" s="1070" t="str">
        <f t="shared" si="176"/>
        <v/>
      </c>
      <c r="AT653" s="1070" t="str">
        <f t="shared" si="177"/>
        <v/>
      </c>
      <c r="AU653" s="1070" t="str">
        <f t="shared" si="178"/>
        <v/>
      </c>
      <c r="AV653" s="1070" t="str">
        <f t="shared" si="179"/>
        <v/>
      </c>
      <c r="AW653" s="1070" t="str">
        <f t="shared" si="180"/>
        <v/>
      </c>
      <c r="AX653" s="1070" t="str">
        <f t="shared" si="181"/>
        <v/>
      </c>
      <c r="AY653" s="1070" t="str">
        <f t="shared" si="182"/>
        <v/>
      </c>
      <c r="AZ653" s="1070" t="str">
        <f t="shared" si="183"/>
        <v/>
      </c>
      <c r="BA653" s="1070" t="str">
        <f t="shared" si="184"/>
        <v/>
      </c>
      <c r="BB653" s="1070">
        <f t="shared" si="185"/>
        <v>4</v>
      </c>
      <c r="BC653" s="1070" t="str">
        <f t="shared" si="186"/>
        <v/>
      </c>
      <c r="BD653" s="1070" t="str">
        <f t="shared" si="187"/>
        <v/>
      </c>
      <c r="BE653" s="1070" t="str">
        <f t="shared" si="188"/>
        <v/>
      </c>
      <c r="BF653" s="1070" t="str">
        <f t="shared" si="189"/>
        <v/>
      </c>
      <c r="BG653" s="1070" t="str">
        <f t="shared" si="190"/>
        <v/>
      </c>
      <c r="BH653" s="1070" t="str">
        <f t="shared" si="191"/>
        <v/>
      </c>
      <c r="BI653" s="1070" t="str">
        <f t="shared" si="192"/>
        <v/>
      </c>
      <c r="BJ653" s="1070" t="str">
        <f t="shared" si="193"/>
        <v/>
      </c>
      <c r="BK653" s="1070" t="str">
        <f t="shared" si="194"/>
        <v/>
      </c>
      <c r="BL653" s="1070" t="str">
        <f t="shared" si="195"/>
        <v/>
      </c>
      <c r="BM653" s="1070" t="str">
        <f t="shared" si="196"/>
        <v/>
      </c>
      <c r="BN653" s="1070" t="str">
        <f t="shared" si="197"/>
        <v/>
      </c>
      <c r="BO653" s="1070" t="str">
        <f t="shared" si="198"/>
        <v/>
      </c>
      <c r="BP653" s="1070" t="str">
        <f t="shared" si="199"/>
        <v/>
      </c>
      <c r="BQ653" s="1070" t="str">
        <f t="shared" si="200"/>
        <v/>
      </c>
      <c r="BR653" s="1070" t="str">
        <f t="shared" si="201"/>
        <v/>
      </c>
      <c r="BS653" s="1070" t="str">
        <f t="shared" si="202"/>
        <v/>
      </c>
      <c r="BT653" s="1070" t="str">
        <f t="shared" si="21"/>
        <v/>
      </c>
      <c r="BU653" s="1070" t="str">
        <f t="shared" si="22"/>
        <v/>
      </c>
      <c r="BV653" s="1070" t="str">
        <f t="shared" si="23"/>
        <v/>
      </c>
      <c r="BW653" s="1070" t="str">
        <f t="shared" si="24"/>
        <v/>
      </c>
      <c r="BX653" s="1070" t="str">
        <f t="shared" si="25"/>
        <v/>
      </c>
      <c r="BY653" s="1070" t="str">
        <f t="shared" si="26"/>
        <v/>
      </c>
      <c r="BZ653" s="1070" t="str">
        <f t="shared" si="27"/>
        <v/>
      </c>
      <c r="CA653" s="1070">
        <f t="shared" si="28"/>
        <v>3440</v>
      </c>
      <c r="CB653" s="1070" t="str">
        <f t="shared" si="29"/>
        <v/>
      </c>
      <c r="CC653" s="1070" t="str">
        <f t="shared" si="30"/>
        <v/>
      </c>
      <c r="CD653" s="1070" t="str">
        <f t="shared" si="31"/>
        <v/>
      </c>
      <c r="CE653" s="1070" t="str">
        <f t="shared" si="32"/>
        <v/>
      </c>
      <c r="CF653" s="1070" t="str">
        <f t="shared" si="33"/>
        <v/>
      </c>
      <c r="CG653" s="1070" t="str">
        <f t="shared" si="34"/>
        <v/>
      </c>
      <c r="CH653" s="1070" t="str">
        <f t="shared" si="35"/>
        <v/>
      </c>
      <c r="CI653" s="1070" t="str">
        <f t="shared" si="36"/>
        <v/>
      </c>
      <c r="CJ653" s="1070" t="str">
        <f t="shared" si="37"/>
        <v/>
      </c>
      <c r="CK653" s="1070" t="str">
        <f t="shared" si="38"/>
        <v/>
      </c>
      <c r="CL653" s="1070" t="str">
        <f t="shared" si="39"/>
        <v/>
      </c>
      <c r="CM653" s="1070" t="str">
        <f t="shared" si="40"/>
        <v/>
      </c>
      <c r="CN653" s="1070" t="str">
        <f t="shared" si="41"/>
        <v/>
      </c>
      <c r="CO653" s="1070" t="str">
        <f t="shared" si="42"/>
        <v/>
      </c>
      <c r="CP653" s="1070" t="str">
        <f t="shared" si="43"/>
        <v/>
      </c>
      <c r="CQ653" s="1070" t="str">
        <f t="shared" si="44"/>
        <v/>
      </c>
      <c r="CR653" s="1070" t="str">
        <f t="shared" si="45"/>
        <v/>
      </c>
      <c r="CS653" s="1070" t="str">
        <f t="shared" si="46"/>
        <v/>
      </c>
      <c r="CT653" s="1070" t="str">
        <f t="shared" si="47"/>
        <v/>
      </c>
      <c r="CU653" s="1070">
        <f t="shared" si="48"/>
        <v>3440</v>
      </c>
      <c r="CV653" s="1070" t="str">
        <f t="shared" si="49"/>
        <v/>
      </c>
      <c r="CW653" s="1070" t="str">
        <f t="shared" si="50"/>
        <v/>
      </c>
      <c r="CX653" s="1070" t="str">
        <f t="shared" si="51"/>
        <v/>
      </c>
      <c r="CY653" s="1070" t="str">
        <f t="shared" si="52"/>
        <v/>
      </c>
      <c r="CZ653" s="1070" t="str">
        <f t="shared" si="53"/>
        <v/>
      </c>
      <c r="DA653" s="1070" t="str">
        <f t="shared" si="54"/>
        <v/>
      </c>
      <c r="DB653" s="1070" t="str">
        <f t="shared" si="55"/>
        <v/>
      </c>
      <c r="DC653" s="1070" t="str">
        <f t="shared" si="56"/>
        <v/>
      </c>
      <c r="DD653" s="1070" t="str">
        <f t="shared" si="57"/>
        <v/>
      </c>
      <c r="DE653" s="1070">
        <f t="shared" si="58"/>
        <v>4</v>
      </c>
      <c r="DF653" s="1070" t="str">
        <f t="shared" si="59"/>
        <v/>
      </c>
      <c r="DG653" s="1070" t="str">
        <f t="shared" si="60"/>
        <v/>
      </c>
      <c r="DH653" s="1070" t="str">
        <f t="shared" si="61"/>
        <v/>
      </c>
      <c r="DI653" s="1070" t="str">
        <f t="shared" si="62"/>
        <v/>
      </c>
      <c r="DJ653" s="1070" t="str">
        <f t="shared" si="63"/>
        <v/>
      </c>
      <c r="DK653" s="1070" t="str">
        <f t="shared" si="64"/>
        <v/>
      </c>
      <c r="DL653" s="1070" t="str">
        <f t="shared" si="65"/>
        <v/>
      </c>
      <c r="DM653" s="1070" t="str">
        <f t="shared" si="66"/>
        <v/>
      </c>
      <c r="DN653" s="1070" t="str">
        <f t="shared" si="67"/>
        <v/>
      </c>
      <c r="DO653" s="1070" t="str">
        <f t="shared" si="68"/>
        <v/>
      </c>
      <c r="DP653" s="1070" t="str">
        <f t="shared" si="69"/>
        <v/>
      </c>
      <c r="DQ653" s="1070" t="str">
        <f t="shared" si="70"/>
        <v/>
      </c>
      <c r="DR653" s="1070" t="str">
        <f t="shared" si="71"/>
        <v/>
      </c>
      <c r="DS653" s="1070" t="str">
        <f t="shared" si="72"/>
        <v/>
      </c>
      <c r="DT653" s="1070" t="str">
        <f t="shared" si="73"/>
        <v/>
      </c>
      <c r="DU653" s="1070" t="str">
        <f t="shared" si="74"/>
        <v/>
      </c>
      <c r="DV653" s="1070" t="str">
        <f t="shared" si="75"/>
        <v/>
      </c>
      <c r="DW653" s="1070" t="str">
        <f t="shared" si="76"/>
        <v/>
      </c>
      <c r="DX653" s="1070" t="str">
        <f t="shared" si="77"/>
        <v/>
      </c>
      <c r="DY653" s="1070" t="str">
        <f t="shared" si="78"/>
        <v/>
      </c>
      <c r="DZ653" s="1070" t="str">
        <f t="shared" si="79"/>
        <v/>
      </c>
      <c r="EA653" s="1070" t="str">
        <f t="shared" si="80"/>
        <v/>
      </c>
      <c r="EB653" s="1070" t="str">
        <f t="shared" si="81"/>
        <v/>
      </c>
      <c r="EC653" s="1070" t="str">
        <f t="shared" si="82"/>
        <v/>
      </c>
      <c r="ED653" s="1070" t="str">
        <f t="shared" si="83"/>
        <v/>
      </c>
      <c r="EE653" s="1070" t="str">
        <f t="shared" si="84"/>
        <v/>
      </c>
      <c r="EF653" s="1070" t="str">
        <f t="shared" si="85"/>
        <v/>
      </c>
      <c r="EG653" s="1070" t="str">
        <f t="shared" si="86"/>
        <v/>
      </c>
      <c r="EH653" s="1070" t="str">
        <f t="shared" si="87"/>
        <v/>
      </c>
      <c r="EI653" s="1070" t="str">
        <f t="shared" si="88"/>
        <v/>
      </c>
      <c r="EJ653" s="1070" t="str">
        <f t="shared" si="89"/>
        <v/>
      </c>
      <c r="EK653" s="1070" t="str">
        <f t="shared" si="90"/>
        <v/>
      </c>
      <c r="EL653" s="1070" t="str">
        <f t="shared" si="91"/>
        <v/>
      </c>
      <c r="EM653" s="1070" t="str">
        <f t="shared" si="92"/>
        <v/>
      </c>
      <c r="EN653" s="1070" t="str">
        <f t="shared" si="93"/>
        <v/>
      </c>
      <c r="EO653" s="1070" t="str">
        <f t="shared" si="94"/>
        <v/>
      </c>
      <c r="EP653" s="1070" t="str">
        <f t="shared" si="95"/>
        <v/>
      </c>
      <c r="EQ653" s="1070" t="str">
        <f t="shared" si="96"/>
        <v/>
      </c>
      <c r="ER653" s="1070" t="str">
        <f t="shared" si="97"/>
        <v/>
      </c>
      <c r="ES653" s="1070" t="str">
        <f t="shared" si="98"/>
        <v/>
      </c>
      <c r="ET653" s="1070" t="str">
        <f t="shared" si="99"/>
        <v/>
      </c>
      <c r="EU653" s="1070" t="str">
        <f t="shared" si="100"/>
        <v/>
      </c>
      <c r="EV653" s="831" t="str">
        <f t="shared" si="101"/>
        <v/>
      </c>
      <c r="EW653" s="831" t="str">
        <f t="shared" si="102"/>
        <v/>
      </c>
      <c r="EX653" s="831">
        <f t="shared" si="103"/>
        <v>4</v>
      </c>
      <c r="EY653" s="831" t="str">
        <f t="shared" si="104"/>
        <v/>
      </c>
      <c r="EZ653" s="831" t="str">
        <f t="shared" si="105"/>
        <v/>
      </c>
      <c r="FA653" s="831" t="str">
        <f t="shared" si="106"/>
        <v/>
      </c>
      <c r="FB653" s="831" t="str">
        <f t="shared" si="107"/>
        <v/>
      </c>
      <c r="FC653" s="831" t="str">
        <f t="shared" si="108"/>
        <v/>
      </c>
      <c r="FD653" s="831" t="str">
        <f t="shared" si="109"/>
        <v/>
      </c>
      <c r="FE653" s="831" t="str">
        <f t="shared" si="110"/>
        <v/>
      </c>
      <c r="FF653" s="831" t="str">
        <f t="shared" si="111"/>
        <v/>
      </c>
      <c r="FG653" s="831" t="str">
        <f t="shared" si="112"/>
        <v/>
      </c>
      <c r="FH653" s="831" t="str">
        <f t="shared" si="113"/>
        <v/>
      </c>
      <c r="FI653" s="831" t="str">
        <f t="shared" si="114"/>
        <v/>
      </c>
      <c r="FJ653" s="831" t="str">
        <f t="shared" si="115"/>
        <v/>
      </c>
      <c r="FK653" s="831" t="str">
        <f t="shared" si="116"/>
        <v/>
      </c>
      <c r="FL653" s="831" t="str">
        <f t="shared" si="117"/>
        <v/>
      </c>
      <c r="FM653" s="831" t="str">
        <f t="shared" si="118"/>
        <v/>
      </c>
      <c r="FN653" s="831" t="str">
        <f t="shared" si="119"/>
        <v/>
      </c>
      <c r="FO653" s="831" t="str">
        <f t="shared" si="120"/>
        <v/>
      </c>
      <c r="FP653" s="831" t="str">
        <f t="shared" si="121"/>
        <v/>
      </c>
      <c r="FQ653" s="831" t="str">
        <f t="shared" si="122"/>
        <v/>
      </c>
      <c r="FR653" s="831" t="str">
        <f t="shared" si="123"/>
        <v/>
      </c>
      <c r="FS653" s="831" t="str">
        <f t="shared" si="124"/>
        <v/>
      </c>
      <c r="FT653" s="831" t="str">
        <f t="shared" si="125"/>
        <v/>
      </c>
      <c r="FU653" s="831" t="str">
        <f t="shared" si="126"/>
        <v/>
      </c>
      <c r="FV653" s="831" t="str">
        <f t="shared" si="127"/>
        <v/>
      </c>
      <c r="FW653" s="831" t="str">
        <f t="shared" si="128"/>
        <v/>
      </c>
      <c r="FX653" s="831" t="str">
        <f t="shared" si="129"/>
        <v/>
      </c>
      <c r="FY653" s="831" t="str">
        <f t="shared" si="130"/>
        <v/>
      </c>
      <c r="FZ653" s="831" t="str">
        <f t="shared" si="131"/>
        <v/>
      </c>
      <c r="GA653" s="831" t="str">
        <f t="shared" si="132"/>
        <v/>
      </c>
      <c r="GB653" s="831" t="str">
        <f t="shared" si="133"/>
        <v/>
      </c>
      <c r="GC653" s="831" t="str">
        <f t="shared" si="134"/>
        <v/>
      </c>
      <c r="GD653" s="831" t="str">
        <f t="shared" si="135"/>
        <v/>
      </c>
      <c r="GE653" s="831" t="str">
        <f t="shared" si="136"/>
        <v/>
      </c>
      <c r="GF653" s="831" t="str">
        <f t="shared" si="137"/>
        <v/>
      </c>
      <c r="GG653" s="831" t="str">
        <f t="shared" si="138"/>
        <v/>
      </c>
      <c r="GH653" s="831" t="str">
        <f t="shared" si="139"/>
        <v/>
      </c>
      <c r="GI653" s="831" t="str">
        <f t="shared" si="140"/>
        <v/>
      </c>
      <c r="GJ653" s="831" t="str">
        <f t="shared" si="141"/>
        <v/>
      </c>
      <c r="GK653" s="831" t="str">
        <f t="shared" si="142"/>
        <v/>
      </c>
      <c r="GL653" s="831">
        <f t="shared" si="143"/>
        <v>4</v>
      </c>
      <c r="GM653" s="831" t="str">
        <f t="shared" si="144"/>
        <v/>
      </c>
      <c r="GN653" s="831" t="str">
        <f t="shared" si="145"/>
        <v/>
      </c>
      <c r="GO653" s="1113" t="str">
        <f t="shared" si="146"/>
        <v/>
      </c>
      <c r="GP653" s="1113" t="str">
        <f t="shared" si="147"/>
        <v/>
      </c>
      <c r="GQ653" s="1113" t="str">
        <f t="shared" si="148"/>
        <v/>
      </c>
      <c r="GR653" s="1113" t="str">
        <f t="shared" si="149"/>
        <v/>
      </c>
      <c r="GS653" s="1113" t="str">
        <f t="shared" si="150"/>
        <v/>
      </c>
      <c r="GT653" s="1070" t="str">
        <f t="shared" si="151"/>
        <v/>
      </c>
      <c r="GU653" s="1070" t="str">
        <f t="shared" si="152"/>
        <v/>
      </c>
      <c r="GV653" s="1070" t="str">
        <f t="shared" si="153"/>
        <v/>
      </c>
      <c r="GW653" s="1070" t="str">
        <f t="shared" si="154"/>
        <v/>
      </c>
      <c r="GX653" s="1070" t="str">
        <f t="shared" si="155"/>
        <v/>
      </c>
      <c r="GY653" s="1070" t="str">
        <f t="shared" si="156"/>
        <v/>
      </c>
      <c r="GZ653" s="1070" t="str">
        <f t="shared" si="157"/>
        <v/>
      </c>
      <c r="HA653" s="1070" t="str">
        <f t="shared" si="158"/>
        <v/>
      </c>
      <c r="HB653" s="1070" t="str">
        <f t="shared" si="159"/>
        <v/>
      </c>
      <c r="HC653" s="1070" t="str">
        <f t="shared" si="160"/>
        <v/>
      </c>
      <c r="HD653" s="1070" t="str">
        <f t="shared" si="161"/>
        <v/>
      </c>
      <c r="HE653" s="1070" t="str">
        <f t="shared" si="162"/>
        <v/>
      </c>
      <c r="HF653" s="1070" t="str">
        <f t="shared" si="163"/>
        <v/>
      </c>
      <c r="HG653" s="1070" t="str">
        <f t="shared" si="164"/>
        <v/>
      </c>
      <c r="HH653" s="1070" t="str">
        <f t="shared" si="165"/>
        <v/>
      </c>
      <c r="HI653" s="1070" t="str">
        <f t="shared" si="166"/>
        <v/>
      </c>
      <c r="HJ653" s="1070" t="str">
        <f t="shared" si="167"/>
        <v/>
      </c>
      <c r="HK653" s="1070" t="str">
        <f t="shared" si="168"/>
        <v/>
      </c>
      <c r="HL653" s="1070" t="str">
        <f t="shared" si="169"/>
        <v/>
      </c>
      <c r="HM653" s="1070" t="str">
        <f t="shared" si="170"/>
        <v/>
      </c>
    </row>
    <row r="654" spans="1:221" ht="13.15" customHeight="1">
      <c r="A654" s="1082" t="str">
        <f t="shared" si="171"/>
        <v/>
      </c>
      <c r="B654" s="1035" t="str">
        <f>'Part VI-Revenues &amp; Expenses'!B20</f>
        <v>60% AMI</v>
      </c>
      <c r="C654" s="1036">
        <f>'Part VI-Revenues &amp; Expenses'!C20</f>
        <v>2</v>
      </c>
      <c r="D654" s="1037">
        <f>'Part VI-Revenues &amp; Expenses'!D20</f>
        <v>2</v>
      </c>
      <c r="E654" s="1038">
        <f>'Part VI-Revenues &amp; Expenses'!E20</f>
        <v>14</v>
      </c>
      <c r="F654" s="1038">
        <f>'Part VI-Revenues &amp; Expenses'!F20</f>
        <v>1047</v>
      </c>
      <c r="G654" s="1038">
        <f>'Part VI-Revenues &amp; Expenses'!G20</f>
        <v>870</v>
      </c>
      <c r="H654" s="1038">
        <f>'Part VI-Revenues &amp; Expenses'!H20</f>
        <v>789</v>
      </c>
      <c r="I654" s="1038">
        <f>'Part VI-Revenues &amp; Expenses'!I20</f>
        <v>176</v>
      </c>
      <c r="J654" s="1101" t="str">
        <f>'Part VI-Revenues &amp; Expenses'!J20</f>
        <v>HUD</v>
      </c>
      <c r="K654" s="906">
        <f t="shared" si="172"/>
        <v>613</v>
      </c>
      <c r="L654" s="906">
        <f t="shared" si="0"/>
        <v>8582</v>
      </c>
      <c r="M654" s="829" t="str">
        <f>'Part VI-Revenues &amp; Expenses'!M20</f>
        <v>No</v>
      </c>
      <c r="N654" s="829" t="str">
        <f>'Part VI-Revenues &amp; Expenses'!N20</f>
        <v>3+ Story</v>
      </c>
      <c r="O654" s="829" t="str">
        <f>'Part VI-Revenues &amp; Expenses'!O20</f>
        <v>New Construction</v>
      </c>
      <c r="P654" s="907">
        <f t="shared" si="203"/>
        <v>31560</v>
      </c>
      <c r="Q654" s="908">
        <f>'Part VI-Revenues &amp; Expenses'!Q20</f>
        <v>0.54451345755693581</v>
      </c>
      <c r="R654" s="907"/>
      <c r="S654" s="908"/>
      <c r="T654" s="1575"/>
      <c r="U654" s="1575"/>
      <c r="V654" s="1070" t="str">
        <f t="shared" si="1"/>
        <v/>
      </c>
      <c r="W654" s="1070" t="str">
        <f t="shared" si="2"/>
        <v/>
      </c>
      <c r="X654" s="1070">
        <f t="shared" si="3"/>
        <v>14</v>
      </c>
      <c r="Y654" s="1070" t="str">
        <f t="shared" si="4"/>
        <v/>
      </c>
      <c r="Z654" s="1070" t="str">
        <f t="shared" si="5"/>
        <v/>
      </c>
      <c r="AA654" s="1070" t="str">
        <f t="shared" si="6"/>
        <v/>
      </c>
      <c r="AB654" s="1070" t="str">
        <f t="shared" si="7"/>
        <v/>
      </c>
      <c r="AC654" s="1070" t="str">
        <f t="shared" si="8"/>
        <v/>
      </c>
      <c r="AD654" s="1070" t="str">
        <f t="shared" si="9"/>
        <v/>
      </c>
      <c r="AE654" s="1070" t="str">
        <f t="shared" si="10"/>
        <v/>
      </c>
      <c r="AF654" s="1070" t="str">
        <f t="shared" si="11"/>
        <v/>
      </c>
      <c r="AG654" s="1070" t="str">
        <f t="shared" si="12"/>
        <v/>
      </c>
      <c r="AH654" s="1070" t="str">
        <f t="shared" si="13"/>
        <v/>
      </c>
      <c r="AI654" s="1070" t="str">
        <f t="shared" si="14"/>
        <v/>
      </c>
      <c r="AJ654" s="1070" t="str">
        <f t="shared" si="15"/>
        <v/>
      </c>
      <c r="AK654" s="1070" t="str">
        <f t="shared" si="16"/>
        <v/>
      </c>
      <c r="AL654" s="1070" t="str">
        <f t="shared" si="17"/>
        <v/>
      </c>
      <c r="AM654" s="1070" t="str">
        <f t="shared" si="18"/>
        <v/>
      </c>
      <c r="AN654" s="1070" t="str">
        <f t="shared" si="19"/>
        <v/>
      </c>
      <c r="AO654" s="1070" t="str">
        <f t="shared" si="20"/>
        <v/>
      </c>
      <c r="AP654" s="1070" t="str">
        <f t="shared" si="173"/>
        <v/>
      </c>
      <c r="AQ654" s="1070" t="str">
        <f t="shared" si="174"/>
        <v/>
      </c>
      <c r="AR654" s="1070" t="str">
        <f t="shared" si="175"/>
        <v/>
      </c>
      <c r="AS654" s="1070" t="str">
        <f t="shared" si="176"/>
        <v/>
      </c>
      <c r="AT654" s="1070" t="str">
        <f t="shared" si="177"/>
        <v/>
      </c>
      <c r="AU654" s="1070" t="str">
        <f t="shared" si="178"/>
        <v/>
      </c>
      <c r="AV654" s="1070" t="str">
        <f t="shared" si="179"/>
        <v/>
      </c>
      <c r="AW654" s="1070" t="str">
        <f t="shared" si="180"/>
        <v/>
      </c>
      <c r="AX654" s="1070" t="str">
        <f t="shared" si="181"/>
        <v/>
      </c>
      <c r="AY654" s="1070" t="str">
        <f t="shared" si="182"/>
        <v/>
      </c>
      <c r="AZ654" s="1070" t="str">
        <f t="shared" si="183"/>
        <v/>
      </c>
      <c r="BA654" s="1070" t="str">
        <f t="shared" si="184"/>
        <v/>
      </c>
      <c r="BB654" s="1070">
        <f t="shared" si="185"/>
        <v>14</v>
      </c>
      <c r="BC654" s="1070" t="str">
        <f t="shared" si="186"/>
        <v/>
      </c>
      <c r="BD654" s="1070" t="str">
        <f t="shared" si="187"/>
        <v/>
      </c>
      <c r="BE654" s="1070" t="str">
        <f t="shared" si="188"/>
        <v/>
      </c>
      <c r="BF654" s="1070" t="str">
        <f t="shared" si="189"/>
        <v/>
      </c>
      <c r="BG654" s="1070" t="str">
        <f t="shared" si="190"/>
        <v/>
      </c>
      <c r="BH654" s="1070" t="str">
        <f t="shared" si="191"/>
        <v/>
      </c>
      <c r="BI654" s="1070" t="str">
        <f t="shared" si="192"/>
        <v/>
      </c>
      <c r="BJ654" s="1070" t="str">
        <f t="shared" si="193"/>
        <v/>
      </c>
      <c r="BK654" s="1070" t="str">
        <f t="shared" si="194"/>
        <v/>
      </c>
      <c r="BL654" s="1070" t="str">
        <f t="shared" si="195"/>
        <v/>
      </c>
      <c r="BM654" s="1070" t="str">
        <f t="shared" si="196"/>
        <v/>
      </c>
      <c r="BN654" s="1070" t="str">
        <f t="shared" si="197"/>
        <v/>
      </c>
      <c r="BO654" s="1070" t="str">
        <f t="shared" si="198"/>
        <v/>
      </c>
      <c r="BP654" s="1070" t="str">
        <f t="shared" si="199"/>
        <v/>
      </c>
      <c r="BQ654" s="1070" t="str">
        <f t="shared" si="200"/>
        <v/>
      </c>
      <c r="BR654" s="1070" t="str">
        <f t="shared" si="201"/>
        <v/>
      </c>
      <c r="BS654" s="1070" t="str">
        <f t="shared" si="202"/>
        <v/>
      </c>
      <c r="BT654" s="1070" t="str">
        <f t="shared" si="21"/>
        <v/>
      </c>
      <c r="BU654" s="1070" t="str">
        <f t="shared" si="22"/>
        <v/>
      </c>
      <c r="BV654" s="1070" t="str">
        <f t="shared" si="23"/>
        <v/>
      </c>
      <c r="BW654" s="1070" t="str">
        <f t="shared" si="24"/>
        <v/>
      </c>
      <c r="BX654" s="1070" t="str">
        <f t="shared" si="25"/>
        <v/>
      </c>
      <c r="BY654" s="1070" t="str">
        <f t="shared" si="26"/>
        <v/>
      </c>
      <c r="BZ654" s="1070" t="str">
        <f t="shared" si="27"/>
        <v/>
      </c>
      <c r="CA654" s="1070">
        <f t="shared" si="28"/>
        <v>14658</v>
      </c>
      <c r="CB654" s="1070" t="str">
        <f t="shared" si="29"/>
        <v/>
      </c>
      <c r="CC654" s="1070" t="str">
        <f t="shared" si="30"/>
        <v/>
      </c>
      <c r="CD654" s="1070" t="str">
        <f t="shared" si="31"/>
        <v/>
      </c>
      <c r="CE654" s="1070" t="str">
        <f t="shared" si="32"/>
        <v/>
      </c>
      <c r="CF654" s="1070" t="str">
        <f t="shared" si="33"/>
        <v/>
      </c>
      <c r="CG654" s="1070" t="str">
        <f t="shared" si="34"/>
        <v/>
      </c>
      <c r="CH654" s="1070" t="str">
        <f t="shared" si="35"/>
        <v/>
      </c>
      <c r="CI654" s="1070" t="str">
        <f t="shared" si="36"/>
        <v/>
      </c>
      <c r="CJ654" s="1070" t="str">
        <f t="shared" si="37"/>
        <v/>
      </c>
      <c r="CK654" s="1070" t="str">
        <f t="shared" si="38"/>
        <v/>
      </c>
      <c r="CL654" s="1070" t="str">
        <f t="shared" si="39"/>
        <v/>
      </c>
      <c r="CM654" s="1070" t="str">
        <f t="shared" si="40"/>
        <v/>
      </c>
      <c r="CN654" s="1070" t="str">
        <f t="shared" si="41"/>
        <v/>
      </c>
      <c r="CO654" s="1070" t="str">
        <f t="shared" si="42"/>
        <v/>
      </c>
      <c r="CP654" s="1070" t="str">
        <f t="shared" si="43"/>
        <v/>
      </c>
      <c r="CQ654" s="1070" t="str">
        <f t="shared" si="44"/>
        <v/>
      </c>
      <c r="CR654" s="1070" t="str">
        <f t="shared" si="45"/>
        <v/>
      </c>
      <c r="CS654" s="1070" t="str">
        <f t="shared" si="46"/>
        <v/>
      </c>
      <c r="CT654" s="1070" t="str">
        <f t="shared" si="47"/>
        <v/>
      </c>
      <c r="CU654" s="1070">
        <f t="shared" si="48"/>
        <v>14658</v>
      </c>
      <c r="CV654" s="1070" t="str">
        <f t="shared" si="49"/>
        <v/>
      </c>
      <c r="CW654" s="1070" t="str">
        <f t="shared" si="50"/>
        <v/>
      </c>
      <c r="CX654" s="1070" t="str">
        <f t="shared" si="51"/>
        <v/>
      </c>
      <c r="CY654" s="1070" t="str">
        <f t="shared" si="52"/>
        <v/>
      </c>
      <c r="CZ654" s="1070" t="str">
        <f t="shared" si="53"/>
        <v/>
      </c>
      <c r="DA654" s="1070" t="str">
        <f t="shared" si="54"/>
        <v/>
      </c>
      <c r="DB654" s="1070" t="str">
        <f t="shared" si="55"/>
        <v/>
      </c>
      <c r="DC654" s="1070" t="str">
        <f t="shared" si="56"/>
        <v/>
      </c>
      <c r="DD654" s="1070" t="str">
        <f t="shared" si="57"/>
        <v/>
      </c>
      <c r="DE654" s="1070">
        <f t="shared" si="58"/>
        <v>14</v>
      </c>
      <c r="DF654" s="1070" t="str">
        <f t="shared" si="59"/>
        <v/>
      </c>
      <c r="DG654" s="1070" t="str">
        <f t="shared" si="60"/>
        <v/>
      </c>
      <c r="DH654" s="1070" t="str">
        <f t="shared" si="61"/>
        <v/>
      </c>
      <c r="DI654" s="1070" t="str">
        <f t="shared" si="62"/>
        <v/>
      </c>
      <c r="DJ654" s="1070" t="str">
        <f t="shared" si="63"/>
        <v/>
      </c>
      <c r="DK654" s="1070" t="str">
        <f t="shared" si="64"/>
        <v/>
      </c>
      <c r="DL654" s="1070" t="str">
        <f t="shared" si="65"/>
        <v/>
      </c>
      <c r="DM654" s="1070" t="str">
        <f t="shared" si="66"/>
        <v/>
      </c>
      <c r="DN654" s="1070" t="str">
        <f t="shared" si="67"/>
        <v/>
      </c>
      <c r="DO654" s="1070" t="str">
        <f t="shared" si="68"/>
        <v/>
      </c>
      <c r="DP654" s="1070" t="str">
        <f t="shared" si="69"/>
        <v/>
      </c>
      <c r="DQ654" s="1070" t="str">
        <f t="shared" si="70"/>
        <v/>
      </c>
      <c r="DR654" s="1070" t="str">
        <f t="shared" si="71"/>
        <v/>
      </c>
      <c r="DS654" s="1070" t="str">
        <f t="shared" si="72"/>
        <v/>
      </c>
      <c r="DT654" s="1070" t="str">
        <f t="shared" si="73"/>
        <v/>
      </c>
      <c r="DU654" s="1070" t="str">
        <f t="shared" si="74"/>
        <v/>
      </c>
      <c r="DV654" s="1070" t="str">
        <f t="shared" si="75"/>
        <v/>
      </c>
      <c r="DW654" s="1070" t="str">
        <f t="shared" si="76"/>
        <v/>
      </c>
      <c r="DX654" s="1070" t="str">
        <f t="shared" si="77"/>
        <v/>
      </c>
      <c r="DY654" s="1070" t="str">
        <f t="shared" si="78"/>
        <v/>
      </c>
      <c r="DZ654" s="1070" t="str">
        <f t="shared" si="79"/>
        <v/>
      </c>
      <c r="EA654" s="1070" t="str">
        <f t="shared" si="80"/>
        <v/>
      </c>
      <c r="EB654" s="1070" t="str">
        <f t="shared" si="81"/>
        <v/>
      </c>
      <c r="EC654" s="1070" t="str">
        <f t="shared" si="82"/>
        <v/>
      </c>
      <c r="ED654" s="1070" t="str">
        <f t="shared" si="83"/>
        <v/>
      </c>
      <c r="EE654" s="1070" t="str">
        <f t="shared" si="84"/>
        <v/>
      </c>
      <c r="EF654" s="1070" t="str">
        <f t="shared" si="85"/>
        <v/>
      </c>
      <c r="EG654" s="1070" t="str">
        <f t="shared" si="86"/>
        <v/>
      </c>
      <c r="EH654" s="1070" t="str">
        <f t="shared" si="87"/>
        <v/>
      </c>
      <c r="EI654" s="1070" t="str">
        <f t="shared" si="88"/>
        <v/>
      </c>
      <c r="EJ654" s="1070" t="str">
        <f t="shared" si="89"/>
        <v/>
      </c>
      <c r="EK654" s="1070" t="str">
        <f t="shared" si="90"/>
        <v/>
      </c>
      <c r="EL654" s="1070" t="str">
        <f t="shared" si="91"/>
        <v/>
      </c>
      <c r="EM654" s="1070" t="str">
        <f t="shared" si="92"/>
        <v/>
      </c>
      <c r="EN654" s="1070" t="str">
        <f t="shared" si="93"/>
        <v/>
      </c>
      <c r="EO654" s="1070" t="str">
        <f t="shared" si="94"/>
        <v/>
      </c>
      <c r="EP654" s="1070" t="str">
        <f t="shared" si="95"/>
        <v/>
      </c>
      <c r="EQ654" s="1070" t="str">
        <f t="shared" si="96"/>
        <v/>
      </c>
      <c r="ER654" s="1070" t="str">
        <f t="shared" si="97"/>
        <v/>
      </c>
      <c r="ES654" s="1070" t="str">
        <f t="shared" si="98"/>
        <v/>
      </c>
      <c r="ET654" s="1070" t="str">
        <f t="shared" si="99"/>
        <v/>
      </c>
      <c r="EU654" s="1070" t="str">
        <f t="shared" si="100"/>
        <v/>
      </c>
      <c r="EV654" s="831" t="str">
        <f t="shared" si="101"/>
        <v/>
      </c>
      <c r="EW654" s="831" t="str">
        <f t="shared" si="102"/>
        <v/>
      </c>
      <c r="EX654" s="831">
        <f t="shared" si="103"/>
        <v>14</v>
      </c>
      <c r="EY654" s="831" t="str">
        <f t="shared" si="104"/>
        <v/>
      </c>
      <c r="EZ654" s="831" t="str">
        <f t="shared" si="105"/>
        <v/>
      </c>
      <c r="FA654" s="831" t="str">
        <f t="shared" si="106"/>
        <v/>
      </c>
      <c r="FB654" s="831" t="str">
        <f t="shared" si="107"/>
        <v/>
      </c>
      <c r="FC654" s="831" t="str">
        <f t="shared" si="108"/>
        <v/>
      </c>
      <c r="FD654" s="831" t="str">
        <f t="shared" si="109"/>
        <v/>
      </c>
      <c r="FE654" s="831" t="str">
        <f t="shared" si="110"/>
        <v/>
      </c>
      <c r="FF654" s="831" t="str">
        <f t="shared" si="111"/>
        <v/>
      </c>
      <c r="FG654" s="831" t="str">
        <f t="shared" si="112"/>
        <v/>
      </c>
      <c r="FH654" s="831" t="str">
        <f t="shared" si="113"/>
        <v/>
      </c>
      <c r="FI654" s="831" t="str">
        <f t="shared" si="114"/>
        <v/>
      </c>
      <c r="FJ654" s="831" t="str">
        <f t="shared" si="115"/>
        <v/>
      </c>
      <c r="FK654" s="831" t="str">
        <f t="shared" si="116"/>
        <v/>
      </c>
      <c r="FL654" s="831" t="str">
        <f t="shared" si="117"/>
        <v/>
      </c>
      <c r="FM654" s="831" t="str">
        <f t="shared" si="118"/>
        <v/>
      </c>
      <c r="FN654" s="831" t="str">
        <f t="shared" si="119"/>
        <v/>
      </c>
      <c r="FO654" s="831" t="str">
        <f t="shared" si="120"/>
        <v/>
      </c>
      <c r="FP654" s="831" t="str">
        <f t="shared" si="121"/>
        <v/>
      </c>
      <c r="FQ654" s="831" t="str">
        <f t="shared" si="122"/>
        <v/>
      </c>
      <c r="FR654" s="831" t="str">
        <f t="shared" si="123"/>
        <v/>
      </c>
      <c r="FS654" s="831" t="str">
        <f t="shared" si="124"/>
        <v/>
      </c>
      <c r="FT654" s="831" t="str">
        <f t="shared" si="125"/>
        <v/>
      </c>
      <c r="FU654" s="831" t="str">
        <f t="shared" si="126"/>
        <v/>
      </c>
      <c r="FV654" s="831" t="str">
        <f t="shared" si="127"/>
        <v/>
      </c>
      <c r="FW654" s="831" t="str">
        <f t="shared" si="128"/>
        <v/>
      </c>
      <c r="FX654" s="831" t="str">
        <f t="shared" si="129"/>
        <v/>
      </c>
      <c r="FY654" s="831" t="str">
        <f t="shared" si="130"/>
        <v/>
      </c>
      <c r="FZ654" s="831" t="str">
        <f t="shared" si="131"/>
        <v/>
      </c>
      <c r="GA654" s="831" t="str">
        <f t="shared" si="132"/>
        <v/>
      </c>
      <c r="GB654" s="831" t="str">
        <f t="shared" si="133"/>
        <v/>
      </c>
      <c r="GC654" s="831" t="str">
        <f t="shared" si="134"/>
        <v/>
      </c>
      <c r="GD654" s="831" t="str">
        <f t="shared" si="135"/>
        <v/>
      </c>
      <c r="GE654" s="831" t="str">
        <f t="shared" si="136"/>
        <v/>
      </c>
      <c r="GF654" s="831" t="str">
        <f t="shared" si="137"/>
        <v/>
      </c>
      <c r="GG654" s="831" t="str">
        <f t="shared" si="138"/>
        <v/>
      </c>
      <c r="GH654" s="831" t="str">
        <f t="shared" si="139"/>
        <v/>
      </c>
      <c r="GI654" s="831" t="str">
        <f t="shared" si="140"/>
        <v/>
      </c>
      <c r="GJ654" s="831" t="str">
        <f t="shared" si="141"/>
        <v/>
      </c>
      <c r="GK654" s="831" t="str">
        <f t="shared" si="142"/>
        <v/>
      </c>
      <c r="GL654" s="831">
        <f t="shared" si="143"/>
        <v>14</v>
      </c>
      <c r="GM654" s="831" t="str">
        <f t="shared" si="144"/>
        <v/>
      </c>
      <c r="GN654" s="831" t="str">
        <f t="shared" si="145"/>
        <v/>
      </c>
      <c r="GO654" s="1113" t="str">
        <f t="shared" si="146"/>
        <v/>
      </c>
      <c r="GP654" s="1113" t="str">
        <f t="shared" si="147"/>
        <v/>
      </c>
      <c r="GQ654" s="1113" t="str">
        <f t="shared" si="148"/>
        <v/>
      </c>
      <c r="GR654" s="1113" t="str">
        <f t="shared" si="149"/>
        <v/>
      </c>
      <c r="GS654" s="1113" t="str">
        <f t="shared" si="150"/>
        <v/>
      </c>
      <c r="GT654" s="1070" t="str">
        <f t="shared" si="151"/>
        <v/>
      </c>
      <c r="GU654" s="1070" t="str">
        <f t="shared" si="152"/>
        <v/>
      </c>
      <c r="GV654" s="1070" t="str">
        <f t="shared" si="153"/>
        <v/>
      </c>
      <c r="GW654" s="1070" t="str">
        <f t="shared" si="154"/>
        <v/>
      </c>
      <c r="GX654" s="1070" t="str">
        <f t="shared" si="155"/>
        <v/>
      </c>
      <c r="GY654" s="1070" t="str">
        <f t="shared" si="156"/>
        <v/>
      </c>
      <c r="GZ654" s="1070" t="str">
        <f t="shared" si="157"/>
        <v/>
      </c>
      <c r="HA654" s="1070" t="str">
        <f t="shared" si="158"/>
        <v/>
      </c>
      <c r="HB654" s="1070" t="str">
        <f t="shared" si="159"/>
        <v/>
      </c>
      <c r="HC654" s="1070" t="str">
        <f t="shared" si="160"/>
        <v/>
      </c>
      <c r="HD654" s="1070" t="str">
        <f t="shared" si="161"/>
        <v/>
      </c>
      <c r="HE654" s="1070" t="str">
        <f t="shared" si="162"/>
        <v/>
      </c>
      <c r="HF654" s="1070" t="str">
        <f t="shared" si="163"/>
        <v/>
      </c>
      <c r="HG654" s="1070" t="str">
        <f t="shared" si="164"/>
        <v/>
      </c>
      <c r="HH654" s="1070" t="str">
        <f t="shared" si="165"/>
        <v/>
      </c>
      <c r="HI654" s="1070" t="str">
        <f t="shared" si="166"/>
        <v/>
      </c>
      <c r="HJ654" s="1070" t="str">
        <f t="shared" si="167"/>
        <v/>
      </c>
      <c r="HK654" s="1070" t="str">
        <f t="shared" si="168"/>
        <v/>
      </c>
      <c r="HL654" s="1070" t="str">
        <f t="shared" si="169"/>
        <v/>
      </c>
      <c r="HM654" s="1070" t="str">
        <f t="shared" si="170"/>
        <v/>
      </c>
    </row>
    <row r="655" spans="1:221" ht="13.15" customHeight="1">
      <c r="A655" s="1082" t="str">
        <f t="shared" si="171"/>
        <v/>
      </c>
      <c r="B655" s="1035" t="str">
        <f>'Part VI-Revenues &amp; Expenses'!B21</f>
        <v>60% AMI</v>
      </c>
      <c r="C655" s="1036">
        <f>'Part VI-Revenues &amp; Expenses'!C21</f>
        <v>3</v>
      </c>
      <c r="D655" s="1037">
        <f>'Part VI-Revenues &amp; Expenses'!D21</f>
        <v>2</v>
      </c>
      <c r="E655" s="1038">
        <f>'Part VI-Revenues &amp; Expenses'!E21</f>
        <v>13</v>
      </c>
      <c r="F655" s="1038">
        <f>'Part VI-Revenues &amp; Expenses'!F21</f>
        <v>1309</v>
      </c>
      <c r="G655" s="1038">
        <f>'Part VI-Revenues &amp; Expenses'!G21</f>
        <v>1005</v>
      </c>
      <c r="H655" s="1038">
        <f>'Part VI-Revenues &amp; Expenses'!H21</f>
        <v>823</v>
      </c>
      <c r="I655" s="1038">
        <f>'Part VI-Revenues &amp; Expenses'!I21</f>
        <v>200</v>
      </c>
      <c r="J655" s="1101" t="str">
        <f>'Part VI-Revenues &amp; Expenses'!J21</f>
        <v>HUD</v>
      </c>
      <c r="K655" s="906">
        <f t="shared" si="172"/>
        <v>623</v>
      </c>
      <c r="L655" s="906">
        <f t="shared" si="0"/>
        <v>8099</v>
      </c>
      <c r="M655" s="829" t="str">
        <f>'Part VI-Revenues &amp; Expenses'!M21</f>
        <v>No</v>
      </c>
      <c r="N655" s="829" t="str">
        <f>'Part VI-Revenues &amp; Expenses'!N21</f>
        <v>3+ Story</v>
      </c>
      <c r="O655" s="829" t="str">
        <f>'Part VI-Revenues &amp; Expenses'!O21</f>
        <v>New Construction</v>
      </c>
      <c r="P655" s="907">
        <f t="shared" si="203"/>
        <v>32920</v>
      </c>
      <c r="Q655" s="908">
        <f>'Part VI-Revenues &amp; Expenses'!Q21</f>
        <v>0.49151935021500237</v>
      </c>
      <c r="R655" s="907"/>
      <c r="S655" s="908"/>
      <c r="T655" s="1575"/>
      <c r="U655" s="1575"/>
      <c r="V655" s="1070" t="str">
        <f t="shared" si="1"/>
        <v/>
      </c>
      <c r="W655" s="1070" t="str">
        <f t="shared" si="2"/>
        <v/>
      </c>
      <c r="X655" s="1070" t="str">
        <f t="shared" si="3"/>
        <v/>
      </c>
      <c r="Y655" s="1070">
        <f t="shared" si="4"/>
        <v>13</v>
      </c>
      <c r="Z655" s="1070" t="str">
        <f t="shared" si="5"/>
        <v/>
      </c>
      <c r="AA655" s="1070" t="str">
        <f t="shared" si="6"/>
        <v/>
      </c>
      <c r="AB655" s="1070" t="str">
        <f t="shared" si="7"/>
        <v/>
      </c>
      <c r="AC655" s="1070" t="str">
        <f t="shared" si="8"/>
        <v/>
      </c>
      <c r="AD655" s="1070" t="str">
        <f t="shared" si="9"/>
        <v/>
      </c>
      <c r="AE655" s="1070" t="str">
        <f t="shared" si="10"/>
        <v/>
      </c>
      <c r="AF655" s="1070" t="str">
        <f t="shared" si="11"/>
        <v/>
      </c>
      <c r="AG655" s="1070" t="str">
        <f t="shared" si="12"/>
        <v/>
      </c>
      <c r="AH655" s="1070" t="str">
        <f t="shared" si="13"/>
        <v/>
      </c>
      <c r="AI655" s="1070" t="str">
        <f t="shared" si="14"/>
        <v/>
      </c>
      <c r="AJ655" s="1070" t="str">
        <f t="shared" si="15"/>
        <v/>
      </c>
      <c r="AK655" s="1070" t="str">
        <f t="shared" si="16"/>
        <v/>
      </c>
      <c r="AL655" s="1070" t="str">
        <f t="shared" si="17"/>
        <v/>
      </c>
      <c r="AM655" s="1070" t="str">
        <f t="shared" si="18"/>
        <v/>
      </c>
      <c r="AN655" s="1070" t="str">
        <f t="shared" si="19"/>
        <v/>
      </c>
      <c r="AO655" s="1070" t="str">
        <f t="shared" si="20"/>
        <v/>
      </c>
      <c r="AP655" s="1070" t="str">
        <f t="shared" si="173"/>
        <v/>
      </c>
      <c r="AQ655" s="1070" t="str">
        <f t="shared" si="174"/>
        <v/>
      </c>
      <c r="AR655" s="1070" t="str">
        <f t="shared" si="175"/>
        <v/>
      </c>
      <c r="AS655" s="1070" t="str">
        <f t="shared" si="176"/>
        <v/>
      </c>
      <c r="AT655" s="1070" t="str">
        <f t="shared" si="177"/>
        <v/>
      </c>
      <c r="AU655" s="1070" t="str">
        <f t="shared" si="178"/>
        <v/>
      </c>
      <c r="AV655" s="1070" t="str">
        <f t="shared" si="179"/>
        <v/>
      </c>
      <c r="AW655" s="1070" t="str">
        <f t="shared" si="180"/>
        <v/>
      </c>
      <c r="AX655" s="1070" t="str">
        <f t="shared" si="181"/>
        <v/>
      </c>
      <c r="AY655" s="1070" t="str">
        <f t="shared" si="182"/>
        <v/>
      </c>
      <c r="AZ655" s="1070" t="str">
        <f t="shared" si="183"/>
        <v/>
      </c>
      <c r="BA655" s="1070" t="str">
        <f t="shared" si="184"/>
        <v/>
      </c>
      <c r="BB655" s="1070" t="str">
        <f t="shared" si="185"/>
        <v/>
      </c>
      <c r="BC655" s="1070">
        <f t="shared" si="186"/>
        <v>13</v>
      </c>
      <c r="BD655" s="1070" t="str">
        <f t="shared" si="187"/>
        <v/>
      </c>
      <c r="BE655" s="1070" t="str">
        <f t="shared" si="188"/>
        <v/>
      </c>
      <c r="BF655" s="1070" t="str">
        <f t="shared" si="189"/>
        <v/>
      </c>
      <c r="BG655" s="1070" t="str">
        <f t="shared" si="190"/>
        <v/>
      </c>
      <c r="BH655" s="1070" t="str">
        <f t="shared" si="191"/>
        <v/>
      </c>
      <c r="BI655" s="1070" t="str">
        <f t="shared" si="192"/>
        <v/>
      </c>
      <c r="BJ655" s="1070" t="str">
        <f t="shared" si="193"/>
        <v/>
      </c>
      <c r="BK655" s="1070" t="str">
        <f t="shared" si="194"/>
        <v/>
      </c>
      <c r="BL655" s="1070" t="str">
        <f t="shared" si="195"/>
        <v/>
      </c>
      <c r="BM655" s="1070" t="str">
        <f t="shared" si="196"/>
        <v/>
      </c>
      <c r="BN655" s="1070" t="str">
        <f t="shared" si="197"/>
        <v/>
      </c>
      <c r="BO655" s="1070" t="str">
        <f t="shared" si="198"/>
        <v/>
      </c>
      <c r="BP655" s="1070" t="str">
        <f t="shared" si="199"/>
        <v/>
      </c>
      <c r="BQ655" s="1070" t="str">
        <f t="shared" si="200"/>
        <v/>
      </c>
      <c r="BR655" s="1070" t="str">
        <f t="shared" si="201"/>
        <v/>
      </c>
      <c r="BS655" s="1070" t="str">
        <f t="shared" si="202"/>
        <v/>
      </c>
      <c r="BT655" s="1070" t="str">
        <f t="shared" si="21"/>
        <v/>
      </c>
      <c r="BU655" s="1070" t="str">
        <f t="shared" si="22"/>
        <v/>
      </c>
      <c r="BV655" s="1070" t="str">
        <f t="shared" si="23"/>
        <v/>
      </c>
      <c r="BW655" s="1070" t="str">
        <f t="shared" si="24"/>
        <v/>
      </c>
      <c r="BX655" s="1070" t="str">
        <f t="shared" si="25"/>
        <v/>
      </c>
      <c r="BY655" s="1070" t="str">
        <f t="shared" si="26"/>
        <v/>
      </c>
      <c r="BZ655" s="1070" t="str">
        <f t="shared" si="27"/>
        <v/>
      </c>
      <c r="CA655" s="1070" t="str">
        <f t="shared" si="28"/>
        <v/>
      </c>
      <c r="CB655" s="1070">
        <f t="shared" si="29"/>
        <v>17017</v>
      </c>
      <c r="CC655" s="1070" t="str">
        <f t="shared" si="30"/>
        <v/>
      </c>
      <c r="CD655" s="1070" t="str">
        <f t="shared" si="31"/>
        <v/>
      </c>
      <c r="CE655" s="1070" t="str">
        <f t="shared" si="32"/>
        <v/>
      </c>
      <c r="CF655" s="1070" t="str">
        <f t="shared" si="33"/>
        <v/>
      </c>
      <c r="CG655" s="1070" t="str">
        <f t="shared" si="34"/>
        <v/>
      </c>
      <c r="CH655" s="1070" t="str">
        <f t="shared" si="35"/>
        <v/>
      </c>
      <c r="CI655" s="1070" t="str">
        <f t="shared" si="36"/>
        <v/>
      </c>
      <c r="CJ655" s="1070" t="str">
        <f t="shared" si="37"/>
        <v/>
      </c>
      <c r="CK655" s="1070" t="str">
        <f t="shared" si="38"/>
        <v/>
      </c>
      <c r="CL655" s="1070" t="str">
        <f t="shared" si="39"/>
        <v/>
      </c>
      <c r="CM655" s="1070" t="str">
        <f t="shared" si="40"/>
        <v/>
      </c>
      <c r="CN655" s="1070" t="str">
        <f t="shared" si="41"/>
        <v/>
      </c>
      <c r="CO655" s="1070" t="str">
        <f t="shared" si="42"/>
        <v/>
      </c>
      <c r="CP655" s="1070" t="str">
        <f t="shared" si="43"/>
        <v/>
      </c>
      <c r="CQ655" s="1070" t="str">
        <f t="shared" si="44"/>
        <v/>
      </c>
      <c r="CR655" s="1070" t="str">
        <f t="shared" si="45"/>
        <v/>
      </c>
      <c r="CS655" s="1070" t="str">
        <f t="shared" si="46"/>
        <v/>
      </c>
      <c r="CT655" s="1070" t="str">
        <f t="shared" si="47"/>
        <v/>
      </c>
      <c r="CU655" s="1070" t="str">
        <f t="shared" si="48"/>
        <v/>
      </c>
      <c r="CV655" s="1070">
        <f t="shared" si="49"/>
        <v>17017</v>
      </c>
      <c r="CW655" s="1070" t="str">
        <f t="shared" si="50"/>
        <v/>
      </c>
      <c r="CX655" s="1070" t="str">
        <f t="shared" si="51"/>
        <v/>
      </c>
      <c r="CY655" s="1070" t="str">
        <f t="shared" si="52"/>
        <v/>
      </c>
      <c r="CZ655" s="1070" t="str">
        <f t="shared" si="53"/>
        <v/>
      </c>
      <c r="DA655" s="1070" t="str">
        <f t="shared" si="54"/>
        <v/>
      </c>
      <c r="DB655" s="1070" t="str">
        <f t="shared" si="55"/>
        <v/>
      </c>
      <c r="DC655" s="1070" t="str">
        <f t="shared" si="56"/>
        <v/>
      </c>
      <c r="DD655" s="1070" t="str">
        <f t="shared" si="57"/>
        <v/>
      </c>
      <c r="DE655" s="1070" t="str">
        <f t="shared" si="58"/>
        <v/>
      </c>
      <c r="DF655" s="1070">
        <f t="shared" si="59"/>
        <v>13</v>
      </c>
      <c r="DG655" s="1070" t="str">
        <f t="shared" si="60"/>
        <v/>
      </c>
      <c r="DH655" s="1070" t="str">
        <f t="shared" si="61"/>
        <v/>
      </c>
      <c r="DI655" s="1070" t="str">
        <f t="shared" si="62"/>
        <v/>
      </c>
      <c r="DJ655" s="1070" t="str">
        <f t="shared" si="63"/>
        <v/>
      </c>
      <c r="DK655" s="1070" t="str">
        <f t="shared" si="64"/>
        <v/>
      </c>
      <c r="DL655" s="1070" t="str">
        <f t="shared" si="65"/>
        <v/>
      </c>
      <c r="DM655" s="1070" t="str">
        <f t="shared" si="66"/>
        <v/>
      </c>
      <c r="DN655" s="1070" t="str">
        <f t="shared" si="67"/>
        <v/>
      </c>
      <c r="DO655" s="1070" t="str">
        <f t="shared" si="68"/>
        <v/>
      </c>
      <c r="DP655" s="1070" t="str">
        <f t="shared" si="69"/>
        <v/>
      </c>
      <c r="DQ655" s="1070" t="str">
        <f t="shared" si="70"/>
        <v/>
      </c>
      <c r="DR655" s="1070" t="str">
        <f t="shared" si="71"/>
        <v/>
      </c>
      <c r="DS655" s="1070" t="str">
        <f t="shared" si="72"/>
        <v/>
      </c>
      <c r="DT655" s="1070" t="str">
        <f t="shared" si="73"/>
        <v/>
      </c>
      <c r="DU655" s="1070" t="str">
        <f t="shared" si="74"/>
        <v/>
      </c>
      <c r="DV655" s="1070" t="str">
        <f t="shared" si="75"/>
        <v/>
      </c>
      <c r="DW655" s="1070" t="str">
        <f t="shared" si="76"/>
        <v/>
      </c>
      <c r="DX655" s="1070" t="str">
        <f t="shared" si="77"/>
        <v/>
      </c>
      <c r="DY655" s="1070" t="str">
        <f t="shared" si="78"/>
        <v/>
      </c>
      <c r="DZ655" s="1070" t="str">
        <f t="shared" si="79"/>
        <v/>
      </c>
      <c r="EA655" s="1070" t="str">
        <f t="shared" si="80"/>
        <v/>
      </c>
      <c r="EB655" s="1070" t="str">
        <f t="shared" si="81"/>
        <v/>
      </c>
      <c r="EC655" s="1070" t="str">
        <f t="shared" si="82"/>
        <v/>
      </c>
      <c r="ED655" s="1070" t="str">
        <f t="shared" si="83"/>
        <v/>
      </c>
      <c r="EE655" s="1070" t="str">
        <f t="shared" si="84"/>
        <v/>
      </c>
      <c r="EF655" s="1070" t="str">
        <f t="shared" si="85"/>
        <v/>
      </c>
      <c r="EG655" s="1070" t="str">
        <f t="shared" si="86"/>
        <v/>
      </c>
      <c r="EH655" s="1070" t="str">
        <f t="shared" si="87"/>
        <v/>
      </c>
      <c r="EI655" s="1070" t="str">
        <f t="shared" si="88"/>
        <v/>
      </c>
      <c r="EJ655" s="1070" t="str">
        <f t="shared" si="89"/>
        <v/>
      </c>
      <c r="EK655" s="1070" t="str">
        <f t="shared" si="90"/>
        <v/>
      </c>
      <c r="EL655" s="1070" t="str">
        <f t="shared" si="91"/>
        <v/>
      </c>
      <c r="EM655" s="1070" t="str">
        <f t="shared" si="92"/>
        <v/>
      </c>
      <c r="EN655" s="1070" t="str">
        <f t="shared" si="93"/>
        <v/>
      </c>
      <c r="EO655" s="1070" t="str">
        <f t="shared" si="94"/>
        <v/>
      </c>
      <c r="EP655" s="1070" t="str">
        <f t="shared" si="95"/>
        <v/>
      </c>
      <c r="EQ655" s="1070" t="str">
        <f t="shared" si="96"/>
        <v/>
      </c>
      <c r="ER655" s="1070" t="str">
        <f t="shared" si="97"/>
        <v/>
      </c>
      <c r="ES655" s="1070" t="str">
        <f t="shared" si="98"/>
        <v/>
      </c>
      <c r="ET655" s="1070" t="str">
        <f t="shared" si="99"/>
        <v/>
      </c>
      <c r="EU655" s="1070" t="str">
        <f t="shared" si="100"/>
        <v/>
      </c>
      <c r="EV655" s="831" t="str">
        <f t="shared" si="101"/>
        <v/>
      </c>
      <c r="EW655" s="831" t="str">
        <f t="shared" si="102"/>
        <v/>
      </c>
      <c r="EX655" s="831" t="str">
        <f t="shared" si="103"/>
        <v/>
      </c>
      <c r="EY655" s="831">
        <f t="shared" si="104"/>
        <v>13</v>
      </c>
      <c r="EZ655" s="831" t="str">
        <f t="shared" si="105"/>
        <v/>
      </c>
      <c r="FA655" s="831" t="str">
        <f t="shared" si="106"/>
        <v/>
      </c>
      <c r="FB655" s="831" t="str">
        <f t="shared" si="107"/>
        <v/>
      </c>
      <c r="FC655" s="831" t="str">
        <f t="shared" si="108"/>
        <v/>
      </c>
      <c r="FD655" s="831" t="str">
        <f t="shared" si="109"/>
        <v/>
      </c>
      <c r="FE655" s="831" t="str">
        <f t="shared" si="110"/>
        <v/>
      </c>
      <c r="FF655" s="831" t="str">
        <f t="shared" si="111"/>
        <v/>
      </c>
      <c r="FG655" s="831" t="str">
        <f t="shared" si="112"/>
        <v/>
      </c>
      <c r="FH655" s="831" t="str">
        <f t="shared" si="113"/>
        <v/>
      </c>
      <c r="FI655" s="831" t="str">
        <f t="shared" si="114"/>
        <v/>
      </c>
      <c r="FJ655" s="831" t="str">
        <f t="shared" si="115"/>
        <v/>
      </c>
      <c r="FK655" s="831" t="str">
        <f t="shared" si="116"/>
        <v/>
      </c>
      <c r="FL655" s="831" t="str">
        <f t="shared" si="117"/>
        <v/>
      </c>
      <c r="FM655" s="831" t="str">
        <f t="shared" si="118"/>
        <v/>
      </c>
      <c r="FN655" s="831" t="str">
        <f t="shared" si="119"/>
        <v/>
      </c>
      <c r="FO655" s="831" t="str">
        <f t="shared" si="120"/>
        <v/>
      </c>
      <c r="FP655" s="831" t="str">
        <f t="shared" si="121"/>
        <v/>
      </c>
      <c r="FQ655" s="831" t="str">
        <f t="shared" si="122"/>
        <v/>
      </c>
      <c r="FR655" s="831" t="str">
        <f t="shared" si="123"/>
        <v/>
      </c>
      <c r="FS655" s="831" t="str">
        <f t="shared" si="124"/>
        <v/>
      </c>
      <c r="FT655" s="831" t="str">
        <f t="shared" si="125"/>
        <v/>
      </c>
      <c r="FU655" s="831" t="str">
        <f t="shared" si="126"/>
        <v/>
      </c>
      <c r="FV655" s="831" t="str">
        <f t="shared" si="127"/>
        <v/>
      </c>
      <c r="FW655" s="831" t="str">
        <f t="shared" si="128"/>
        <v/>
      </c>
      <c r="FX655" s="831" t="str">
        <f t="shared" si="129"/>
        <v/>
      </c>
      <c r="FY655" s="831" t="str">
        <f t="shared" si="130"/>
        <v/>
      </c>
      <c r="FZ655" s="831" t="str">
        <f t="shared" si="131"/>
        <v/>
      </c>
      <c r="GA655" s="831" t="str">
        <f t="shared" si="132"/>
        <v/>
      </c>
      <c r="GB655" s="831" t="str">
        <f t="shared" si="133"/>
        <v/>
      </c>
      <c r="GC655" s="831" t="str">
        <f t="shared" si="134"/>
        <v/>
      </c>
      <c r="GD655" s="831" t="str">
        <f t="shared" si="135"/>
        <v/>
      </c>
      <c r="GE655" s="831" t="str">
        <f t="shared" si="136"/>
        <v/>
      </c>
      <c r="GF655" s="831" t="str">
        <f t="shared" si="137"/>
        <v/>
      </c>
      <c r="GG655" s="831" t="str">
        <f t="shared" si="138"/>
        <v/>
      </c>
      <c r="GH655" s="831" t="str">
        <f t="shared" si="139"/>
        <v/>
      </c>
      <c r="GI655" s="831" t="str">
        <f t="shared" si="140"/>
        <v/>
      </c>
      <c r="GJ655" s="831" t="str">
        <f t="shared" si="141"/>
        <v/>
      </c>
      <c r="GK655" s="831" t="str">
        <f t="shared" si="142"/>
        <v/>
      </c>
      <c r="GL655" s="831" t="str">
        <f t="shared" si="143"/>
        <v/>
      </c>
      <c r="GM655" s="831">
        <f t="shared" si="144"/>
        <v>13</v>
      </c>
      <c r="GN655" s="831" t="str">
        <f t="shared" si="145"/>
        <v/>
      </c>
      <c r="GO655" s="1113" t="str">
        <f t="shared" si="146"/>
        <v/>
      </c>
      <c r="GP655" s="1113" t="str">
        <f t="shared" si="147"/>
        <v/>
      </c>
      <c r="GQ655" s="1113" t="str">
        <f t="shared" si="148"/>
        <v/>
      </c>
      <c r="GR655" s="1113" t="str">
        <f t="shared" si="149"/>
        <v/>
      </c>
      <c r="GS655" s="1113" t="str">
        <f t="shared" si="150"/>
        <v/>
      </c>
      <c r="GT655" s="1070" t="str">
        <f t="shared" si="151"/>
        <v/>
      </c>
      <c r="GU655" s="1070" t="str">
        <f t="shared" si="152"/>
        <v/>
      </c>
      <c r="GV655" s="1070" t="str">
        <f t="shared" si="153"/>
        <v/>
      </c>
      <c r="GW655" s="1070" t="str">
        <f t="shared" si="154"/>
        <v/>
      </c>
      <c r="GX655" s="1070" t="str">
        <f t="shared" si="155"/>
        <v/>
      </c>
      <c r="GY655" s="1070" t="str">
        <f t="shared" si="156"/>
        <v/>
      </c>
      <c r="GZ655" s="1070" t="str">
        <f t="shared" si="157"/>
        <v/>
      </c>
      <c r="HA655" s="1070" t="str">
        <f t="shared" si="158"/>
        <v/>
      </c>
      <c r="HB655" s="1070" t="str">
        <f t="shared" si="159"/>
        <v/>
      </c>
      <c r="HC655" s="1070" t="str">
        <f t="shared" si="160"/>
        <v/>
      </c>
      <c r="HD655" s="1070" t="str">
        <f t="shared" si="161"/>
        <v/>
      </c>
      <c r="HE655" s="1070" t="str">
        <f t="shared" si="162"/>
        <v/>
      </c>
      <c r="HF655" s="1070" t="str">
        <f t="shared" si="163"/>
        <v/>
      </c>
      <c r="HG655" s="1070" t="str">
        <f t="shared" si="164"/>
        <v/>
      </c>
      <c r="HH655" s="1070" t="str">
        <f t="shared" si="165"/>
        <v/>
      </c>
      <c r="HI655" s="1070" t="str">
        <f t="shared" si="166"/>
        <v/>
      </c>
      <c r="HJ655" s="1070" t="str">
        <f t="shared" si="167"/>
        <v/>
      </c>
      <c r="HK655" s="1070" t="str">
        <f t="shared" si="168"/>
        <v/>
      </c>
      <c r="HL655" s="1070" t="str">
        <f t="shared" si="169"/>
        <v/>
      </c>
      <c r="HM655" s="1070" t="str">
        <f t="shared" si="170"/>
        <v/>
      </c>
    </row>
    <row r="656" spans="1:221" ht="13.15" customHeight="1">
      <c r="A656" s="1082" t="str">
        <f t="shared" si="171"/>
        <v/>
      </c>
      <c r="B656" s="1035" t="str">
        <f>'Part VI-Revenues &amp; Expenses'!B22</f>
        <v>&lt;&lt;Select&gt;&gt;</v>
      </c>
      <c r="C656" s="1036">
        <f>'Part VI-Revenues &amp; Expenses'!C22</f>
        <v>0</v>
      </c>
      <c r="D656" s="1037">
        <f>'Part VI-Revenues &amp; Expenses'!D22</f>
        <v>0</v>
      </c>
      <c r="E656" s="1038">
        <f>'Part VI-Revenues &amp; Expenses'!E22</f>
        <v>0</v>
      </c>
      <c r="F656" s="1038">
        <f>'Part VI-Revenues &amp; Expenses'!F22</f>
        <v>0</v>
      </c>
      <c r="G656" s="1038">
        <f>'Part VI-Revenues &amp; Expenses'!G22</f>
        <v>0</v>
      </c>
      <c r="H656" s="1038">
        <f>'Part VI-Revenues &amp; Expenses'!H22</f>
        <v>0</v>
      </c>
      <c r="I656" s="1038">
        <f>'Part VI-Revenues &amp; Expenses'!I22</f>
        <v>0</v>
      </c>
      <c r="J656" s="1101">
        <f>'Part VI-Revenues &amp; Expenses'!J22</f>
        <v>0</v>
      </c>
      <c r="K656" s="906">
        <f t="shared" si="172"/>
        <v>0</v>
      </c>
      <c r="L656" s="906">
        <f t="shared" si="0"/>
        <v>0</v>
      </c>
      <c r="M656" s="829">
        <f>'Part VI-Revenues &amp; Expenses'!M22</f>
        <v>0</v>
      </c>
      <c r="N656" s="829">
        <f>'Part VI-Revenues &amp; Expenses'!N22</f>
        <v>0</v>
      </c>
      <c r="O656" s="829">
        <f>'Part VI-Revenues &amp; Expenses'!O22</f>
        <v>0</v>
      </c>
      <c r="P656" s="907">
        <f t="shared" si="203"/>
        <v>0</v>
      </c>
      <c r="Q656" s="908" t="str">
        <f>'Part VI-Revenues &amp; Expenses'!Q22</f>
        <v/>
      </c>
      <c r="R656" s="907"/>
      <c r="S656" s="908"/>
      <c r="T656" s="1575"/>
      <c r="U656" s="1575"/>
      <c r="V656" s="1070" t="str">
        <f t="shared" si="1"/>
        <v/>
      </c>
      <c r="W656" s="1070" t="str">
        <f t="shared" si="2"/>
        <v/>
      </c>
      <c r="X656" s="1070" t="str">
        <f t="shared" si="3"/>
        <v/>
      </c>
      <c r="Y656" s="1070" t="str">
        <f t="shared" si="4"/>
        <v/>
      </c>
      <c r="Z656" s="1070" t="str">
        <f t="shared" si="5"/>
        <v/>
      </c>
      <c r="AA656" s="1070" t="str">
        <f t="shared" si="6"/>
        <v/>
      </c>
      <c r="AB656" s="1070" t="str">
        <f t="shared" si="7"/>
        <v/>
      </c>
      <c r="AC656" s="1070" t="str">
        <f t="shared" si="8"/>
        <v/>
      </c>
      <c r="AD656" s="1070" t="str">
        <f t="shared" si="9"/>
        <v/>
      </c>
      <c r="AE656" s="1070" t="str">
        <f t="shared" si="10"/>
        <v/>
      </c>
      <c r="AF656" s="1070" t="str">
        <f t="shared" si="11"/>
        <v/>
      </c>
      <c r="AG656" s="1070" t="str">
        <f t="shared" si="12"/>
        <v/>
      </c>
      <c r="AH656" s="1070" t="str">
        <f t="shared" si="13"/>
        <v/>
      </c>
      <c r="AI656" s="1070" t="str">
        <f t="shared" si="14"/>
        <v/>
      </c>
      <c r="AJ656" s="1070" t="str">
        <f t="shared" si="15"/>
        <v/>
      </c>
      <c r="AK656" s="1070" t="str">
        <f t="shared" si="16"/>
        <v/>
      </c>
      <c r="AL656" s="1070" t="str">
        <f t="shared" si="17"/>
        <v/>
      </c>
      <c r="AM656" s="1070" t="str">
        <f t="shared" si="18"/>
        <v/>
      </c>
      <c r="AN656" s="1070" t="str">
        <f t="shared" si="19"/>
        <v/>
      </c>
      <c r="AO656" s="1070" t="str">
        <f t="shared" si="20"/>
        <v/>
      </c>
      <c r="AP656" s="1070" t="str">
        <f t="shared" si="173"/>
        <v/>
      </c>
      <c r="AQ656" s="1070" t="str">
        <f t="shared" si="174"/>
        <v/>
      </c>
      <c r="AR656" s="1070" t="str">
        <f t="shared" si="175"/>
        <v/>
      </c>
      <c r="AS656" s="1070" t="str">
        <f t="shared" si="176"/>
        <v/>
      </c>
      <c r="AT656" s="1070" t="str">
        <f t="shared" si="177"/>
        <v/>
      </c>
      <c r="AU656" s="1070" t="str">
        <f t="shared" si="178"/>
        <v/>
      </c>
      <c r="AV656" s="1070" t="str">
        <f t="shared" si="179"/>
        <v/>
      </c>
      <c r="AW656" s="1070" t="str">
        <f t="shared" si="180"/>
        <v/>
      </c>
      <c r="AX656" s="1070" t="str">
        <f t="shared" si="181"/>
        <v/>
      </c>
      <c r="AY656" s="1070" t="str">
        <f t="shared" si="182"/>
        <v/>
      </c>
      <c r="AZ656" s="1070" t="str">
        <f t="shared" si="183"/>
        <v/>
      </c>
      <c r="BA656" s="1070" t="str">
        <f t="shared" si="184"/>
        <v/>
      </c>
      <c r="BB656" s="1070" t="str">
        <f t="shared" si="185"/>
        <v/>
      </c>
      <c r="BC656" s="1070" t="str">
        <f t="shared" si="186"/>
        <v/>
      </c>
      <c r="BD656" s="1070" t="str">
        <f t="shared" si="187"/>
        <v/>
      </c>
      <c r="BE656" s="1070" t="str">
        <f t="shared" si="188"/>
        <v/>
      </c>
      <c r="BF656" s="1070" t="str">
        <f t="shared" si="189"/>
        <v/>
      </c>
      <c r="BG656" s="1070" t="str">
        <f t="shared" si="190"/>
        <v/>
      </c>
      <c r="BH656" s="1070" t="str">
        <f t="shared" si="191"/>
        <v/>
      </c>
      <c r="BI656" s="1070" t="str">
        <f t="shared" si="192"/>
        <v/>
      </c>
      <c r="BJ656" s="1070" t="str">
        <f t="shared" si="193"/>
        <v/>
      </c>
      <c r="BK656" s="1070" t="str">
        <f t="shared" si="194"/>
        <v/>
      </c>
      <c r="BL656" s="1070" t="str">
        <f t="shared" si="195"/>
        <v/>
      </c>
      <c r="BM656" s="1070" t="str">
        <f t="shared" si="196"/>
        <v/>
      </c>
      <c r="BN656" s="1070" t="str">
        <f t="shared" si="197"/>
        <v/>
      </c>
      <c r="BO656" s="1070" t="str">
        <f t="shared" si="198"/>
        <v/>
      </c>
      <c r="BP656" s="1070" t="str">
        <f t="shared" si="199"/>
        <v/>
      </c>
      <c r="BQ656" s="1070" t="str">
        <f t="shared" si="200"/>
        <v/>
      </c>
      <c r="BR656" s="1070" t="str">
        <f t="shared" si="201"/>
        <v/>
      </c>
      <c r="BS656" s="1070" t="str">
        <f t="shared" si="202"/>
        <v/>
      </c>
      <c r="BT656" s="1070" t="str">
        <f t="shared" si="21"/>
        <v/>
      </c>
      <c r="BU656" s="1070" t="str">
        <f t="shared" si="22"/>
        <v/>
      </c>
      <c r="BV656" s="1070" t="str">
        <f t="shared" si="23"/>
        <v/>
      </c>
      <c r="BW656" s="1070" t="str">
        <f t="shared" si="24"/>
        <v/>
      </c>
      <c r="BX656" s="1070" t="str">
        <f t="shared" si="25"/>
        <v/>
      </c>
      <c r="BY656" s="1070" t="str">
        <f t="shared" si="26"/>
        <v/>
      </c>
      <c r="BZ656" s="1070" t="str">
        <f t="shared" si="27"/>
        <v/>
      </c>
      <c r="CA656" s="1070" t="str">
        <f t="shared" si="28"/>
        <v/>
      </c>
      <c r="CB656" s="1070" t="str">
        <f t="shared" si="29"/>
        <v/>
      </c>
      <c r="CC656" s="1070" t="str">
        <f t="shared" si="30"/>
        <v/>
      </c>
      <c r="CD656" s="1070" t="str">
        <f t="shared" si="31"/>
        <v/>
      </c>
      <c r="CE656" s="1070" t="str">
        <f t="shared" si="32"/>
        <v/>
      </c>
      <c r="CF656" s="1070" t="str">
        <f t="shared" si="33"/>
        <v/>
      </c>
      <c r="CG656" s="1070" t="str">
        <f t="shared" si="34"/>
        <v/>
      </c>
      <c r="CH656" s="1070" t="str">
        <f t="shared" si="35"/>
        <v/>
      </c>
      <c r="CI656" s="1070" t="str">
        <f t="shared" si="36"/>
        <v/>
      </c>
      <c r="CJ656" s="1070" t="str">
        <f t="shared" si="37"/>
        <v/>
      </c>
      <c r="CK656" s="1070" t="str">
        <f t="shared" si="38"/>
        <v/>
      </c>
      <c r="CL656" s="1070" t="str">
        <f t="shared" si="39"/>
        <v/>
      </c>
      <c r="CM656" s="1070" t="str">
        <f t="shared" si="40"/>
        <v/>
      </c>
      <c r="CN656" s="1070" t="str">
        <f t="shared" si="41"/>
        <v/>
      </c>
      <c r="CO656" s="1070" t="str">
        <f t="shared" si="42"/>
        <v/>
      </c>
      <c r="CP656" s="1070" t="str">
        <f t="shared" si="43"/>
        <v/>
      </c>
      <c r="CQ656" s="1070" t="str">
        <f t="shared" si="44"/>
        <v/>
      </c>
      <c r="CR656" s="1070" t="str">
        <f t="shared" si="45"/>
        <v/>
      </c>
      <c r="CS656" s="1070" t="str">
        <f t="shared" si="46"/>
        <v/>
      </c>
      <c r="CT656" s="1070" t="str">
        <f t="shared" si="47"/>
        <v/>
      </c>
      <c r="CU656" s="1070" t="str">
        <f t="shared" si="48"/>
        <v/>
      </c>
      <c r="CV656" s="1070" t="str">
        <f t="shared" si="49"/>
        <v/>
      </c>
      <c r="CW656" s="1070" t="str">
        <f t="shared" si="50"/>
        <v/>
      </c>
      <c r="CX656" s="1070" t="str">
        <f t="shared" si="51"/>
        <v/>
      </c>
      <c r="CY656" s="1070" t="str">
        <f t="shared" si="52"/>
        <v/>
      </c>
      <c r="CZ656" s="1070" t="str">
        <f t="shared" si="53"/>
        <v/>
      </c>
      <c r="DA656" s="1070" t="str">
        <f t="shared" si="54"/>
        <v/>
      </c>
      <c r="DB656" s="1070" t="str">
        <f t="shared" si="55"/>
        <v/>
      </c>
      <c r="DC656" s="1070" t="str">
        <f t="shared" si="56"/>
        <v/>
      </c>
      <c r="DD656" s="1070" t="str">
        <f t="shared" si="57"/>
        <v/>
      </c>
      <c r="DE656" s="1070" t="str">
        <f t="shared" si="58"/>
        <v/>
      </c>
      <c r="DF656" s="1070" t="str">
        <f t="shared" si="59"/>
        <v/>
      </c>
      <c r="DG656" s="1070" t="str">
        <f t="shared" si="60"/>
        <v/>
      </c>
      <c r="DH656" s="1070" t="str">
        <f t="shared" si="61"/>
        <v/>
      </c>
      <c r="DI656" s="1070" t="str">
        <f t="shared" si="62"/>
        <v/>
      </c>
      <c r="DJ656" s="1070" t="str">
        <f t="shared" si="63"/>
        <v/>
      </c>
      <c r="DK656" s="1070" t="str">
        <f t="shared" si="64"/>
        <v/>
      </c>
      <c r="DL656" s="1070" t="str">
        <f t="shared" si="65"/>
        <v/>
      </c>
      <c r="DM656" s="1070" t="str">
        <f t="shared" si="66"/>
        <v/>
      </c>
      <c r="DN656" s="1070" t="str">
        <f t="shared" si="67"/>
        <v/>
      </c>
      <c r="DO656" s="1070" t="str">
        <f t="shared" si="68"/>
        <v/>
      </c>
      <c r="DP656" s="1070" t="str">
        <f t="shared" si="69"/>
        <v/>
      </c>
      <c r="DQ656" s="1070" t="str">
        <f t="shared" si="70"/>
        <v/>
      </c>
      <c r="DR656" s="1070" t="str">
        <f t="shared" si="71"/>
        <v/>
      </c>
      <c r="DS656" s="1070" t="str">
        <f t="shared" si="72"/>
        <v/>
      </c>
      <c r="DT656" s="1070" t="str">
        <f t="shared" si="73"/>
        <v/>
      </c>
      <c r="DU656" s="1070" t="str">
        <f t="shared" si="74"/>
        <v/>
      </c>
      <c r="DV656" s="1070" t="str">
        <f t="shared" si="75"/>
        <v/>
      </c>
      <c r="DW656" s="1070" t="str">
        <f t="shared" si="76"/>
        <v/>
      </c>
      <c r="DX656" s="1070" t="str">
        <f t="shared" si="77"/>
        <v/>
      </c>
      <c r="DY656" s="1070" t="str">
        <f t="shared" si="78"/>
        <v/>
      </c>
      <c r="DZ656" s="1070" t="str">
        <f t="shared" si="79"/>
        <v/>
      </c>
      <c r="EA656" s="1070" t="str">
        <f t="shared" si="80"/>
        <v/>
      </c>
      <c r="EB656" s="1070" t="str">
        <f t="shared" si="81"/>
        <v/>
      </c>
      <c r="EC656" s="1070" t="str">
        <f t="shared" si="82"/>
        <v/>
      </c>
      <c r="ED656" s="1070" t="str">
        <f t="shared" si="83"/>
        <v/>
      </c>
      <c r="EE656" s="1070" t="str">
        <f t="shared" si="84"/>
        <v/>
      </c>
      <c r="EF656" s="1070" t="str">
        <f t="shared" si="85"/>
        <v/>
      </c>
      <c r="EG656" s="1070" t="str">
        <f t="shared" si="86"/>
        <v/>
      </c>
      <c r="EH656" s="1070" t="str">
        <f t="shared" si="87"/>
        <v/>
      </c>
      <c r="EI656" s="1070" t="str">
        <f t="shared" si="88"/>
        <v/>
      </c>
      <c r="EJ656" s="1070" t="str">
        <f t="shared" si="89"/>
        <v/>
      </c>
      <c r="EK656" s="1070" t="str">
        <f t="shared" si="90"/>
        <v/>
      </c>
      <c r="EL656" s="1070" t="str">
        <f t="shared" si="91"/>
        <v/>
      </c>
      <c r="EM656" s="1070" t="str">
        <f t="shared" si="92"/>
        <v/>
      </c>
      <c r="EN656" s="1070" t="str">
        <f t="shared" si="93"/>
        <v/>
      </c>
      <c r="EO656" s="1070" t="str">
        <f t="shared" si="94"/>
        <v/>
      </c>
      <c r="EP656" s="1070" t="str">
        <f t="shared" si="95"/>
        <v/>
      </c>
      <c r="EQ656" s="1070" t="str">
        <f t="shared" si="96"/>
        <v/>
      </c>
      <c r="ER656" s="1070" t="str">
        <f t="shared" si="97"/>
        <v/>
      </c>
      <c r="ES656" s="1070" t="str">
        <f t="shared" si="98"/>
        <v/>
      </c>
      <c r="ET656" s="1070" t="str">
        <f t="shared" si="99"/>
        <v/>
      </c>
      <c r="EU656" s="1070" t="str">
        <f t="shared" si="100"/>
        <v/>
      </c>
      <c r="EV656" s="831" t="str">
        <f t="shared" si="101"/>
        <v/>
      </c>
      <c r="EW656" s="831" t="str">
        <f t="shared" si="102"/>
        <v/>
      </c>
      <c r="EX656" s="831" t="str">
        <f t="shared" si="103"/>
        <v/>
      </c>
      <c r="EY656" s="831" t="str">
        <f t="shared" si="104"/>
        <v/>
      </c>
      <c r="EZ656" s="831" t="str">
        <f t="shared" si="105"/>
        <v/>
      </c>
      <c r="FA656" s="831" t="str">
        <f t="shared" si="106"/>
        <v/>
      </c>
      <c r="FB656" s="831" t="str">
        <f t="shared" si="107"/>
        <v/>
      </c>
      <c r="FC656" s="831" t="str">
        <f t="shared" si="108"/>
        <v/>
      </c>
      <c r="FD656" s="831" t="str">
        <f t="shared" si="109"/>
        <v/>
      </c>
      <c r="FE656" s="831" t="str">
        <f t="shared" si="110"/>
        <v/>
      </c>
      <c r="FF656" s="831" t="str">
        <f t="shared" si="111"/>
        <v/>
      </c>
      <c r="FG656" s="831" t="str">
        <f t="shared" si="112"/>
        <v/>
      </c>
      <c r="FH656" s="831" t="str">
        <f t="shared" si="113"/>
        <v/>
      </c>
      <c r="FI656" s="831" t="str">
        <f t="shared" si="114"/>
        <v/>
      </c>
      <c r="FJ656" s="831" t="str">
        <f t="shared" si="115"/>
        <v/>
      </c>
      <c r="FK656" s="831" t="str">
        <f t="shared" si="116"/>
        <v/>
      </c>
      <c r="FL656" s="831" t="str">
        <f t="shared" si="117"/>
        <v/>
      </c>
      <c r="FM656" s="831" t="str">
        <f t="shared" si="118"/>
        <v/>
      </c>
      <c r="FN656" s="831" t="str">
        <f t="shared" si="119"/>
        <v/>
      </c>
      <c r="FO656" s="831" t="str">
        <f t="shared" si="120"/>
        <v/>
      </c>
      <c r="FP656" s="831" t="str">
        <f t="shared" si="121"/>
        <v/>
      </c>
      <c r="FQ656" s="831" t="str">
        <f t="shared" si="122"/>
        <v/>
      </c>
      <c r="FR656" s="831" t="str">
        <f t="shared" si="123"/>
        <v/>
      </c>
      <c r="FS656" s="831" t="str">
        <f t="shared" si="124"/>
        <v/>
      </c>
      <c r="FT656" s="831" t="str">
        <f t="shared" si="125"/>
        <v/>
      </c>
      <c r="FU656" s="831" t="str">
        <f t="shared" si="126"/>
        <v/>
      </c>
      <c r="FV656" s="831" t="str">
        <f t="shared" si="127"/>
        <v/>
      </c>
      <c r="FW656" s="831" t="str">
        <f t="shared" si="128"/>
        <v/>
      </c>
      <c r="FX656" s="831" t="str">
        <f t="shared" si="129"/>
        <v/>
      </c>
      <c r="FY656" s="831" t="str">
        <f t="shared" si="130"/>
        <v/>
      </c>
      <c r="FZ656" s="831" t="str">
        <f t="shared" si="131"/>
        <v/>
      </c>
      <c r="GA656" s="831" t="str">
        <f t="shared" si="132"/>
        <v/>
      </c>
      <c r="GB656" s="831" t="str">
        <f t="shared" si="133"/>
        <v/>
      </c>
      <c r="GC656" s="831" t="str">
        <f t="shared" si="134"/>
        <v/>
      </c>
      <c r="GD656" s="831" t="str">
        <f t="shared" si="135"/>
        <v/>
      </c>
      <c r="GE656" s="831" t="str">
        <f t="shared" si="136"/>
        <v/>
      </c>
      <c r="GF656" s="831" t="str">
        <f t="shared" si="137"/>
        <v/>
      </c>
      <c r="GG656" s="831" t="str">
        <f t="shared" si="138"/>
        <v/>
      </c>
      <c r="GH656" s="831" t="str">
        <f t="shared" si="139"/>
        <v/>
      </c>
      <c r="GI656" s="831" t="str">
        <f t="shared" si="140"/>
        <v/>
      </c>
      <c r="GJ656" s="831" t="str">
        <f t="shared" si="141"/>
        <v/>
      </c>
      <c r="GK656" s="831" t="str">
        <f t="shared" si="142"/>
        <v/>
      </c>
      <c r="GL656" s="831" t="str">
        <f t="shared" si="143"/>
        <v/>
      </c>
      <c r="GM656" s="831" t="str">
        <f t="shared" si="144"/>
        <v/>
      </c>
      <c r="GN656" s="831" t="str">
        <f t="shared" si="145"/>
        <v/>
      </c>
      <c r="GO656" s="1113" t="str">
        <f t="shared" si="146"/>
        <v/>
      </c>
      <c r="GP656" s="1113" t="str">
        <f t="shared" si="147"/>
        <v/>
      </c>
      <c r="GQ656" s="1113" t="str">
        <f t="shared" si="148"/>
        <v/>
      </c>
      <c r="GR656" s="1113" t="str">
        <f t="shared" si="149"/>
        <v/>
      </c>
      <c r="GS656" s="1113" t="str">
        <f t="shared" si="150"/>
        <v/>
      </c>
      <c r="GT656" s="1070" t="str">
        <f t="shared" si="151"/>
        <v/>
      </c>
      <c r="GU656" s="1070" t="str">
        <f t="shared" si="152"/>
        <v/>
      </c>
      <c r="GV656" s="1070" t="str">
        <f t="shared" si="153"/>
        <v/>
      </c>
      <c r="GW656" s="1070" t="str">
        <f t="shared" si="154"/>
        <v/>
      </c>
      <c r="GX656" s="1070" t="str">
        <f t="shared" si="155"/>
        <v/>
      </c>
      <c r="GY656" s="1070" t="str">
        <f t="shared" si="156"/>
        <v/>
      </c>
      <c r="GZ656" s="1070" t="str">
        <f t="shared" si="157"/>
        <v/>
      </c>
      <c r="HA656" s="1070" t="str">
        <f t="shared" si="158"/>
        <v/>
      </c>
      <c r="HB656" s="1070" t="str">
        <f t="shared" si="159"/>
        <v/>
      </c>
      <c r="HC656" s="1070" t="str">
        <f t="shared" si="160"/>
        <v/>
      </c>
      <c r="HD656" s="1070" t="str">
        <f t="shared" si="161"/>
        <v/>
      </c>
      <c r="HE656" s="1070" t="str">
        <f t="shared" si="162"/>
        <v/>
      </c>
      <c r="HF656" s="1070" t="str">
        <f t="shared" si="163"/>
        <v/>
      </c>
      <c r="HG656" s="1070" t="str">
        <f t="shared" si="164"/>
        <v/>
      </c>
      <c r="HH656" s="1070" t="str">
        <f t="shared" si="165"/>
        <v/>
      </c>
      <c r="HI656" s="1070" t="str">
        <f t="shared" si="166"/>
        <v/>
      </c>
      <c r="HJ656" s="1070" t="str">
        <f t="shared" si="167"/>
        <v/>
      </c>
      <c r="HK656" s="1070" t="str">
        <f t="shared" si="168"/>
        <v/>
      </c>
      <c r="HL656" s="1070" t="str">
        <f t="shared" si="169"/>
        <v/>
      </c>
      <c r="HM656" s="1070" t="str">
        <f t="shared" si="170"/>
        <v/>
      </c>
    </row>
    <row r="657" spans="1:221" ht="13.15" customHeight="1">
      <c r="A657" s="1082" t="str">
        <f t="shared" si="171"/>
        <v/>
      </c>
      <c r="B657" s="1035" t="str">
        <f>'Part VI-Revenues &amp; Expenses'!B23</f>
        <v>&lt;&lt;Select&gt;&gt;</v>
      </c>
      <c r="C657" s="1036">
        <f>'Part VI-Revenues &amp; Expenses'!C23</f>
        <v>0</v>
      </c>
      <c r="D657" s="1037">
        <f>'Part VI-Revenues &amp; Expenses'!D23</f>
        <v>0</v>
      </c>
      <c r="E657" s="1038">
        <f>'Part VI-Revenues &amp; Expenses'!E23</f>
        <v>0</v>
      </c>
      <c r="F657" s="1038">
        <f>'Part VI-Revenues &amp; Expenses'!F23</f>
        <v>0</v>
      </c>
      <c r="G657" s="1038">
        <f>'Part VI-Revenues &amp; Expenses'!G23</f>
        <v>0</v>
      </c>
      <c r="H657" s="1038">
        <f>'Part VI-Revenues &amp; Expenses'!H23</f>
        <v>0</v>
      </c>
      <c r="I657" s="1038">
        <f>'Part VI-Revenues &amp; Expenses'!I23</f>
        <v>0</v>
      </c>
      <c r="J657" s="1101">
        <f>'Part VI-Revenues &amp; Expenses'!J23</f>
        <v>0</v>
      </c>
      <c r="K657" s="906">
        <f t="shared" si="172"/>
        <v>0</v>
      </c>
      <c r="L657" s="906">
        <f t="shared" si="0"/>
        <v>0</v>
      </c>
      <c r="M657" s="829">
        <f>'Part VI-Revenues &amp; Expenses'!M23</f>
        <v>0</v>
      </c>
      <c r="N657" s="829">
        <f>'Part VI-Revenues &amp; Expenses'!N23</f>
        <v>0</v>
      </c>
      <c r="O657" s="829">
        <f>'Part VI-Revenues &amp; Expenses'!O23</f>
        <v>0</v>
      </c>
      <c r="P657" s="907">
        <f t="shared" si="203"/>
        <v>0</v>
      </c>
      <c r="Q657" s="908" t="str">
        <f>'Part VI-Revenues &amp; Expenses'!Q23</f>
        <v/>
      </c>
      <c r="R657" s="907"/>
      <c r="S657" s="908"/>
      <c r="T657" s="1575"/>
      <c r="U657" s="1575"/>
      <c r="V657" s="1070" t="str">
        <f t="shared" si="1"/>
        <v/>
      </c>
      <c r="W657" s="1070" t="str">
        <f t="shared" si="2"/>
        <v/>
      </c>
      <c r="X657" s="1070" t="str">
        <f t="shared" si="3"/>
        <v/>
      </c>
      <c r="Y657" s="1070" t="str">
        <f t="shared" si="4"/>
        <v/>
      </c>
      <c r="Z657" s="1070" t="str">
        <f t="shared" si="5"/>
        <v/>
      </c>
      <c r="AA657" s="1070" t="str">
        <f t="shared" si="6"/>
        <v/>
      </c>
      <c r="AB657" s="1070" t="str">
        <f t="shared" si="7"/>
        <v/>
      </c>
      <c r="AC657" s="1070" t="str">
        <f t="shared" si="8"/>
        <v/>
      </c>
      <c r="AD657" s="1070" t="str">
        <f t="shared" si="9"/>
        <v/>
      </c>
      <c r="AE657" s="1070" t="str">
        <f t="shared" si="10"/>
        <v/>
      </c>
      <c r="AF657" s="1070" t="str">
        <f t="shared" si="11"/>
        <v/>
      </c>
      <c r="AG657" s="1070" t="str">
        <f t="shared" si="12"/>
        <v/>
      </c>
      <c r="AH657" s="1070" t="str">
        <f t="shared" si="13"/>
        <v/>
      </c>
      <c r="AI657" s="1070" t="str">
        <f t="shared" si="14"/>
        <v/>
      </c>
      <c r="AJ657" s="1070" t="str">
        <f t="shared" si="15"/>
        <v/>
      </c>
      <c r="AK657" s="1070" t="str">
        <f t="shared" si="16"/>
        <v/>
      </c>
      <c r="AL657" s="1070" t="str">
        <f t="shared" si="17"/>
        <v/>
      </c>
      <c r="AM657" s="1070" t="str">
        <f t="shared" si="18"/>
        <v/>
      </c>
      <c r="AN657" s="1070" t="str">
        <f t="shared" si="19"/>
        <v/>
      </c>
      <c r="AO657" s="1070" t="str">
        <f t="shared" si="20"/>
        <v/>
      </c>
      <c r="AP657" s="1070" t="str">
        <f t="shared" si="173"/>
        <v/>
      </c>
      <c r="AQ657" s="1070" t="str">
        <f t="shared" si="174"/>
        <v/>
      </c>
      <c r="AR657" s="1070" t="str">
        <f t="shared" si="175"/>
        <v/>
      </c>
      <c r="AS657" s="1070" t="str">
        <f t="shared" si="176"/>
        <v/>
      </c>
      <c r="AT657" s="1070" t="str">
        <f t="shared" si="177"/>
        <v/>
      </c>
      <c r="AU657" s="1070" t="str">
        <f t="shared" si="178"/>
        <v/>
      </c>
      <c r="AV657" s="1070" t="str">
        <f t="shared" si="179"/>
        <v/>
      </c>
      <c r="AW657" s="1070" t="str">
        <f t="shared" si="180"/>
        <v/>
      </c>
      <c r="AX657" s="1070" t="str">
        <f t="shared" si="181"/>
        <v/>
      </c>
      <c r="AY657" s="1070" t="str">
        <f t="shared" si="182"/>
        <v/>
      </c>
      <c r="AZ657" s="1070" t="str">
        <f t="shared" si="183"/>
        <v/>
      </c>
      <c r="BA657" s="1070" t="str">
        <f t="shared" si="184"/>
        <v/>
      </c>
      <c r="BB657" s="1070" t="str">
        <f t="shared" si="185"/>
        <v/>
      </c>
      <c r="BC657" s="1070" t="str">
        <f t="shared" si="186"/>
        <v/>
      </c>
      <c r="BD657" s="1070" t="str">
        <f t="shared" si="187"/>
        <v/>
      </c>
      <c r="BE657" s="1070" t="str">
        <f t="shared" si="188"/>
        <v/>
      </c>
      <c r="BF657" s="1070" t="str">
        <f t="shared" si="189"/>
        <v/>
      </c>
      <c r="BG657" s="1070" t="str">
        <f t="shared" si="190"/>
        <v/>
      </c>
      <c r="BH657" s="1070" t="str">
        <f t="shared" si="191"/>
        <v/>
      </c>
      <c r="BI657" s="1070" t="str">
        <f t="shared" si="192"/>
        <v/>
      </c>
      <c r="BJ657" s="1070" t="str">
        <f t="shared" si="193"/>
        <v/>
      </c>
      <c r="BK657" s="1070" t="str">
        <f t="shared" si="194"/>
        <v/>
      </c>
      <c r="BL657" s="1070" t="str">
        <f t="shared" si="195"/>
        <v/>
      </c>
      <c r="BM657" s="1070" t="str">
        <f t="shared" si="196"/>
        <v/>
      </c>
      <c r="BN657" s="1070" t="str">
        <f t="shared" si="197"/>
        <v/>
      </c>
      <c r="BO657" s="1070" t="str">
        <f t="shared" si="198"/>
        <v/>
      </c>
      <c r="BP657" s="1070" t="str">
        <f t="shared" si="199"/>
        <v/>
      </c>
      <c r="BQ657" s="1070" t="str">
        <f t="shared" si="200"/>
        <v/>
      </c>
      <c r="BR657" s="1070" t="str">
        <f t="shared" si="201"/>
        <v/>
      </c>
      <c r="BS657" s="1070" t="str">
        <f t="shared" si="202"/>
        <v/>
      </c>
      <c r="BT657" s="1070" t="str">
        <f t="shared" si="21"/>
        <v/>
      </c>
      <c r="BU657" s="1070" t="str">
        <f t="shared" si="22"/>
        <v/>
      </c>
      <c r="BV657" s="1070" t="str">
        <f t="shared" si="23"/>
        <v/>
      </c>
      <c r="BW657" s="1070" t="str">
        <f t="shared" si="24"/>
        <v/>
      </c>
      <c r="BX657" s="1070" t="str">
        <f t="shared" si="25"/>
        <v/>
      </c>
      <c r="BY657" s="1070" t="str">
        <f t="shared" si="26"/>
        <v/>
      </c>
      <c r="BZ657" s="1070" t="str">
        <f t="shared" si="27"/>
        <v/>
      </c>
      <c r="CA657" s="1070" t="str">
        <f t="shared" si="28"/>
        <v/>
      </c>
      <c r="CB657" s="1070" t="str">
        <f t="shared" si="29"/>
        <v/>
      </c>
      <c r="CC657" s="1070" t="str">
        <f t="shared" si="30"/>
        <v/>
      </c>
      <c r="CD657" s="1070" t="str">
        <f t="shared" si="31"/>
        <v/>
      </c>
      <c r="CE657" s="1070" t="str">
        <f t="shared" si="32"/>
        <v/>
      </c>
      <c r="CF657" s="1070" t="str">
        <f t="shared" si="33"/>
        <v/>
      </c>
      <c r="CG657" s="1070" t="str">
        <f t="shared" si="34"/>
        <v/>
      </c>
      <c r="CH657" s="1070" t="str">
        <f t="shared" si="35"/>
        <v/>
      </c>
      <c r="CI657" s="1070" t="str">
        <f t="shared" si="36"/>
        <v/>
      </c>
      <c r="CJ657" s="1070" t="str">
        <f t="shared" si="37"/>
        <v/>
      </c>
      <c r="CK657" s="1070" t="str">
        <f t="shared" si="38"/>
        <v/>
      </c>
      <c r="CL657" s="1070" t="str">
        <f t="shared" si="39"/>
        <v/>
      </c>
      <c r="CM657" s="1070" t="str">
        <f t="shared" si="40"/>
        <v/>
      </c>
      <c r="CN657" s="1070" t="str">
        <f t="shared" si="41"/>
        <v/>
      </c>
      <c r="CO657" s="1070" t="str">
        <f t="shared" si="42"/>
        <v/>
      </c>
      <c r="CP657" s="1070" t="str">
        <f t="shared" si="43"/>
        <v/>
      </c>
      <c r="CQ657" s="1070" t="str">
        <f t="shared" si="44"/>
        <v/>
      </c>
      <c r="CR657" s="1070" t="str">
        <f t="shared" si="45"/>
        <v/>
      </c>
      <c r="CS657" s="1070" t="str">
        <f t="shared" si="46"/>
        <v/>
      </c>
      <c r="CT657" s="1070" t="str">
        <f t="shared" si="47"/>
        <v/>
      </c>
      <c r="CU657" s="1070" t="str">
        <f t="shared" si="48"/>
        <v/>
      </c>
      <c r="CV657" s="1070" t="str">
        <f t="shared" si="49"/>
        <v/>
      </c>
      <c r="CW657" s="1070" t="str">
        <f t="shared" si="50"/>
        <v/>
      </c>
      <c r="CX657" s="1070" t="str">
        <f t="shared" si="51"/>
        <v/>
      </c>
      <c r="CY657" s="1070" t="str">
        <f t="shared" si="52"/>
        <v/>
      </c>
      <c r="CZ657" s="1070" t="str">
        <f t="shared" si="53"/>
        <v/>
      </c>
      <c r="DA657" s="1070" t="str">
        <f t="shared" si="54"/>
        <v/>
      </c>
      <c r="DB657" s="1070" t="str">
        <f t="shared" si="55"/>
        <v/>
      </c>
      <c r="DC657" s="1070" t="str">
        <f t="shared" si="56"/>
        <v/>
      </c>
      <c r="DD657" s="1070" t="str">
        <f t="shared" si="57"/>
        <v/>
      </c>
      <c r="DE657" s="1070" t="str">
        <f t="shared" si="58"/>
        <v/>
      </c>
      <c r="DF657" s="1070" t="str">
        <f t="shared" si="59"/>
        <v/>
      </c>
      <c r="DG657" s="1070" t="str">
        <f t="shared" si="60"/>
        <v/>
      </c>
      <c r="DH657" s="1070" t="str">
        <f t="shared" si="61"/>
        <v/>
      </c>
      <c r="DI657" s="1070" t="str">
        <f t="shared" si="62"/>
        <v/>
      </c>
      <c r="DJ657" s="1070" t="str">
        <f t="shared" si="63"/>
        <v/>
      </c>
      <c r="DK657" s="1070" t="str">
        <f t="shared" si="64"/>
        <v/>
      </c>
      <c r="DL657" s="1070" t="str">
        <f t="shared" si="65"/>
        <v/>
      </c>
      <c r="DM657" s="1070" t="str">
        <f t="shared" si="66"/>
        <v/>
      </c>
      <c r="DN657" s="1070" t="str">
        <f t="shared" si="67"/>
        <v/>
      </c>
      <c r="DO657" s="1070" t="str">
        <f t="shared" si="68"/>
        <v/>
      </c>
      <c r="DP657" s="1070" t="str">
        <f t="shared" si="69"/>
        <v/>
      </c>
      <c r="DQ657" s="1070" t="str">
        <f t="shared" si="70"/>
        <v/>
      </c>
      <c r="DR657" s="1070" t="str">
        <f t="shared" si="71"/>
        <v/>
      </c>
      <c r="DS657" s="1070" t="str">
        <f t="shared" si="72"/>
        <v/>
      </c>
      <c r="DT657" s="1070" t="str">
        <f t="shared" si="73"/>
        <v/>
      </c>
      <c r="DU657" s="1070" t="str">
        <f t="shared" si="74"/>
        <v/>
      </c>
      <c r="DV657" s="1070" t="str">
        <f t="shared" si="75"/>
        <v/>
      </c>
      <c r="DW657" s="1070" t="str">
        <f t="shared" si="76"/>
        <v/>
      </c>
      <c r="DX657" s="1070" t="str">
        <f t="shared" si="77"/>
        <v/>
      </c>
      <c r="DY657" s="1070" t="str">
        <f t="shared" si="78"/>
        <v/>
      </c>
      <c r="DZ657" s="1070" t="str">
        <f t="shared" si="79"/>
        <v/>
      </c>
      <c r="EA657" s="1070" t="str">
        <f t="shared" si="80"/>
        <v/>
      </c>
      <c r="EB657" s="1070" t="str">
        <f t="shared" si="81"/>
        <v/>
      </c>
      <c r="EC657" s="1070" t="str">
        <f t="shared" si="82"/>
        <v/>
      </c>
      <c r="ED657" s="1070" t="str">
        <f t="shared" si="83"/>
        <v/>
      </c>
      <c r="EE657" s="1070" t="str">
        <f t="shared" si="84"/>
        <v/>
      </c>
      <c r="EF657" s="1070" t="str">
        <f t="shared" si="85"/>
        <v/>
      </c>
      <c r="EG657" s="1070" t="str">
        <f t="shared" si="86"/>
        <v/>
      </c>
      <c r="EH657" s="1070" t="str">
        <f t="shared" si="87"/>
        <v/>
      </c>
      <c r="EI657" s="1070" t="str">
        <f t="shared" si="88"/>
        <v/>
      </c>
      <c r="EJ657" s="1070" t="str">
        <f t="shared" si="89"/>
        <v/>
      </c>
      <c r="EK657" s="1070" t="str">
        <f t="shared" si="90"/>
        <v/>
      </c>
      <c r="EL657" s="1070" t="str">
        <f t="shared" si="91"/>
        <v/>
      </c>
      <c r="EM657" s="1070" t="str">
        <f t="shared" si="92"/>
        <v/>
      </c>
      <c r="EN657" s="1070" t="str">
        <f t="shared" si="93"/>
        <v/>
      </c>
      <c r="EO657" s="1070" t="str">
        <f t="shared" si="94"/>
        <v/>
      </c>
      <c r="EP657" s="1070" t="str">
        <f t="shared" si="95"/>
        <v/>
      </c>
      <c r="EQ657" s="1070" t="str">
        <f t="shared" si="96"/>
        <v/>
      </c>
      <c r="ER657" s="1070" t="str">
        <f t="shared" si="97"/>
        <v/>
      </c>
      <c r="ES657" s="1070" t="str">
        <f t="shared" si="98"/>
        <v/>
      </c>
      <c r="ET657" s="1070" t="str">
        <f t="shared" si="99"/>
        <v/>
      </c>
      <c r="EU657" s="1070" t="str">
        <f t="shared" si="100"/>
        <v/>
      </c>
      <c r="EV657" s="831" t="str">
        <f t="shared" si="101"/>
        <v/>
      </c>
      <c r="EW657" s="831" t="str">
        <f t="shared" si="102"/>
        <v/>
      </c>
      <c r="EX657" s="831" t="str">
        <f t="shared" si="103"/>
        <v/>
      </c>
      <c r="EY657" s="831" t="str">
        <f t="shared" si="104"/>
        <v/>
      </c>
      <c r="EZ657" s="831" t="str">
        <f t="shared" si="105"/>
        <v/>
      </c>
      <c r="FA657" s="831" t="str">
        <f t="shared" si="106"/>
        <v/>
      </c>
      <c r="FB657" s="831" t="str">
        <f t="shared" si="107"/>
        <v/>
      </c>
      <c r="FC657" s="831" t="str">
        <f t="shared" si="108"/>
        <v/>
      </c>
      <c r="FD657" s="831" t="str">
        <f t="shared" si="109"/>
        <v/>
      </c>
      <c r="FE657" s="831" t="str">
        <f t="shared" si="110"/>
        <v/>
      </c>
      <c r="FF657" s="831" t="str">
        <f t="shared" si="111"/>
        <v/>
      </c>
      <c r="FG657" s="831" t="str">
        <f t="shared" si="112"/>
        <v/>
      </c>
      <c r="FH657" s="831" t="str">
        <f t="shared" si="113"/>
        <v/>
      </c>
      <c r="FI657" s="831" t="str">
        <f t="shared" si="114"/>
        <v/>
      </c>
      <c r="FJ657" s="831" t="str">
        <f t="shared" si="115"/>
        <v/>
      </c>
      <c r="FK657" s="831" t="str">
        <f t="shared" si="116"/>
        <v/>
      </c>
      <c r="FL657" s="831" t="str">
        <f t="shared" si="117"/>
        <v/>
      </c>
      <c r="FM657" s="831" t="str">
        <f t="shared" si="118"/>
        <v/>
      </c>
      <c r="FN657" s="831" t="str">
        <f t="shared" si="119"/>
        <v/>
      </c>
      <c r="FO657" s="831" t="str">
        <f t="shared" si="120"/>
        <v/>
      </c>
      <c r="FP657" s="831" t="str">
        <f t="shared" si="121"/>
        <v/>
      </c>
      <c r="FQ657" s="831" t="str">
        <f t="shared" si="122"/>
        <v/>
      </c>
      <c r="FR657" s="831" t="str">
        <f t="shared" si="123"/>
        <v/>
      </c>
      <c r="FS657" s="831" t="str">
        <f t="shared" si="124"/>
        <v/>
      </c>
      <c r="FT657" s="831" t="str">
        <f t="shared" si="125"/>
        <v/>
      </c>
      <c r="FU657" s="831" t="str">
        <f t="shared" si="126"/>
        <v/>
      </c>
      <c r="FV657" s="831" t="str">
        <f t="shared" si="127"/>
        <v/>
      </c>
      <c r="FW657" s="831" t="str">
        <f t="shared" si="128"/>
        <v/>
      </c>
      <c r="FX657" s="831" t="str">
        <f t="shared" si="129"/>
        <v/>
      </c>
      <c r="FY657" s="831" t="str">
        <f t="shared" si="130"/>
        <v/>
      </c>
      <c r="FZ657" s="831" t="str">
        <f t="shared" si="131"/>
        <v/>
      </c>
      <c r="GA657" s="831" t="str">
        <f t="shared" si="132"/>
        <v/>
      </c>
      <c r="GB657" s="831" t="str">
        <f t="shared" si="133"/>
        <v/>
      </c>
      <c r="GC657" s="831" t="str">
        <f t="shared" si="134"/>
        <v/>
      </c>
      <c r="GD657" s="831" t="str">
        <f t="shared" si="135"/>
        <v/>
      </c>
      <c r="GE657" s="831" t="str">
        <f t="shared" si="136"/>
        <v/>
      </c>
      <c r="GF657" s="831" t="str">
        <f t="shared" si="137"/>
        <v/>
      </c>
      <c r="GG657" s="831" t="str">
        <f t="shared" si="138"/>
        <v/>
      </c>
      <c r="GH657" s="831" t="str">
        <f t="shared" si="139"/>
        <v/>
      </c>
      <c r="GI657" s="831" t="str">
        <f t="shared" si="140"/>
        <v/>
      </c>
      <c r="GJ657" s="831" t="str">
        <f t="shared" si="141"/>
        <v/>
      </c>
      <c r="GK657" s="831" t="str">
        <f t="shared" si="142"/>
        <v/>
      </c>
      <c r="GL657" s="831" t="str">
        <f t="shared" si="143"/>
        <v/>
      </c>
      <c r="GM657" s="831" t="str">
        <f t="shared" si="144"/>
        <v/>
      </c>
      <c r="GN657" s="831" t="str">
        <f t="shared" si="145"/>
        <v/>
      </c>
      <c r="GO657" s="1113" t="str">
        <f t="shared" si="146"/>
        <v/>
      </c>
      <c r="GP657" s="1113" t="str">
        <f t="shared" si="147"/>
        <v/>
      </c>
      <c r="GQ657" s="1113" t="str">
        <f t="shared" si="148"/>
        <v/>
      </c>
      <c r="GR657" s="1113" t="str">
        <f t="shared" si="149"/>
        <v/>
      </c>
      <c r="GS657" s="1113" t="str">
        <f t="shared" si="150"/>
        <v/>
      </c>
      <c r="GT657" s="1070" t="str">
        <f t="shared" si="151"/>
        <v/>
      </c>
      <c r="GU657" s="1070" t="str">
        <f t="shared" si="152"/>
        <v/>
      </c>
      <c r="GV657" s="1070" t="str">
        <f t="shared" si="153"/>
        <v/>
      </c>
      <c r="GW657" s="1070" t="str">
        <f t="shared" si="154"/>
        <v/>
      </c>
      <c r="GX657" s="1070" t="str">
        <f t="shared" si="155"/>
        <v/>
      </c>
      <c r="GY657" s="1070" t="str">
        <f t="shared" si="156"/>
        <v/>
      </c>
      <c r="GZ657" s="1070" t="str">
        <f t="shared" si="157"/>
        <v/>
      </c>
      <c r="HA657" s="1070" t="str">
        <f t="shared" si="158"/>
        <v/>
      </c>
      <c r="HB657" s="1070" t="str">
        <f t="shared" si="159"/>
        <v/>
      </c>
      <c r="HC657" s="1070" t="str">
        <f t="shared" si="160"/>
        <v/>
      </c>
      <c r="HD657" s="1070" t="str">
        <f t="shared" si="161"/>
        <v/>
      </c>
      <c r="HE657" s="1070" t="str">
        <f t="shared" si="162"/>
        <v/>
      </c>
      <c r="HF657" s="1070" t="str">
        <f t="shared" si="163"/>
        <v/>
      </c>
      <c r="HG657" s="1070" t="str">
        <f t="shared" si="164"/>
        <v/>
      </c>
      <c r="HH657" s="1070" t="str">
        <f t="shared" si="165"/>
        <v/>
      </c>
      <c r="HI657" s="1070" t="str">
        <f t="shared" si="166"/>
        <v/>
      </c>
      <c r="HJ657" s="1070" t="str">
        <f t="shared" si="167"/>
        <v/>
      </c>
      <c r="HK657" s="1070" t="str">
        <f t="shared" si="168"/>
        <v/>
      </c>
      <c r="HL657" s="1070" t="str">
        <f t="shared" si="169"/>
        <v/>
      </c>
      <c r="HM657" s="1070" t="str">
        <f t="shared" si="170"/>
        <v/>
      </c>
    </row>
    <row r="658" spans="1:221" ht="13.15" customHeight="1">
      <c r="A658" s="1082" t="str">
        <f t="shared" si="171"/>
        <v/>
      </c>
      <c r="B658" s="1035" t="str">
        <f>'Part VI-Revenues &amp; Expenses'!B24</f>
        <v>&lt;&lt;Select&gt;&gt;</v>
      </c>
      <c r="C658" s="1036">
        <f>'Part VI-Revenues &amp; Expenses'!C24</f>
        <v>0</v>
      </c>
      <c r="D658" s="1037">
        <f>'Part VI-Revenues &amp; Expenses'!D24</f>
        <v>0</v>
      </c>
      <c r="E658" s="1038">
        <f>'Part VI-Revenues &amp; Expenses'!E24</f>
        <v>0</v>
      </c>
      <c r="F658" s="1038">
        <f>'Part VI-Revenues &amp; Expenses'!F24</f>
        <v>0</v>
      </c>
      <c r="G658" s="1038">
        <f>'Part VI-Revenues &amp; Expenses'!G24</f>
        <v>0</v>
      </c>
      <c r="H658" s="1038">
        <f>'Part VI-Revenues &amp; Expenses'!H24</f>
        <v>0</v>
      </c>
      <c r="I658" s="1038">
        <f>'Part VI-Revenues &amp; Expenses'!I24</f>
        <v>0</v>
      </c>
      <c r="J658" s="1101">
        <f>'Part VI-Revenues &amp; Expenses'!J24</f>
        <v>0</v>
      </c>
      <c r="K658" s="906">
        <f t="shared" si="172"/>
        <v>0</v>
      </c>
      <c r="L658" s="906">
        <f t="shared" si="0"/>
        <v>0</v>
      </c>
      <c r="M658" s="829">
        <f>'Part VI-Revenues &amp; Expenses'!M24</f>
        <v>0</v>
      </c>
      <c r="N658" s="829">
        <f>'Part VI-Revenues &amp; Expenses'!N24</f>
        <v>0</v>
      </c>
      <c r="O658" s="829">
        <f>'Part VI-Revenues &amp; Expenses'!O24</f>
        <v>0</v>
      </c>
      <c r="P658" s="907">
        <f t="shared" si="203"/>
        <v>0</v>
      </c>
      <c r="Q658" s="908" t="str">
        <f>'Part VI-Revenues &amp; Expenses'!Q24</f>
        <v/>
      </c>
      <c r="R658" s="907"/>
      <c r="S658" s="908"/>
      <c r="T658" s="1575"/>
      <c r="U658" s="1575"/>
      <c r="V658" s="1070" t="str">
        <f t="shared" si="1"/>
        <v/>
      </c>
      <c r="W658" s="1070" t="str">
        <f t="shared" si="2"/>
        <v/>
      </c>
      <c r="X658" s="1070" t="str">
        <f t="shared" si="3"/>
        <v/>
      </c>
      <c r="Y658" s="1070" t="str">
        <f t="shared" si="4"/>
        <v/>
      </c>
      <c r="Z658" s="1070" t="str">
        <f t="shared" si="5"/>
        <v/>
      </c>
      <c r="AA658" s="1070" t="str">
        <f t="shared" si="6"/>
        <v/>
      </c>
      <c r="AB658" s="1070" t="str">
        <f t="shared" si="7"/>
        <v/>
      </c>
      <c r="AC658" s="1070" t="str">
        <f t="shared" si="8"/>
        <v/>
      </c>
      <c r="AD658" s="1070" t="str">
        <f t="shared" si="9"/>
        <v/>
      </c>
      <c r="AE658" s="1070" t="str">
        <f t="shared" si="10"/>
        <v/>
      </c>
      <c r="AF658" s="1070" t="str">
        <f t="shared" si="11"/>
        <v/>
      </c>
      <c r="AG658" s="1070" t="str">
        <f t="shared" si="12"/>
        <v/>
      </c>
      <c r="AH658" s="1070" t="str">
        <f t="shared" si="13"/>
        <v/>
      </c>
      <c r="AI658" s="1070" t="str">
        <f t="shared" si="14"/>
        <v/>
      </c>
      <c r="AJ658" s="1070" t="str">
        <f t="shared" si="15"/>
        <v/>
      </c>
      <c r="AK658" s="1070" t="str">
        <f t="shared" si="16"/>
        <v/>
      </c>
      <c r="AL658" s="1070" t="str">
        <f t="shared" si="17"/>
        <v/>
      </c>
      <c r="AM658" s="1070" t="str">
        <f t="shared" si="18"/>
        <v/>
      </c>
      <c r="AN658" s="1070" t="str">
        <f t="shared" si="19"/>
        <v/>
      </c>
      <c r="AO658" s="1070" t="str">
        <f t="shared" si="20"/>
        <v/>
      </c>
      <c r="AP658" s="1070" t="str">
        <f t="shared" si="173"/>
        <v/>
      </c>
      <c r="AQ658" s="1070" t="str">
        <f t="shared" si="174"/>
        <v/>
      </c>
      <c r="AR658" s="1070" t="str">
        <f t="shared" si="175"/>
        <v/>
      </c>
      <c r="AS658" s="1070" t="str">
        <f t="shared" si="176"/>
        <v/>
      </c>
      <c r="AT658" s="1070" t="str">
        <f t="shared" si="177"/>
        <v/>
      </c>
      <c r="AU658" s="1070" t="str">
        <f t="shared" si="178"/>
        <v/>
      </c>
      <c r="AV658" s="1070" t="str">
        <f t="shared" si="179"/>
        <v/>
      </c>
      <c r="AW658" s="1070" t="str">
        <f t="shared" si="180"/>
        <v/>
      </c>
      <c r="AX658" s="1070" t="str">
        <f t="shared" si="181"/>
        <v/>
      </c>
      <c r="AY658" s="1070" t="str">
        <f t="shared" si="182"/>
        <v/>
      </c>
      <c r="AZ658" s="1070" t="str">
        <f t="shared" si="183"/>
        <v/>
      </c>
      <c r="BA658" s="1070" t="str">
        <f t="shared" si="184"/>
        <v/>
      </c>
      <c r="BB658" s="1070" t="str">
        <f t="shared" si="185"/>
        <v/>
      </c>
      <c r="BC658" s="1070" t="str">
        <f t="shared" si="186"/>
        <v/>
      </c>
      <c r="BD658" s="1070" t="str">
        <f t="shared" si="187"/>
        <v/>
      </c>
      <c r="BE658" s="1070" t="str">
        <f t="shared" si="188"/>
        <v/>
      </c>
      <c r="BF658" s="1070" t="str">
        <f t="shared" si="189"/>
        <v/>
      </c>
      <c r="BG658" s="1070" t="str">
        <f t="shared" si="190"/>
        <v/>
      </c>
      <c r="BH658" s="1070" t="str">
        <f t="shared" si="191"/>
        <v/>
      </c>
      <c r="BI658" s="1070" t="str">
        <f t="shared" si="192"/>
        <v/>
      </c>
      <c r="BJ658" s="1070" t="str">
        <f t="shared" si="193"/>
        <v/>
      </c>
      <c r="BK658" s="1070" t="str">
        <f t="shared" si="194"/>
        <v/>
      </c>
      <c r="BL658" s="1070" t="str">
        <f t="shared" si="195"/>
        <v/>
      </c>
      <c r="BM658" s="1070" t="str">
        <f t="shared" si="196"/>
        <v/>
      </c>
      <c r="BN658" s="1070" t="str">
        <f t="shared" si="197"/>
        <v/>
      </c>
      <c r="BO658" s="1070" t="str">
        <f t="shared" si="198"/>
        <v/>
      </c>
      <c r="BP658" s="1070" t="str">
        <f t="shared" si="199"/>
        <v/>
      </c>
      <c r="BQ658" s="1070" t="str">
        <f t="shared" si="200"/>
        <v/>
      </c>
      <c r="BR658" s="1070" t="str">
        <f t="shared" si="201"/>
        <v/>
      </c>
      <c r="BS658" s="1070" t="str">
        <f t="shared" si="202"/>
        <v/>
      </c>
      <c r="BT658" s="1070" t="str">
        <f t="shared" si="21"/>
        <v/>
      </c>
      <c r="BU658" s="1070" t="str">
        <f t="shared" si="22"/>
        <v/>
      </c>
      <c r="BV658" s="1070" t="str">
        <f t="shared" si="23"/>
        <v/>
      </c>
      <c r="BW658" s="1070" t="str">
        <f t="shared" si="24"/>
        <v/>
      </c>
      <c r="BX658" s="1070" t="str">
        <f t="shared" si="25"/>
        <v/>
      </c>
      <c r="BY658" s="1070" t="str">
        <f t="shared" si="26"/>
        <v/>
      </c>
      <c r="BZ658" s="1070" t="str">
        <f t="shared" si="27"/>
        <v/>
      </c>
      <c r="CA658" s="1070" t="str">
        <f t="shared" si="28"/>
        <v/>
      </c>
      <c r="CB658" s="1070" t="str">
        <f t="shared" si="29"/>
        <v/>
      </c>
      <c r="CC658" s="1070" t="str">
        <f t="shared" si="30"/>
        <v/>
      </c>
      <c r="CD658" s="1070" t="str">
        <f t="shared" si="31"/>
        <v/>
      </c>
      <c r="CE658" s="1070" t="str">
        <f t="shared" si="32"/>
        <v/>
      </c>
      <c r="CF658" s="1070" t="str">
        <f t="shared" si="33"/>
        <v/>
      </c>
      <c r="CG658" s="1070" t="str">
        <f t="shared" si="34"/>
        <v/>
      </c>
      <c r="CH658" s="1070" t="str">
        <f t="shared" si="35"/>
        <v/>
      </c>
      <c r="CI658" s="1070" t="str">
        <f t="shared" si="36"/>
        <v/>
      </c>
      <c r="CJ658" s="1070" t="str">
        <f t="shared" si="37"/>
        <v/>
      </c>
      <c r="CK658" s="1070" t="str">
        <f t="shared" si="38"/>
        <v/>
      </c>
      <c r="CL658" s="1070" t="str">
        <f t="shared" si="39"/>
        <v/>
      </c>
      <c r="CM658" s="1070" t="str">
        <f t="shared" si="40"/>
        <v/>
      </c>
      <c r="CN658" s="1070" t="str">
        <f t="shared" si="41"/>
        <v/>
      </c>
      <c r="CO658" s="1070" t="str">
        <f t="shared" si="42"/>
        <v/>
      </c>
      <c r="CP658" s="1070" t="str">
        <f t="shared" si="43"/>
        <v/>
      </c>
      <c r="CQ658" s="1070" t="str">
        <f t="shared" si="44"/>
        <v/>
      </c>
      <c r="CR658" s="1070" t="str">
        <f t="shared" si="45"/>
        <v/>
      </c>
      <c r="CS658" s="1070" t="str">
        <f t="shared" si="46"/>
        <v/>
      </c>
      <c r="CT658" s="1070" t="str">
        <f t="shared" si="47"/>
        <v/>
      </c>
      <c r="CU658" s="1070" t="str">
        <f t="shared" si="48"/>
        <v/>
      </c>
      <c r="CV658" s="1070" t="str">
        <f t="shared" si="49"/>
        <v/>
      </c>
      <c r="CW658" s="1070" t="str">
        <f t="shared" si="50"/>
        <v/>
      </c>
      <c r="CX658" s="1070" t="str">
        <f t="shared" si="51"/>
        <v/>
      </c>
      <c r="CY658" s="1070" t="str">
        <f t="shared" si="52"/>
        <v/>
      </c>
      <c r="CZ658" s="1070" t="str">
        <f t="shared" si="53"/>
        <v/>
      </c>
      <c r="DA658" s="1070" t="str">
        <f t="shared" si="54"/>
        <v/>
      </c>
      <c r="DB658" s="1070" t="str">
        <f t="shared" si="55"/>
        <v/>
      </c>
      <c r="DC658" s="1070" t="str">
        <f t="shared" si="56"/>
        <v/>
      </c>
      <c r="DD658" s="1070" t="str">
        <f t="shared" si="57"/>
        <v/>
      </c>
      <c r="DE658" s="1070" t="str">
        <f t="shared" si="58"/>
        <v/>
      </c>
      <c r="DF658" s="1070" t="str">
        <f t="shared" si="59"/>
        <v/>
      </c>
      <c r="DG658" s="1070" t="str">
        <f t="shared" si="60"/>
        <v/>
      </c>
      <c r="DH658" s="1070" t="str">
        <f t="shared" si="61"/>
        <v/>
      </c>
      <c r="DI658" s="1070" t="str">
        <f t="shared" si="62"/>
        <v/>
      </c>
      <c r="DJ658" s="1070" t="str">
        <f t="shared" si="63"/>
        <v/>
      </c>
      <c r="DK658" s="1070" t="str">
        <f t="shared" si="64"/>
        <v/>
      </c>
      <c r="DL658" s="1070" t="str">
        <f t="shared" si="65"/>
        <v/>
      </c>
      <c r="DM658" s="1070" t="str">
        <f t="shared" si="66"/>
        <v/>
      </c>
      <c r="DN658" s="1070" t="str">
        <f t="shared" si="67"/>
        <v/>
      </c>
      <c r="DO658" s="1070" t="str">
        <f t="shared" si="68"/>
        <v/>
      </c>
      <c r="DP658" s="1070" t="str">
        <f t="shared" si="69"/>
        <v/>
      </c>
      <c r="DQ658" s="1070" t="str">
        <f t="shared" si="70"/>
        <v/>
      </c>
      <c r="DR658" s="1070" t="str">
        <f t="shared" si="71"/>
        <v/>
      </c>
      <c r="DS658" s="1070" t="str">
        <f t="shared" si="72"/>
        <v/>
      </c>
      <c r="DT658" s="1070" t="str">
        <f t="shared" si="73"/>
        <v/>
      </c>
      <c r="DU658" s="1070" t="str">
        <f t="shared" si="74"/>
        <v/>
      </c>
      <c r="DV658" s="1070" t="str">
        <f t="shared" si="75"/>
        <v/>
      </c>
      <c r="DW658" s="1070" t="str">
        <f t="shared" si="76"/>
        <v/>
      </c>
      <c r="DX658" s="1070" t="str">
        <f t="shared" si="77"/>
        <v/>
      </c>
      <c r="DY658" s="1070" t="str">
        <f t="shared" si="78"/>
        <v/>
      </c>
      <c r="DZ658" s="1070" t="str">
        <f t="shared" si="79"/>
        <v/>
      </c>
      <c r="EA658" s="1070" t="str">
        <f t="shared" si="80"/>
        <v/>
      </c>
      <c r="EB658" s="1070" t="str">
        <f t="shared" si="81"/>
        <v/>
      </c>
      <c r="EC658" s="1070" t="str">
        <f t="shared" si="82"/>
        <v/>
      </c>
      <c r="ED658" s="1070" t="str">
        <f t="shared" si="83"/>
        <v/>
      </c>
      <c r="EE658" s="1070" t="str">
        <f t="shared" si="84"/>
        <v/>
      </c>
      <c r="EF658" s="1070" t="str">
        <f t="shared" si="85"/>
        <v/>
      </c>
      <c r="EG658" s="1070" t="str">
        <f t="shared" si="86"/>
        <v/>
      </c>
      <c r="EH658" s="1070" t="str">
        <f t="shared" si="87"/>
        <v/>
      </c>
      <c r="EI658" s="1070" t="str">
        <f t="shared" si="88"/>
        <v/>
      </c>
      <c r="EJ658" s="1070" t="str">
        <f t="shared" si="89"/>
        <v/>
      </c>
      <c r="EK658" s="1070" t="str">
        <f t="shared" si="90"/>
        <v/>
      </c>
      <c r="EL658" s="1070" t="str">
        <f t="shared" si="91"/>
        <v/>
      </c>
      <c r="EM658" s="1070" t="str">
        <f t="shared" si="92"/>
        <v/>
      </c>
      <c r="EN658" s="1070" t="str">
        <f t="shared" si="93"/>
        <v/>
      </c>
      <c r="EO658" s="1070" t="str">
        <f t="shared" si="94"/>
        <v/>
      </c>
      <c r="EP658" s="1070" t="str">
        <f t="shared" si="95"/>
        <v/>
      </c>
      <c r="EQ658" s="1070" t="str">
        <f t="shared" si="96"/>
        <v/>
      </c>
      <c r="ER658" s="1070" t="str">
        <f t="shared" si="97"/>
        <v/>
      </c>
      <c r="ES658" s="1070" t="str">
        <f t="shared" si="98"/>
        <v/>
      </c>
      <c r="ET658" s="1070" t="str">
        <f t="shared" si="99"/>
        <v/>
      </c>
      <c r="EU658" s="1070" t="str">
        <f t="shared" si="100"/>
        <v/>
      </c>
      <c r="EV658" s="831" t="str">
        <f t="shared" si="101"/>
        <v/>
      </c>
      <c r="EW658" s="831" t="str">
        <f t="shared" si="102"/>
        <v/>
      </c>
      <c r="EX658" s="831" t="str">
        <f t="shared" si="103"/>
        <v/>
      </c>
      <c r="EY658" s="831" t="str">
        <f t="shared" si="104"/>
        <v/>
      </c>
      <c r="EZ658" s="831" t="str">
        <f t="shared" si="105"/>
        <v/>
      </c>
      <c r="FA658" s="831" t="str">
        <f t="shared" si="106"/>
        <v/>
      </c>
      <c r="FB658" s="831" t="str">
        <f t="shared" si="107"/>
        <v/>
      </c>
      <c r="FC658" s="831" t="str">
        <f t="shared" si="108"/>
        <v/>
      </c>
      <c r="FD658" s="831" t="str">
        <f t="shared" si="109"/>
        <v/>
      </c>
      <c r="FE658" s="831" t="str">
        <f t="shared" si="110"/>
        <v/>
      </c>
      <c r="FF658" s="831" t="str">
        <f t="shared" si="111"/>
        <v/>
      </c>
      <c r="FG658" s="831" t="str">
        <f t="shared" si="112"/>
        <v/>
      </c>
      <c r="FH658" s="831" t="str">
        <f t="shared" si="113"/>
        <v/>
      </c>
      <c r="FI658" s="831" t="str">
        <f t="shared" si="114"/>
        <v/>
      </c>
      <c r="FJ658" s="831" t="str">
        <f t="shared" si="115"/>
        <v/>
      </c>
      <c r="FK658" s="831" t="str">
        <f t="shared" si="116"/>
        <v/>
      </c>
      <c r="FL658" s="831" t="str">
        <f t="shared" si="117"/>
        <v/>
      </c>
      <c r="FM658" s="831" t="str">
        <f t="shared" si="118"/>
        <v/>
      </c>
      <c r="FN658" s="831" t="str">
        <f t="shared" si="119"/>
        <v/>
      </c>
      <c r="FO658" s="831" t="str">
        <f t="shared" si="120"/>
        <v/>
      </c>
      <c r="FP658" s="831" t="str">
        <f t="shared" si="121"/>
        <v/>
      </c>
      <c r="FQ658" s="831" t="str">
        <f t="shared" si="122"/>
        <v/>
      </c>
      <c r="FR658" s="831" t="str">
        <f t="shared" si="123"/>
        <v/>
      </c>
      <c r="FS658" s="831" t="str">
        <f t="shared" si="124"/>
        <v/>
      </c>
      <c r="FT658" s="831" t="str">
        <f t="shared" si="125"/>
        <v/>
      </c>
      <c r="FU658" s="831" t="str">
        <f t="shared" si="126"/>
        <v/>
      </c>
      <c r="FV658" s="831" t="str">
        <f t="shared" si="127"/>
        <v/>
      </c>
      <c r="FW658" s="831" t="str">
        <f t="shared" si="128"/>
        <v/>
      </c>
      <c r="FX658" s="831" t="str">
        <f t="shared" si="129"/>
        <v/>
      </c>
      <c r="FY658" s="831" t="str">
        <f t="shared" si="130"/>
        <v/>
      </c>
      <c r="FZ658" s="831" t="str">
        <f t="shared" si="131"/>
        <v/>
      </c>
      <c r="GA658" s="831" t="str">
        <f t="shared" si="132"/>
        <v/>
      </c>
      <c r="GB658" s="831" t="str">
        <f t="shared" si="133"/>
        <v/>
      </c>
      <c r="GC658" s="831" t="str">
        <f t="shared" si="134"/>
        <v/>
      </c>
      <c r="GD658" s="831" t="str">
        <f t="shared" si="135"/>
        <v/>
      </c>
      <c r="GE658" s="831" t="str">
        <f t="shared" si="136"/>
        <v/>
      </c>
      <c r="GF658" s="831" t="str">
        <f t="shared" si="137"/>
        <v/>
      </c>
      <c r="GG658" s="831" t="str">
        <f t="shared" si="138"/>
        <v/>
      </c>
      <c r="GH658" s="831" t="str">
        <f t="shared" si="139"/>
        <v/>
      </c>
      <c r="GI658" s="831" t="str">
        <f t="shared" si="140"/>
        <v/>
      </c>
      <c r="GJ658" s="831" t="str">
        <f t="shared" si="141"/>
        <v/>
      </c>
      <c r="GK658" s="831" t="str">
        <f t="shared" si="142"/>
        <v/>
      </c>
      <c r="GL658" s="831" t="str">
        <f t="shared" si="143"/>
        <v/>
      </c>
      <c r="GM658" s="831" t="str">
        <f t="shared" si="144"/>
        <v/>
      </c>
      <c r="GN658" s="831" t="str">
        <f t="shared" si="145"/>
        <v/>
      </c>
      <c r="GO658" s="1113" t="str">
        <f t="shared" si="146"/>
        <v/>
      </c>
      <c r="GP658" s="1113" t="str">
        <f t="shared" si="147"/>
        <v/>
      </c>
      <c r="GQ658" s="1113" t="str">
        <f t="shared" si="148"/>
        <v/>
      </c>
      <c r="GR658" s="1113" t="str">
        <f t="shared" si="149"/>
        <v/>
      </c>
      <c r="GS658" s="1113" t="str">
        <f t="shared" si="150"/>
        <v/>
      </c>
      <c r="GT658" s="1070" t="str">
        <f t="shared" si="151"/>
        <v/>
      </c>
      <c r="GU658" s="1070" t="str">
        <f t="shared" si="152"/>
        <v/>
      </c>
      <c r="GV658" s="1070" t="str">
        <f t="shared" si="153"/>
        <v/>
      </c>
      <c r="GW658" s="1070" t="str">
        <f t="shared" si="154"/>
        <v/>
      </c>
      <c r="GX658" s="1070" t="str">
        <f t="shared" si="155"/>
        <v/>
      </c>
      <c r="GY658" s="1070" t="str">
        <f t="shared" si="156"/>
        <v/>
      </c>
      <c r="GZ658" s="1070" t="str">
        <f t="shared" si="157"/>
        <v/>
      </c>
      <c r="HA658" s="1070" t="str">
        <f t="shared" si="158"/>
        <v/>
      </c>
      <c r="HB658" s="1070" t="str">
        <f t="shared" si="159"/>
        <v/>
      </c>
      <c r="HC658" s="1070" t="str">
        <f t="shared" si="160"/>
        <v/>
      </c>
      <c r="HD658" s="1070" t="str">
        <f t="shared" si="161"/>
        <v/>
      </c>
      <c r="HE658" s="1070" t="str">
        <f t="shared" si="162"/>
        <v/>
      </c>
      <c r="HF658" s="1070" t="str">
        <f t="shared" si="163"/>
        <v/>
      </c>
      <c r="HG658" s="1070" t="str">
        <f t="shared" si="164"/>
        <v/>
      </c>
      <c r="HH658" s="1070" t="str">
        <f t="shared" si="165"/>
        <v/>
      </c>
      <c r="HI658" s="1070" t="str">
        <f t="shared" si="166"/>
        <v/>
      </c>
      <c r="HJ658" s="1070" t="str">
        <f t="shared" si="167"/>
        <v/>
      </c>
      <c r="HK658" s="1070" t="str">
        <f t="shared" si="168"/>
        <v/>
      </c>
      <c r="HL658" s="1070" t="str">
        <f t="shared" si="169"/>
        <v/>
      </c>
      <c r="HM658" s="1070" t="str">
        <f t="shared" si="170"/>
        <v/>
      </c>
    </row>
    <row r="659" spans="1:221" ht="13.15" customHeight="1">
      <c r="A659" s="1082" t="str">
        <f t="shared" si="171"/>
        <v/>
      </c>
      <c r="B659" s="1035" t="str">
        <f>'Part VI-Revenues &amp; Expenses'!B25</f>
        <v>&lt;&lt;Select&gt;&gt;</v>
      </c>
      <c r="C659" s="1036">
        <f>'Part VI-Revenues &amp; Expenses'!C25</f>
        <v>0</v>
      </c>
      <c r="D659" s="1037">
        <f>'Part VI-Revenues &amp; Expenses'!D25</f>
        <v>0</v>
      </c>
      <c r="E659" s="1038">
        <f>'Part VI-Revenues &amp; Expenses'!E25</f>
        <v>0</v>
      </c>
      <c r="F659" s="1038">
        <f>'Part VI-Revenues &amp; Expenses'!F25</f>
        <v>0</v>
      </c>
      <c r="G659" s="1038">
        <f>'Part VI-Revenues &amp; Expenses'!G25</f>
        <v>0</v>
      </c>
      <c r="H659" s="1038">
        <f>'Part VI-Revenues &amp; Expenses'!H25</f>
        <v>0</v>
      </c>
      <c r="I659" s="1038">
        <f>'Part VI-Revenues &amp; Expenses'!I25</f>
        <v>0</v>
      </c>
      <c r="J659" s="1101">
        <f>'Part VI-Revenues &amp; Expenses'!J25</f>
        <v>0</v>
      </c>
      <c r="K659" s="906">
        <f t="shared" si="172"/>
        <v>0</v>
      </c>
      <c r="L659" s="906">
        <f t="shared" si="0"/>
        <v>0</v>
      </c>
      <c r="M659" s="829">
        <f>'Part VI-Revenues &amp; Expenses'!M25</f>
        <v>0</v>
      </c>
      <c r="N659" s="829">
        <f>'Part VI-Revenues &amp; Expenses'!N25</f>
        <v>0</v>
      </c>
      <c r="O659" s="829">
        <f>'Part VI-Revenues &amp; Expenses'!O25</f>
        <v>0</v>
      </c>
      <c r="P659" s="907">
        <f t="shared" si="203"/>
        <v>0</v>
      </c>
      <c r="Q659" s="908" t="str">
        <f>'Part VI-Revenues &amp; Expenses'!Q25</f>
        <v/>
      </c>
      <c r="R659" s="907"/>
      <c r="S659" s="908"/>
      <c r="T659" s="1575"/>
      <c r="U659" s="1575"/>
      <c r="V659" s="1070" t="str">
        <f t="shared" si="1"/>
        <v/>
      </c>
      <c r="W659" s="1070" t="str">
        <f t="shared" si="2"/>
        <v/>
      </c>
      <c r="X659" s="1070" t="str">
        <f t="shared" si="3"/>
        <v/>
      </c>
      <c r="Y659" s="1070" t="str">
        <f t="shared" si="4"/>
        <v/>
      </c>
      <c r="Z659" s="1070" t="str">
        <f t="shared" si="5"/>
        <v/>
      </c>
      <c r="AA659" s="1070" t="str">
        <f t="shared" si="6"/>
        <v/>
      </c>
      <c r="AB659" s="1070" t="str">
        <f t="shared" si="7"/>
        <v/>
      </c>
      <c r="AC659" s="1070" t="str">
        <f t="shared" si="8"/>
        <v/>
      </c>
      <c r="AD659" s="1070" t="str">
        <f t="shared" si="9"/>
        <v/>
      </c>
      <c r="AE659" s="1070" t="str">
        <f t="shared" si="10"/>
        <v/>
      </c>
      <c r="AF659" s="1070" t="str">
        <f t="shared" si="11"/>
        <v/>
      </c>
      <c r="AG659" s="1070" t="str">
        <f t="shared" si="12"/>
        <v/>
      </c>
      <c r="AH659" s="1070" t="str">
        <f t="shared" si="13"/>
        <v/>
      </c>
      <c r="AI659" s="1070" t="str">
        <f t="shared" si="14"/>
        <v/>
      </c>
      <c r="AJ659" s="1070" t="str">
        <f t="shared" si="15"/>
        <v/>
      </c>
      <c r="AK659" s="1070" t="str">
        <f t="shared" si="16"/>
        <v/>
      </c>
      <c r="AL659" s="1070" t="str">
        <f t="shared" si="17"/>
        <v/>
      </c>
      <c r="AM659" s="1070" t="str">
        <f t="shared" si="18"/>
        <v/>
      </c>
      <c r="AN659" s="1070" t="str">
        <f t="shared" si="19"/>
        <v/>
      </c>
      <c r="AO659" s="1070" t="str">
        <f t="shared" si="20"/>
        <v/>
      </c>
      <c r="AP659" s="1070" t="str">
        <f t="shared" si="173"/>
        <v/>
      </c>
      <c r="AQ659" s="1070" t="str">
        <f t="shared" si="174"/>
        <v/>
      </c>
      <c r="AR659" s="1070" t="str">
        <f t="shared" si="175"/>
        <v/>
      </c>
      <c r="AS659" s="1070" t="str">
        <f t="shared" si="176"/>
        <v/>
      </c>
      <c r="AT659" s="1070" t="str">
        <f t="shared" si="177"/>
        <v/>
      </c>
      <c r="AU659" s="1070" t="str">
        <f t="shared" si="178"/>
        <v/>
      </c>
      <c r="AV659" s="1070" t="str">
        <f t="shared" si="179"/>
        <v/>
      </c>
      <c r="AW659" s="1070" t="str">
        <f t="shared" si="180"/>
        <v/>
      </c>
      <c r="AX659" s="1070" t="str">
        <f t="shared" si="181"/>
        <v/>
      </c>
      <c r="AY659" s="1070" t="str">
        <f t="shared" si="182"/>
        <v/>
      </c>
      <c r="AZ659" s="1070" t="str">
        <f t="shared" si="183"/>
        <v/>
      </c>
      <c r="BA659" s="1070" t="str">
        <f t="shared" si="184"/>
        <v/>
      </c>
      <c r="BB659" s="1070" t="str">
        <f t="shared" si="185"/>
        <v/>
      </c>
      <c r="BC659" s="1070" t="str">
        <f t="shared" si="186"/>
        <v/>
      </c>
      <c r="BD659" s="1070" t="str">
        <f t="shared" si="187"/>
        <v/>
      </c>
      <c r="BE659" s="1070" t="str">
        <f t="shared" si="188"/>
        <v/>
      </c>
      <c r="BF659" s="1070" t="str">
        <f t="shared" si="189"/>
        <v/>
      </c>
      <c r="BG659" s="1070" t="str">
        <f t="shared" si="190"/>
        <v/>
      </c>
      <c r="BH659" s="1070" t="str">
        <f t="shared" si="191"/>
        <v/>
      </c>
      <c r="BI659" s="1070" t="str">
        <f t="shared" si="192"/>
        <v/>
      </c>
      <c r="BJ659" s="1070" t="str">
        <f t="shared" si="193"/>
        <v/>
      </c>
      <c r="BK659" s="1070" t="str">
        <f t="shared" si="194"/>
        <v/>
      </c>
      <c r="BL659" s="1070" t="str">
        <f t="shared" si="195"/>
        <v/>
      </c>
      <c r="BM659" s="1070" t="str">
        <f t="shared" si="196"/>
        <v/>
      </c>
      <c r="BN659" s="1070" t="str">
        <f t="shared" si="197"/>
        <v/>
      </c>
      <c r="BO659" s="1070" t="str">
        <f t="shared" si="198"/>
        <v/>
      </c>
      <c r="BP659" s="1070" t="str">
        <f t="shared" si="199"/>
        <v/>
      </c>
      <c r="BQ659" s="1070" t="str">
        <f t="shared" si="200"/>
        <v/>
      </c>
      <c r="BR659" s="1070" t="str">
        <f t="shared" si="201"/>
        <v/>
      </c>
      <c r="BS659" s="1070" t="str">
        <f t="shared" si="202"/>
        <v/>
      </c>
      <c r="BT659" s="1070" t="str">
        <f t="shared" si="21"/>
        <v/>
      </c>
      <c r="BU659" s="1070" t="str">
        <f t="shared" si="22"/>
        <v/>
      </c>
      <c r="BV659" s="1070" t="str">
        <f t="shared" si="23"/>
        <v/>
      </c>
      <c r="BW659" s="1070" t="str">
        <f t="shared" si="24"/>
        <v/>
      </c>
      <c r="BX659" s="1070" t="str">
        <f t="shared" si="25"/>
        <v/>
      </c>
      <c r="BY659" s="1070" t="str">
        <f t="shared" si="26"/>
        <v/>
      </c>
      <c r="BZ659" s="1070" t="str">
        <f t="shared" si="27"/>
        <v/>
      </c>
      <c r="CA659" s="1070" t="str">
        <f t="shared" si="28"/>
        <v/>
      </c>
      <c r="CB659" s="1070" t="str">
        <f t="shared" si="29"/>
        <v/>
      </c>
      <c r="CC659" s="1070" t="str">
        <f t="shared" si="30"/>
        <v/>
      </c>
      <c r="CD659" s="1070" t="str">
        <f t="shared" si="31"/>
        <v/>
      </c>
      <c r="CE659" s="1070" t="str">
        <f t="shared" si="32"/>
        <v/>
      </c>
      <c r="CF659" s="1070" t="str">
        <f t="shared" si="33"/>
        <v/>
      </c>
      <c r="CG659" s="1070" t="str">
        <f t="shared" si="34"/>
        <v/>
      </c>
      <c r="CH659" s="1070" t="str">
        <f t="shared" si="35"/>
        <v/>
      </c>
      <c r="CI659" s="1070" t="str">
        <f t="shared" si="36"/>
        <v/>
      </c>
      <c r="CJ659" s="1070" t="str">
        <f t="shared" si="37"/>
        <v/>
      </c>
      <c r="CK659" s="1070" t="str">
        <f t="shared" si="38"/>
        <v/>
      </c>
      <c r="CL659" s="1070" t="str">
        <f t="shared" si="39"/>
        <v/>
      </c>
      <c r="CM659" s="1070" t="str">
        <f t="shared" si="40"/>
        <v/>
      </c>
      <c r="CN659" s="1070" t="str">
        <f t="shared" si="41"/>
        <v/>
      </c>
      <c r="CO659" s="1070" t="str">
        <f t="shared" si="42"/>
        <v/>
      </c>
      <c r="CP659" s="1070" t="str">
        <f t="shared" si="43"/>
        <v/>
      </c>
      <c r="CQ659" s="1070" t="str">
        <f t="shared" si="44"/>
        <v/>
      </c>
      <c r="CR659" s="1070" t="str">
        <f t="shared" si="45"/>
        <v/>
      </c>
      <c r="CS659" s="1070" t="str">
        <f t="shared" si="46"/>
        <v/>
      </c>
      <c r="CT659" s="1070" t="str">
        <f t="shared" si="47"/>
        <v/>
      </c>
      <c r="CU659" s="1070" t="str">
        <f t="shared" si="48"/>
        <v/>
      </c>
      <c r="CV659" s="1070" t="str">
        <f t="shared" si="49"/>
        <v/>
      </c>
      <c r="CW659" s="1070" t="str">
        <f t="shared" si="50"/>
        <v/>
      </c>
      <c r="CX659" s="1070" t="str">
        <f t="shared" si="51"/>
        <v/>
      </c>
      <c r="CY659" s="1070" t="str">
        <f t="shared" si="52"/>
        <v/>
      </c>
      <c r="CZ659" s="1070" t="str">
        <f t="shared" si="53"/>
        <v/>
      </c>
      <c r="DA659" s="1070" t="str">
        <f t="shared" si="54"/>
        <v/>
      </c>
      <c r="DB659" s="1070" t="str">
        <f t="shared" si="55"/>
        <v/>
      </c>
      <c r="DC659" s="1070" t="str">
        <f t="shared" si="56"/>
        <v/>
      </c>
      <c r="DD659" s="1070" t="str">
        <f t="shared" si="57"/>
        <v/>
      </c>
      <c r="DE659" s="1070" t="str">
        <f t="shared" si="58"/>
        <v/>
      </c>
      <c r="DF659" s="1070" t="str">
        <f t="shared" si="59"/>
        <v/>
      </c>
      <c r="DG659" s="1070" t="str">
        <f t="shared" si="60"/>
        <v/>
      </c>
      <c r="DH659" s="1070" t="str">
        <f t="shared" si="61"/>
        <v/>
      </c>
      <c r="DI659" s="1070" t="str">
        <f t="shared" si="62"/>
        <v/>
      </c>
      <c r="DJ659" s="1070" t="str">
        <f t="shared" si="63"/>
        <v/>
      </c>
      <c r="DK659" s="1070" t="str">
        <f t="shared" si="64"/>
        <v/>
      </c>
      <c r="DL659" s="1070" t="str">
        <f t="shared" si="65"/>
        <v/>
      </c>
      <c r="DM659" s="1070" t="str">
        <f t="shared" si="66"/>
        <v/>
      </c>
      <c r="DN659" s="1070" t="str">
        <f t="shared" si="67"/>
        <v/>
      </c>
      <c r="DO659" s="1070" t="str">
        <f t="shared" si="68"/>
        <v/>
      </c>
      <c r="DP659" s="1070" t="str">
        <f t="shared" si="69"/>
        <v/>
      </c>
      <c r="DQ659" s="1070" t="str">
        <f t="shared" si="70"/>
        <v/>
      </c>
      <c r="DR659" s="1070" t="str">
        <f t="shared" si="71"/>
        <v/>
      </c>
      <c r="DS659" s="1070" t="str">
        <f t="shared" si="72"/>
        <v/>
      </c>
      <c r="DT659" s="1070" t="str">
        <f t="shared" si="73"/>
        <v/>
      </c>
      <c r="DU659" s="1070" t="str">
        <f t="shared" si="74"/>
        <v/>
      </c>
      <c r="DV659" s="1070" t="str">
        <f t="shared" si="75"/>
        <v/>
      </c>
      <c r="DW659" s="1070" t="str">
        <f t="shared" si="76"/>
        <v/>
      </c>
      <c r="DX659" s="1070" t="str">
        <f t="shared" si="77"/>
        <v/>
      </c>
      <c r="DY659" s="1070" t="str">
        <f t="shared" si="78"/>
        <v/>
      </c>
      <c r="DZ659" s="1070" t="str">
        <f t="shared" si="79"/>
        <v/>
      </c>
      <c r="EA659" s="1070" t="str">
        <f t="shared" si="80"/>
        <v/>
      </c>
      <c r="EB659" s="1070" t="str">
        <f t="shared" si="81"/>
        <v/>
      </c>
      <c r="EC659" s="1070" t="str">
        <f t="shared" si="82"/>
        <v/>
      </c>
      <c r="ED659" s="1070" t="str">
        <f t="shared" si="83"/>
        <v/>
      </c>
      <c r="EE659" s="1070" t="str">
        <f t="shared" si="84"/>
        <v/>
      </c>
      <c r="EF659" s="1070" t="str">
        <f t="shared" si="85"/>
        <v/>
      </c>
      <c r="EG659" s="1070" t="str">
        <f t="shared" si="86"/>
        <v/>
      </c>
      <c r="EH659" s="1070" t="str">
        <f t="shared" si="87"/>
        <v/>
      </c>
      <c r="EI659" s="1070" t="str">
        <f t="shared" si="88"/>
        <v/>
      </c>
      <c r="EJ659" s="1070" t="str">
        <f t="shared" si="89"/>
        <v/>
      </c>
      <c r="EK659" s="1070" t="str">
        <f t="shared" si="90"/>
        <v/>
      </c>
      <c r="EL659" s="1070" t="str">
        <f t="shared" si="91"/>
        <v/>
      </c>
      <c r="EM659" s="1070" t="str">
        <f t="shared" si="92"/>
        <v/>
      </c>
      <c r="EN659" s="1070" t="str">
        <f t="shared" si="93"/>
        <v/>
      </c>
      <c r="EO659" s="1070" t="str">
        <f t="shared" si="94"/>
        <v/>
      </c>
      <c r="EP659" s="1070" t="str">
        <f t="shared" si="95"/>
        <v/>
      </c>
      <c r="EQ659" s="1070" t="str">
        <f t="shared" si="96"/>
        <v/>
      </c>
      <c r="ER659" s="1070" t="str">
        <f t="shared" si="97"/>
        <v/>
      </c>
      <c r="ES659" s="1070" t="str">
        <f t="shared" si="98"/>
        <v/>
      </c>
      <c r="ET659" s="1070" t="str">
        <f t="shared" si="99"/>
        <v/>
      </c>
      <c r="EU659" s="1070" t="str">
        <f t="shared" si="100"/>
        <v/>
      </c>
      <c r="EV659" s="831" t="str">
        <f t="shared" si="101"/>
        <v/>
      </c>
      <c r="EW659" s="831" t="str">
        <f t="shared" si="102"/>
        <v/>
      </c>
      <c r="EX659" s="831" t="str">
        <f t="shared" si="103"/>
        <v/>
      </c>
      <c r="EY659" s="831" t="str">
        <f t="shared" si="104"/>
        <v/>
      </c>
      <c r="EZ659" s="831" t="str">
        <f t="shared" si="105"/>
        <v/>
      </c>
      <c r="FA659" s="831" t="str">
        <f t="shared" si="106"/>
        <v/>
      </c>
      <c r="FB659" s="831" t="str">
        <f t="shared" si="107"/>
        <v/>
      </c>
      <c r="FC659" s="831" t="str">
        <f t="shared" si="108"/>
        <v/>
      </c>
      <c r="FD659" s="831" t="str">
        <f t="shared" si="109"/>
        <v/>
      </c>
      <c r="FE659" s="831" t="str">
        <f t="shared" si="110"/>
        <v/>
      </c>
      <c r="FF659" s="831" t="str">
        <f t="shared" si="111"/>
        <v/>
      </c>
      <c r="FG659" s="831" t="str">
        <f t="shared" si="112"/>
        <v/>
      </c>
      <c r="FH659" s="831" t="str">
        <f t="shared" si="113"/>
        <v/>
      </c>
      <c r="FI659" s="831" t="str">
        <f t="shared" si="114"/>
        <v/>
      </c>
      <c r="FJ659" s="831" t="str">
        <f t="shared" si="115"/>
        <v/>
      </c>
      <c r="FK659" s="831" t="str">
        <f t="shared" si="116"/>
        <v/>
      </c>
      <c r="FL659" s="831" t="str">
        <f t="shared" si="117"/>
        <v/>
      </c>
      <c r="FM659" s="831" t="str">
        <f t="shared" si="118"/>
        <v/>
      </c>
      <c r="FN659" s="831" t="str">
        <f t="shared" si="119"/>
        <v/>
      </c>
      <c r="FO659" s="831" t="str">
        <f t="shared" si="120"/>
        <v/>
      </c>
      <c r="FP659" s="831" t="str">
        <f t="shared" si="121"/>
        <v/>
      </c>
      <c r="FQ659" s="831" t="str">
        <f t="shared" si="122"/>
        <v/>
      </c>
      <c r="FR659" s="831" t="str">
        <f t="shared" si="123"/>
        <v/>
      </c>
      <c r="FS659" s="831" t="str">
        <f t="shared" si="124"/>
        <v/>
      </c>
      <c r="FT659" s="831" t="str">
        <f t="shared" si="125"/>
        <v/>
      </c>
      <c r="FU659" s="831" t="str">
        <f t="shared" si="126"/>
        <v/>
      </c>
      <c r="FV659" s="831" t="str">
        <f t="shared" si="127"/>
        <v/>
      </c>
      <c r="FW659" s="831" t="str">
        <f t="shared" si="128"/>
        <v/>
      </c>
      <c r="FX659" s="831" t="str">
        <f t="shared" si="129"/>
        <v/>
      </c>
      <c r="FY659" s="831" t="str">
        <f t="shared" si="130"/>
        <v/>
      </c>
      <c r="FZ659" s="831" t="str">
        <f t="shared" si="131"/>
        <v/>
      </c>
      <c r="GA659" s="831" t="str">
        <f t="shared" si="132"/>
        <v/>
      </c>
      <c r="GB659" s="831" t="str">
        <f t="shared" si="133"/>
        <v/>
      </c>
      <c r="GC659" s="831" t="str">
        <f t="shared" si="134"/>
        <v/>
      </c>
      <c r="GD659" s="831" t="str">
        <f t="shared" si="135"/>
        <v/>
      </c>
      <c r="GE659" s="831" t="str">
        <f t="shared" si="136"/>
        <v/>
      </c>
      <c r="GF659" s="831" t="str">
        <f t="shared" si="137"/>
        <v/>
      </c>
      <c r="GG659" s="831" t="str">
        <f t="shared" si="138"/>
        <v/>
      </c>
      <c r="GH659" s="831" t="str">
        <f t="shared" si="139"/>
        <v/>
      </c>
      <c r="GI659" s="831" t="str">
        <f t="shared" si="140"/>
        <v/>
      </c>
      <c r="GJ659" s="831" t="str">
        <f t="shared" si="141"/>
        <v/>
      </c>
      <c r="GK659" s="831" t="str">
        <f t="shared" si="142"/>
        <v/>
      </c>
      <c r="GL659" s="831" t="str">
        <f t="shared" si="143"/>
        <v/>
      </c>
      <c r="GM659" s="831" t="str">
        <f t="shared" si="144"/>
        <v/>
      </c>
      <c r="GN659" s="831" t="str">
        <f t="shared" si="145"/>
        <v/>
      </c>
      <c r="GO659" s="1113" t="str">
        <f t="shared" si="146"/>
        <v/>
      </c>
      <c r="GP659" s="1113" t="str">
        <f t="shared" si="147"/>
        <v/>
      </c>
      <c r="GQ659" s="1113" t="str">
        <f t="shared" si="148"/>
        <v/>
      </c>
      <c r="GR659" s="1113" t="str">
        <f t="shared" si="149"/>
        <v/>
      </c>
      <c r="GS659" s="1113" t="str">
        <f t="shared" si="150"/>
        <v/>
      </c>
      <c r="GT659" s="1070" t="str">
        <f t="shared" si="151"/>
        <v/>
      </c>
      <c r="GU659" s="1070" t="str">
        <f t="shared" si="152"/>
        <v/>
      </c>
      <c r="GV659" s="1070" t="str">
        <f t="shared" si="153"/>
        <v/>
      </c>
      <c r="GW659" s="1070" t="str">
        <f t="shared" si="154"/>
        <v/>
      </c>
      <c r="GX659" s="1070" t="str">
        <f t="shared" si="155"/>
        <v/>
      </c>
      <c r="GY659" s="1070" t="str">
        <f t="shared" si="156"/>
        <v/>
      </c>
      <c r="GZ659" s="1070" t="str">
        <f t="shared" si="157"/>
        <v/>
      </c>
      <c r="HA659" s="1070" t="str">
        <f t="shared" si="158"/>
        <v/>
      </c>
      <c r="HB659" s="1070" t="str">
        <f t="shared" si="159"/>
        <v/>
      </c>
      <c r="HC659" s="1070" t="str">
        <f t="shared" si="160"/>
        <v/>
      </c>
      <c r="HD659" s="1070" t="str">
        <f t="shared" si="161"/>
        <v/>
      </c>
      <c r="HE659" s="1070" t="str">
        <f t="shared" si="162"/>
        <v/>
      </c>
      <c r="HF659" s="1070" t="str">
        <f t="shared" si="163"/>
        <v/>
      </c>
      <c r="HG659" s="1070" t="str">
        <f t="shared" si="164"/>
        <v/>
      </c>
      <c r="HH659" s="1070" t="str">
        <f t="shared" si="165"/>
        <v/>
      </c>
      <c r="HI659" s="1070" t="str">
        <f t="shared" si="166"/>
        <v/>
      </c>
      <c r="HJ659" s="1070" t="str">
        <f t="shared" si="167"/>
        <v/>
      </c>
      <c r="HK659" s="1070" t="str">
        <f t="shared" si="168"/>
        <v/>
      </c>
      <c r="HL659" s="1070" t="str">
        <f t="shared" si="169"/>
        <v/>
      </c>
      <c r="HM659" s="1070" t="str">
        <f t="shared" si="170"/>
        <v/>
      </c>
    </row>
    <row r="660" spans="1:221" ht="13.15" customHeight="1">
      <c r="A660" s="1082" t="str">
        <f t="shared" si="171"/>
        <v/>
      </c>
      <c r="B660" s="1035" t="str">
        <f>'Part VI-Revenues &amp; Expenses'!B26</f>
        <v>&lt;&lt;Select&gt;&gt;</v>
      </c>
      <c r="C660" s="1036">
        <f>'Part VI-Revenues &amp; Expenses'!C26</f>
        <v>0</v>
      </c>
      <c r="D660" s="1037">
        <f>'Part VI-Revenues &amp; Expenses'!D26</f>
        <v>0</v>
      </c>
      <c r="E660" s="1038">
        <f>'Part VI-Revenues &amp; Expenses'!E26</f>
        <v>0</v>
      </c>
      <c r="F660" s="1038">
        <f>'Part VI-Revenues &amp; Expenses'!F26</f>
        <v>0</v>
      </c>
      <c r="G660" s="1038">
        <f>'Part VI-Revenues &amp; Expenses'!G26</f>
        <v>0</v>
      </c>
      <c r="H660" s="1038">
        <f>'Part VI-Revenues &amp; Expenses'!H26</f>
        <v>0</v>
      </c>
      <c r="I660" s="1038">
        <f>'Part VI-Revenues &amp; Expenses'!I26</f>
        <v>0</v>
      </c>
      <c r="J660" s="1101">
        <f>'Part VI-Revenues &amp; Expenses'!J26</f>
        <v>0</v>
      </c>
      <c r="K660" s="906">
        <f t="shared" si="172"/>
        <v>0</v>
      </c>
      <c r="L660" s="906">
        <f t="shared" si="0"/>
        <v>0</v>
      </c>
      <c r="M660" s="829">
        <f>'Part VI-Revenues &amp; Expenses'!M26</f>
        <v>0</v>
      </c>
      <c r="N660" s="829">
        <f>'Part VI-Revenues &amp; Expenses'!N26</f>
        <v>0</v>
      </c>
      <c r="O660" s="829">
        <f>'Part VI-Revenues &amp; Expenses'!O26</f>
        <v>0</v>
      </c>
      <c r="P660" s="907">
        <f t="shared" si="203"/>
        <v>0</v>
      </c>
      <c r="Q660" s="908" t="str">
        <f>'Part VI-Revenues &amp; Expenses'!Q26</f>
        <v/>
      </c>
      <c r="R660" s="907"/>
      <c r="S660" s="908"/>
      <c r="T660" s="1575"/>
      <c r="U660" s="1575"/>
      <c r="V660" s="1070" t="str">
        <f t="shared" si="1"/>
        <v/>
      </c>
      <c r="W660" s="1070" t="str">
        <f t="shared" si="2"/>
        <v/>
      </c>
      <c r="X660" s="1070" t="str">
        <f t="shared" si="3"/>
        <v/>
      </c>
      <c r="Y660" s="1070" t="str">
        <f t="shared" si="4"/>
        <v/>
      </c>
      <c r="Z660" s="1070" t="str">
        <f t="shared" si="5"/>
        <v/>
      </c>
      <c r="AA660" s="1070" t="str">
        <f t="shared" si="6"/>
        <v/>
      </c>
      <c r="AB660" s="1070" t="str">
        <f t="shared" si="7"/>
        <v/>
      </c>
      <c r="AC660" s="1070" t="str">
        <f t="shared" si="8"/>
        <v/>
      </c>
      <c r="AD660" s="1070" t="str">
        <f t="shared" si="9"/>
        <v/>
      </c>
      <c r="AE660" s="1070" t="str">
        <f t="shared" si="10"/>
        <v/>
      </c>
      <c r="AF660" s="1070" t="str">
        <f t="shared" si="11"/>
        <v/>
      </c>
      <c r="AG660" s="1070" t="str">
        <f t="shared" si="12"/>
        <v/>
      </c>
      <c r="AH660" s="1070" t="str">
        <f t="shared" si="13"/>
        <v/>
      </c>
      <c r="AI660" s="1070" t="str">
        <f t="shared" si="14"/>
        <v/>
      </c>
      <c r="AJ660" s="1070" t="str">
        <f t="shared" si="15"/>
        <v/>
      </c>
      <c r="AK660" s="1070" t="str">
        <f t="shared" si="16"/>
        <v/>
      </c>
      <c r="AL660" s="1070" t="str">
        <f t="shared" si="17"/>
        <v/>
      </c>
      <c r="AM660" s="1070" t="str">
        <f t="shared" si="18"/>
        <v/>
      </c>
      <c r="AN660" s="1070" t="str">
        <f t="shared" si="19"/>
        <v/>
      </c>
      <c r="AO660" s="1070" t="str">
        <f t="shared" si="20"/>
        <v/>
      </c>
      <c r="AP660" s="1070" t="str">
        <f t="shared" si="173"/>
        <v/>
      </c>
      <c r="AQ660" s="1070" t="str">
        <f t="shared" si="174"/>
        <v/>
      </c>
      <c r="AR660" s="1070" t="str">
        <f t="shared" si="175"/>
        <v/>
      </c>
      <c r="AS660" s="1070" t="str">
        <f t="shared" si="176"/>
        <v/>
      </c>
      <c r="AT660" s="1070" t="str">
        <f t="shared" si="177"/>
        <v/>
      </c>
      <c r="AU660" s="1070" t="str">
        <f t="shared" si="178"/>
        <v/>
      </c>
      <c r="AV660" s="1070" t="str">
        <f t="shared" si="179"/>
        <v/>
      </c>
      <c r="AW660" s="1070" t="str">
        <f t="shared" si="180"/>
        <v/>
      </c>
      <c r="AX660" s="1070" t="str">
        <f t="shared" si="181"/>
        <v/>
      </c>
      <c r="AY660" s="1070" t="str">
        <f t="shared" si="182"/>
        <v/>
      </c>
      <c r="AZ660" s="1070" t="str">
        <f t="shared" si="183"/>
        <v/>
      </c>
      <c r="BA660" s="1070" t="str">
        <f t="shared" si="184"/>
        <v/>
      </c>
      <c r="BB660" s="1070" t="str">
        <f t="shared" si="185"/>
        <v/>
      </c>
      <c r="BC660" s="1070" t="str">
        <f t="shared" si="186"/>
        <v/>
      </c>
      <c r="BD660" s="1070" t="str">
        <f t="shared" si="187"/>
        <v/>
      </c>
      <c r="BE660" s="1070" t="str">
        <f t="shared" si="188"/>
        <v/>
      </c>
      <c r="BF660" s="1070" t="str">
        <f t="shared" si="189"/>
        <v/>
      </c>
      <c r="BG660" s="1070" t="str">
        <f t="shared" si="190"/>
        <v/>
      </c>
      <c r="BH660" s="1070" t="str">
        <f t="shared" si="191"/>
        <v/>
      </c>
      <c r="BI660" s="1070" t="str">
        <f t="shared" si="192"/>
        <v/>
      </c>
      <c r="BJ660" s="1070" t="str">
        <f t="shared" si="193"/>
        <v/>
      </c>
      <c r="BK660" s="1070" t="str">
        <f t="shared" si="194"/>
        <v/>
      </c>
      <c r="BL660" s="1070" t="str">
        <f t="shared" si="195"/>
        <v/>
      </c>
      <c r="BM660" s="1070" t="str">
        <f t="shared" si="196"/>
        <v/>
      </c>
      <c r="BN660" s="1070" t="str">
        <f t="shared" si="197"/>
        <v/>
      </c>
      <c r="BO660" s="1070" t="str">
        <f t="shared" si="198"/>
        <v/>
      </c>
      <c r="BP660" s="1070" t="str">
        <f t="shared" si="199"/>
        <v/>
      </c>
      <c r="BQ660" s="1070" t="str">
        <f t="shared" si="200"/>
        <v/>
      </c>
      <c r="BR660" s="1070" t="str">
        <f t="shared" si="201"/>
        <v/>
      </c>
      <c r="BS660" s="1070" t="str">
        <f t="shared" si="202"/>
        <v/>
      </c>
      <c r="BT660" s="1070" t="str">
        <f t="shared" si="21"/>
        <v/>
      </c>
      <c r="BU660" s="1070" t="str">
        <f t="shared" si="22"/>
        <v/>
      </c>
      <c r="BV660" s="1070" t="str">
        <f t="shared" si="23"/>
        <v/>
      </c>
      <c r="BW660" s="1070" t="str">
        <f t="shared" si="24"/>
        <v/>
      </c>
      <c r="BX660" s="1070" t="str">
        <f t="shared" si="25"/>
        <v/>
      </c>
      <c r="BY660" s="1070" t="str">
        <f t="shared" si="26"/>
        <v/>
      </c>
      <c r="BZ660" s="1070" t="str">
        <f t="shared" si="27"/>
        <v/>
      </c>
      <c r="CA660" s="1070" t="str">
        <f t="shared" si="28"/>
        <v/>
      </c>
      <c r="CB660" s="1070" t="str">
        <f t="shared" si="29"/>
        <v/>
      </c>
      <c r="CC660" s="1070" t="str">
        <f t="shared" si="30"/>
        <v/>
      </c>
      <c r="CD660" s="1070" t="str">
        <f t="shared" si="31"/>
        <v/>
      </c>
      <c r="CE660" s="1070" t="str">
        <f t="shared" si="32"/>
        <v/>
      </c>
      <c r="CF660" s="1070" t="str">
        <f t="shared" si="33"/>
        <v/>
      </c>
      <c r="CG660" s="1070" t="str">
        <f t="shared" si="34"/>
        <v/>
      </c>
      <c r="CH660" s="1070" t="str">
        <f t="shared" si="35"/>
        <v/>
      </c>
      <c r="CI660" s="1070" t="str">
        <f t="shared" si="36"/>
        <v/>
      </c>
      <c r="CJ660" s="1070" t="str">
        <f t="shared" si="37"/>
        <v/>
      </c>
      <c r="CK660" s="1070" t="str">
        <f t="shared" si="38"/>
        <v/>
      </c>
      <c r="CL660" s="1070" t="str">
        <f t="shared" si="39"/>
        <v/>
      </c>
      <c r="CM660" s="1070" t="str">
        <f t="shared" si="40"/>
        <v/>
      </c>
      <c r="CN660" s="1070" t="str">
        <f t="shared" si="41"/>
        <v/>
      </c>
      <c r="CO660" s="1070" t="str">
        <f t="shared" si="42"/>
        <v/>
      </c>
      <c r="CP660" s="1070" t="str">
        <f t="shared" si="43"/>
        <v/>
      </c>
      <c r="CQ660" s="1070" t="str">
        <f t="shared" si="44"/>
        <v/>
      </c>
      <c r="CR660" s="1070" t="str">
        <f t="shared" si="45"/>
        <v/>
      </c>
      <c r="CS660" s="1070" t="str">
        <f t="shared" si="46"/>
        <v/>
      </c>
      <c r="CT660" s="1070" t="str">
        <f t="shared" si="47"/>
        <v/>
      </c>
      <c r="CU660" s="1070" t="str">
        <f t="shared" si="48"/>
        <v/>
      </c>
      <c r="CV660" s="1070" t="str">
        <f t="shared" si="49"/>
        <v/>
      </c>
      <c r="CW660" s="1070" t="str">
        <f t="shared" si="50"/>
        <v/>
      </c>
      <c r="CX660" s="1070" t="str">
        <f t="shared" si="51"/>
        <v/>
      </c>
      <c r="CY660" s="1070" t="str">
        <f t="shared" si="52"/>
        <v/>
      </c>
      <c r="CZ660" s="1070" t="str">
        <f t="shared" si="53"/>
        <v/>
      </c>
      <c r="DA660" s="1070" t="str">
        <f t="shared" si="54"/>
        <v/>
      </c>
      <c r="DB660" s="1070" t="str">
        <f t="shared" si="55"/>
        <v/>
      </c>
      <c r="DC660" s="1070" t="str">
        <f t="shared" si="56"/>
        <v/>
      </c>
      <c r="DD660" s="1070" t="str">
        <f t="shared" si="57"/>
        <v/>
      </c>
      <c r="DE660" s="1070" t="str">
        <f t="shared" si="58"/>
        <v/>
      </c>
      <c r="DF660" s="1070" t="str">
        <f t="shared" si="59"/>
        <v/>
      </c>
      <c r="DG660" s="1070" t="str">
        <f t="shared" si="60"/>
        <v/>
      </c>
      <c r="DH660" s="1070" t="str">
        <f t="shared" si="61"/>
        <v/>
      </c>
      <c r="DI660" s="1070" t="str">
        <f t="shared" si="62"/>
        <v/>
      </c>
      <c r="DJ660" s="1070" t="str">
        <f t="shared" si="63"/>
        <v/>
      </c>
      <c r="DK660" s="1070" t="str">
        <f t="shared" si="64"/>
        <v/>
      </c>
      <c r="DL660" s="1070" t="str">
        <f t="shared" si="65"/>
        <v/>
      </c>
      <c r="DM660" s="1070" t="str">
        <f t="shared" si="66"/>
        <v/>
      </c>
      <c r="DN660" s="1070" t="str">
        <f t="shared" si="67"/>
        <v/>
      </c>
      <c r="DO660" s="1070" t="str">
        <f t="shared" si="68"/>
        <v/>
      </c>
      <c r="DP660" s="1070" t="str">
        <f t="shared" si="69"/>
        <v/>
      </c>
      <c r="DQ660" s="1070" t="str">
        <f t="shared" si="70"/>
        <v/>
      </c>
      <c r="DR660" s="1070" t="str">
        <f t="shared" si="71"/>
        <v/>
      </c>
      <c r="DS660" s="1070" t="str">
        <f t="shared" si="72"/>
        <v/>
      </c>
      <c r="DT660" s="1070" t="str">
        <f t="shared" si="73"/>
        <v/>
      </c>
      <c r="DU660" s="1070" t="str">
        <f t="shared" si="74"/>
        <v/>
      </c>
      <c r="DV660" s="1070" t="str">
        <f t="shared" si="75"/>
        <v/>
      </c>
      <c r="DW660" s="1070" t="str">
        <f t="shared" si="76"/>
        <v/>
      </c>
      <c r="DX660" s="1070" t="str">
        <f t="shared" si="77"/>
        <v/>
      </c>
      <c r="DY660" s="1070" t="str">
        <f t="shared" si="78"/>
        <v/>
      </c>
      <c r="DZ660" s="1070" t="str">
        <f t="shared" si="79"/>
        <v/>
      </c>
      <c r="EA660" s="1070" t="str">
        <f t="shared" si="80"/>
        <v/>
      </c>
      <c r="EB660" s="1070" t="str">
        <f t="shared" si="81"/>
        <v/>
      </c>
      <c r="EC660" s="1070" t="str">
        <f t="shared" si="82"/>
        <v/>
      </c>
      <c r="ED660" s="1070" t="str">
        <f t="shared" si="83"/>
        <v/>
      </c>
      <c r="EE660" s="1070" t="str">
        <f t="shared" si="84"/>
        <v/>
      </c>
      <c r="EF660" s="1070" t="str">
        <f t="shared" si="85"/>
        <v/>
      </c>
      <c r="EG660" s="1070" t="str">
        <f t="shared" si="86"/>
        <v/>
      </c>
      <c r="EH660" s="1070" t="str">
        <f t="shared" si="87"/>
        <v/>
      </c>
      <c r="EI660" s="1070" t="str">
        <f t="shared" si="88"/>
        <v/>
      </c>
      <c r="EJ660" s="1070" t="str">
        <f t="shared" si="89"/>
        <v/>
      </c>
      <c r="EK660" s="1070" t="str">
        <f t="shared" si="90"/>
        <v/>
      </c>
      <c r="EL660" s="1070" t="str">
        <f t="shared" si="91"/>
        <v/>
      </c>
      <c r="EM660" s="1070" t="str">
        <f t="shared" si="92"/>
        <v/>
      </c>
      <c r="EN660" s="1070" t="str">
        <f t="shared" si="93"/>
        <v/>
      </c>
      <c r="EO660" s="1070" t="str">
        <f t="shared" si="94"/>
        <v/>
      </c>
      <c r="EP660" s="1070" t="str">
        <f t="shared" si="95"/>
        <v/>
      </c>
      <c r="EQ660" s="1070" t="str">
        <f t="shared" si="96"/>
        <v/>
      </c>
      <c r="ER660" s="1070" t="str">
        <f t="shared" si="97"/>
        <v/>
      </c>
      <c r="ES660" s="1070" t="str">
        <f t="shared" si="98"/>
        <v/>
      </c>
      <c r="ET660" s="1070" t="str">
        <f t="shared" si="99"/>
        <v/>
      </c>
      <c r="EU660" s="1070" t="str">
        <f t="shared" si="100"/>
        <v/>
      </c>
      <c r="EV660" s="831" t="str">
        <f t="shared" si="101"/>
        <v/>
      </c>
      <c r="EW660" s="831" t="str">
        <f t="shared" si="102"/>
        <v/>
      </c>
      <c r="EX660" s="831" t="str">
        <f t="shared" si="103"/>
        <v/>
      </c>
      <c r="EY660" s="831" t="str">
        <f t="shared" si="104"/>
        <v/>
      </c>
      <c r="EZ660" s="831" t="str">
        <f t="shared" si="105"/>
        <v/>
      </c>
      <c r="FA660" s="831" t="str">
        <f t="shared" si="106"/>
        <v/>
      </c>
      <c r="FB660" s="831" t="str">
        <f t="shared" si="107"/>
        <v/>
      </c>
      <c r="FC660" s="831" t="str">
        <f t="shared" si="108"/>
        <v/>
      </c>
      <c r="FD660" s="831" t="str">
        <f t="shared" si="109"/>
        <v/>
      </c>
      <c r="FE660" s="831" t="str">
        <f t="shared" si="110"/>
        <v/>
      </c>
      <c r="FF660" s="831" t="str">
        <f t="shared" si="111"/>
        <v/>
      </c>
      <c r="FG660" s="831" t="str">
        <f t="shared" si="112"/>
        <v/>
      </c>
      <c r="FH660" s="831" t="str">
        <f t="shared" si="113"/>
        <v/>
      </c>
      <c r="FI660" s="831" t="str">
        <f t="shared" si="114"/>
        <v/>
      </c>
      <c r="FJ660" s="831" t="str">
        <f t="shared" si="115"/>
        <v/>
      </c>
      <c r="FK660" s="831" t="str">
        <f t="shared" si="116"/>
        <v/>
      </c>
      <c r="FL660" s="831" t="str">
        <f t="shared" si="117"/>
        <v/>
      </c>
      <c r="FM660" s="831" t="str">
        <f t="shared" si="118"/>
        <v/>
      </c>
      <c r="FN660" s="831" t="str">
        <f t="shared" si="119"/>
        <v/>
      </c>
      <c r="FO660" s="831" t="str">
        <f t="shared" si="120"/>
        <v/>
      </c>
      <c r="FP660" s="831" t="str">
        <f t="shared" si="121"/>
        <v/>
      </c>
      <c r="FQ660" s="831" t="str">
        <f t="shared" si="122"/>
        <v/>
      </c>
      <c r="FR660" s="831" t="str">
        <f t="shared" si="123"/>
        <v/>
      </c>
      <c r="FS660" s="831" t="str">
        <f t="shared" si="124"/>
        <v/>
      </c>
      <c r="FT660" s="831" t="str">
        <f t="shared" si="125"/>
        <v/>
      </c>
      <c r="FU660" s="831" t="str">
        <f t="shared" si="126"/>
        <v/>
      </c>
      <c r="FV660" s="831" t="str">
        <f t="shared" si="127"/>
        <v/>
      </c>
      <c r="FW660" s="831" t="str">
        <f t="shared" si="128"/>
        <v/>
      </c>
      <c r="FX660" s="831" t="str">
        <f t="shared" si="129"/>
        <v/>
      </c>
      <c r="FY660" s="831" t="str">
        <f t="shared" si="130"/>
        <v/>
      </c>
      <c r="FZ660" s="831" t="str">
        <f t="shared" si="131"/>
        <v/>
      </c>
      <c r="GA660" s="831" t="str">
        <f t="shared" si="132"/>
        <v/>
      </c>
      <c r="GB660" s="831" t="str">
        <f t="shared" si="133"/>
        <v/>
      </c>
      <c r="GC660" s="831" t="str">
        <f t="shared" si="134"/>
        <v/>
      </c>
      <c r="GD660" s="831" t="str">
        <f t="shared" si="135"/>
        <v/>
      </c>
      <c r="GE660" s="831" t="str">
        <f t="shared" si="136"/>
        <v/>
      </c>
      <c r="GF660" s="831" t="str">
        <f t="shared" si="137"/>
        <v/>
      </c>
      <c r="GG660" s="831" t="str">
        <f t="shared" si="138"/>
        <v/>
      </c>
      <c r="GH660" s="831" t="str">
        <f t="shared" si="139"/>
        <v/>
      </c>
      <c r="GI660" s="831" t="str">
        <f t="shared" si="140"/>
        <v/>
      </c>
      <c r="GJ660" s="831" t="str">
        <f t="shared" si="141"/>
        <v/>
      </c>
      <c r="GK660" s="831" t="str">
        <f t="shared" si="142"/>
        <v/>
      </c>
      <c r="GL660" s="831" t="str">
        <f t="shared" si="143"/>
        <v/>
      </c>
      <c r="GM660" s="831" t="str">
        <f t="shared" si="144"/>
        <v/>
      </c>
      <c r="GN660" s="831" t="str">
        <f t="shared" si="145"/>
        <v/>
      </c>
      <c r="GO660" s="1113" t="str">
        <f t="shared" si="146"/>
        <v/>
      </c>
      <c r="GP660" s="1113" t="str">
        <f t="shared" si="147"/>
        <v/>
      </c>
      <c r="GQ660" s="1113" t="str">
        <f t="shared" si="148"/>
        <v/>
      </c>
      <c r="GR660" s="1113" t="str">
        <f t="shared" si="149"/>
        <v/>
      </c>
      <c r="GS660" s="1113" t="str">
        <f t="shared" si="150"/>
        <v/>
      </c>
      <c r="GT660" s="1070" t="str">
        <f t="shared" si="151"/>
        <v/>
      </c>
      <c r="GU660" s="1070" t="str">
        <f t="shared" si="152"/>
        <v/>
      </c>
      <c r="GV660" s="1070" t="str">
        <f t="shared" si="153"/>
        <v/>
      </c>
      <c r="GW660" s="1070" t="str">
        <f t="shared" si="154"/>
        <v/>
      </c>
      <c r="GX660" s="1070" t="str">
        <f t="shared" si="155"/>
        <v/>
      </c>
      <c r="GY660" s="1070" t="str">
        <f t="shared" si="156"/>
        <v/>
      </c>
      <c r="GZ660" s="1070" t="str">
        <f t="shared" si="157"/>
        <v/>
      </c>
      <c r="HA660" s="1070" t="str">
        <f t="shared" si="158"/>
        <v/>
      </c>
      <c r="HB660" s="1070" t="str">
        <f t="shared" si="159"/>
        <v/>
      </c>
      <c r="HC660" s="1070" t="str">
        <f t="shared" si="160"/>
        <v/>
      </c>
      <c r="HD660" s="1070" t="str">
        <f t="shared" si="161"/>
        <v/>
      </c>
      <c r="HE660" s="1070" t="str">
        <f t="shared" si="162"/>
        <v/>
      </c>
      <c r="HF660" s="1070" t="str">
        <f t="shared" si="163"/>
        <v/>
      </c>
      <c r="HG660" s="1070" t="str">
        <f t="shared" si="164"/>
        <v/>
      </c>
      <c r="HH660" s="1070" t="str">
        <f t="shared" si="165"/>
        <v/>
      </c>
      <c r="HI660" s="1070" t="str">
        <f t="shared" si="166"/>
        <v/>
      </c>
      <c r="HJ660" s="1070" t="str">
        <f t="shared" si="167"/>
        <v/>
      </c>
      <c r="HK660" s="1070" t="str">
        <f t="shared" si="168"/>
        <v/>
      </c>
      <c r="HL660" s="1070" t="str">
        <f t="shared" si="169"/>
        <v/>
      </c>
      <c r="HM660" s="1070" t="str">
        <f t="shared" si="170"/>
        <v/>
      </c>
    </row>
    <row r="661" spans="1:221" ht="13.15" customHeight="1">
      <c r="A661" s="1082" t="str">
        <f t="shared" si="171"/>
        <v/>
      </c>
      <c r="B661" s="1035" t="str">
        <f>'Part VI-Revenues &amp; Expenses'!B27</f>
        <v>&lt;&lt;Select&gt;&gt;</v>
      </c>
      <c r="C661" s="1036">
        <f>'Part VI-Revenues &amp; Expenses'!C27</f>
        <v>0</v>
      </c>
      <c r="D661" s="1037">
        <f>'Part VI-Revenues &amp; Expenses'!D27</f>
        <v>0</v>
      </c>
      <c r="E661" s="1038">
        <f>'Part VI-Revenues &amp; Expenses'!E27</f>
        <v>0</v>
      </c>
      <c r="F661" s="1038">
        <f>'Part VI-Revenues &amp; Expenses'!F27</f>
        <v>0</v>
      </c>
      <c r="G661" s="1038">
        <f>'Part VI-Revenues &amp; Expenses'!G27</f>
        <v>0</v>
      </c>
      <c r="H661" s="1038">
        <f>'Part VI-Revenues &amp; Expenses'!H27</f>
        <v>0</v>
      </c>
      <c r="I661" s="1038">
        <f>'Part VI-Revenues &amp; Expenses'!I27</f>
        <v>0</v>
      </c>
      <c r="J661" s="1101">
        <f>'Part VI-Revenues &amp; Expenses'!J27</f>
        <v>0</v>
      </c>
      <c r="K661" s="906">
        <f t="shared" si="172"/>
        <v>0</v>
      </c>
      <c r="L661" s="906">
        <f t="shared" si="0"/>
        <v>0</v>
      </c>
      <c r="M661" s="829">
        <f>'Part VI-Revenues &amp; Expenses'!M27</f>
        <v>0</v>
      </c>
      <c r="N661" s="829">
        <f>'Part VI-Revenues &amp; Expenses'!N27</f>
        <v>0</v>
      </c>
      <c r="O661" s="829">
        <f>'Part VI-Revenues &amp; Expenses'!O27</f>
        <v>0</v>
      </c>
      <c r="P661" s="907">
        <f t="shared" si="203"/>
        <v>0</v>
      </c>
      <c r="Q661" s="908" t="str">
        <f>'Part VI-Revenues &amp; Expenses'!Q27</f>
        <v/>
      </c>
      <c r="R661" s="907"/>
      <c r="S661" s="908"/>
      <c r="T661" s="1575"/>
      <c r="U661" s="1575"/>
      <c r="V661" s="1070" t="str">
        <f t="shared" si="1"/>
        <v/>
      </c>
      <c r="W661" s="1070" t="str">
        <f t="shared" si="2"/>
        <v/>
      </c>
      <c r="X661" s="1070" t="str">
        <f t="shared" si="3"/>
        <v/>
      </c>
      <c r="Y661" s="1070" t="str">
        <f t="shared" si="4"/>
        <v/>
      </c>
      <c r="Z661" s="1070" t="str">
        <f t="shared" si="5"/>
        <v/>
      </c>
      <c r="AA661" s="1070" t="str">
        <f t="shared" si="6"/>
        <v/>
      </c>
      <c r="AB661" s="1070" t="str">
        <f t="shared" si="7"/>
        <v/>
      </c>
      <c r="AC661" s="1070" t="str">
        <f t="shared" si="8"/>
        <v/>
      </c>
      <c r="AD661" s="1070" t="str">
        <f t="shared" si="9"/>
        <v/>
      </c>
      <c r="AE661" s="1070" t="str">
        <f t="shared" si="10"/>
        <v/>
      </c>
      <c r="AF661" s="1070" t="str">
        <f t="shared" si="11"/>
        <v/>
      </c>
      <c r="AG661" s="1070" t="str">
        <f t="shared" si="12"/>
        <v/>
      </c>
      <c r="AH661" s="1070" t="str">
        <f t="shared" si="13"/>
        <v/>
      </c>
      <c r="AI661" s="1070" t="str">
        <f t="shared" si="14"/>
        <v/>
      </c>
      <c r="AJ661" s="1070" t="str">
        <f t="shared" si="15"/>
        <v/>
      </c>
      <c r="AK661" s="1070" t="str">
        <f t="shared" si="16"/>
        <v/>
      </c>
      <c r="AL661" s="1070" t="str">
        <f t="shared" si="17"/>
        <v/>
      </c>
      <c r="AM661" s="1070" t="str">
        <f t="shared" si="18"/>
        <v/>
      </c>
      <c r="AN661" s="1070" t="str">
        <f t="shared" si="19"/>
        <v/>
      </c>
      <c r="AO661" s="1070" t="str">
        <f t="shared" si="20"/>
        <v/>
      </c>
      <c r="AP661" s="1070" t="str">
        <f t="shared" si="173"/>
        <v/>
      </c>
      <c r="AQ661" s="1070" t="str">
        <f t="shared" si="174"/>
        <v/>
      </c>
      <c r="AR661" s="1070" t="str">
        <f t="shared" si="175"/>
        <v/>
      </c>
      <c r="AS661" s="1070" t="str">
        <f t="shared" si="176"/>
        <v/>
      </c>
      <c r="AT661" s="1070" t="str">
        <f t="shared" si="177"/>
        <v/>
      </c>
      <c r="AU661" s="1070" t="str">
        <f t="shared" si="178"/>
        <v/>
      </c>
      <c r="AV661" s="1070" t="str">
        <f t="shared" si="179"/>
        <v/>
      </c>
      <c r="AW661" s="1070" t="str">
        <f t="shared" si="180"/>
        <v/>
      </c>
      <c r="AX661" s="1070" t="str">
        <f t="shared" si="181"/>
        <v/>
      </c>
      <c r="AY661" s="1070" t="str">
        <f t="shared" si="182"/>
        <v/>
      </c>
      <c r="AZ661" s="1070" t="str">
        <f t="shared" si="183"/>
        <v/>
      </c>
      <c r="BA661" s="1070" t="str">
        <f t="shared" si="184"/>
        <v/>
      </c>
      <c r="BB661" s="1070" t="str">
        <f t="shared" si="185"/>
        <v/>
      </c>
      <c r="BC661" s="1070" t="str">
        <f t="shared" si="186"/>
        <v/>
      </c>
      <c r="BD661" s="1070" t="str">
        <f t="shared" si="187"/>
        <v/>
      </c>
      <c r="BE661" s="1070" t="str">
        <f t="shared" si="188"/>
        <v/>
      </c>
      <c r="BF661" s="1070" t="str">
        <f t="shared" si="189"/>
        <v/>
      </c>
      <c r="BG661" s="1070" t="str">
        <f t="shared" si="190"/>
        <v/>
      </c>
      <c r="BH661" s="1070" t="str">
        <f t="shared" si="191"/>
        <v/>
      </c>
      <c r="BI661" s="1070" t="str">
        <f t="shared" si="192"/>
        <v/>
      </c>
      <c r="BJ661" s="1070" t="str">
        <f t="shared" si="193"/>
        <v/>
      </c>
      <c r="BK661" s="1070" t="str">
        <f t="shared" si="194"/>
        <v/>
      </c>
      <c r="BL661" s="1070" t="str">
        <f t="shared" si="195"/>
        <v/>
      </c>
      <c r="BM661" s="1070" t="str">
        <f t="shared" si="196"/>
        <v/>
      </c>
      <c r="BN661" s="1070" t="str">
        <f t="shared" si="197"/>
        <v/>
      </c>
      <c r="BO661" s="1070" t="str">
        <f t="shared" si="198"/>
        <v/>
      </c>
      <c r="BP661" s="1070" t="str">
        <f t="shared" si="199"/>
        <v/>
      </c>
      <c r="BQ661" s="1070" t="str">
        <f t="shared" si="200"/>
        <v/>
      </c>
      <c r="BR661" s="1070" t="str">
        <f t="shared" si="201"/>
        <v/>
      </c>
      <c r="BS661" s="1070" t="str">
        <f t="shared" si="202"/>
        <v/>
      </c>
      <c r="BT661" s="1070" t="str">
        <f t="shared" si="21"/>
        <v/>
      </c>
      <c r="BU661" s="1070" t="str">
        <f t="shared" si="22"/>
        <v/>
      </c>
      <c r="BV661" s="1070" t="str">
        <f t="shared" si="23"/>
        <v/>
      </c>
      <c r="BW661" s="1070" t="str">
        <f t="shared" si="24"/>
        <v/>
      </c>
      <c r="BX661" s="1070" t="str">
        <f t="shared" si="25"/>
        <v/>
      </c>
      <c r="BY661" s="1070" t="str">
        <f t="shared" si="26"/>
        <v/>
      </c>
      <c r="BZ661" s="1070" t="str">
        <f t="shared" si="27"/>
        <v/>
      </c>
      <c r="CA661" s="1070" t="str">
        <f t="shared" si="28"/>
        <v/>
      </c>
      <c r="CB661" s="1070" t="str">
        <f t="shared" si="29"/>
        <v/>
      </c>
      <c r="CC661" s="1070" t="str">
        <f t="shared" si="30"/>
        <v/>
      </c>
      <c r="CD661" s="1070" t="str">
        <f t="shared" si="31"/>
        <v/>
      </c>
      <c r="CE661" s="1070" t="str">
        <f t="shared" si="32"/>
        <v/>
      </c>
      <c r="CF661" s="1070" t="str">
        <f t="shared" si="33"/>
        <v/>
      </c>
      <c r="CG661" s="1070" t="str">
        <f t="shared" si="34"/>
        <v/>
      </c>
      <c r="CH661" s="1070" t="str">
        <f t="shared" si="35"/>
        <v/>
      </c>
      <c r="CI661" s="1070" t="str">
        <f t="shared" si="36"/>
        <v/>
      </c>
      <c r="CJ661" s="1070" t="str">
        <f t="shared" si="37"/>
        <v/>
      </c>
      <c r="CK661" s="1070" t="str">
        <f t="shared" si="38"/>
        <v/>
      </c>
      <c r="CL661" s="1070" t="str">
        <f t="shared" si="39"/>
        <v/>
      </c>
      <c r="CM661" s="1070" t="str">
        <f t="shared" si="40"/>
        <v/>
      </c>
      <c r="CN661" s="1070" t="str">
        <f t="shared" si="41"/>
        <v/>
      </c>
      <c r="CO661" s="1070" t="str">
        <f t="shared" si="42"/>
        <v/>
      </c>
      <c r="CP661" s="1070" t="str">
        <f t="shared" si="43"/>
        <v/>
      </c>
      <c r="CQ661" s="1070" t="str">
        <f t="shared" si="44"/>
        <v/>
      </c>
      <c r="CR661" s="1070" t="str">
        <f t="shared" si="45"/>
        <v/>
      </c>
      <c r="CS661" s="1070" t="str">
        <f t="shared" si="46"/>
        <v/>
      </c>
      <c r="CT661" s="1070" t="str">
        <f t="shared" si="47"/>
        <v/>
      </c>
      <c r="CU661" s="1070" t="str">
        <f t="shared" si="48"/>
        <v/>
      </c>
      <c r="CV661" s="1070" t="str">
        <f t="shared" si="49"/>
        <v/>
      </c>
      <c r="CW661" s="1070" t="str">
        <f t="shared" si="50"/>
        <v/>
      </c>
      <c r="CX661" s="1070" t="str">
        <f t="shared" si="51"/>
        <v/>
      </c>
      <c r="CY661" s="1070" t="str">
        <f t="shared" si="52"/>
        <v/>
      </c>
      <c r="CZ661" s="1070" t="str">
        <f t="shared" si="53"/>
        <v/>
      </c>
      <c r="DA661" s="1070" t="str">
        <f t="shared" si="54"/>
        <v/>
      </c>
      <c r="DB661" s="1070" t="str">
        <f t="shared" si="55"/>
        <v/>
      </c>
      <c r="DC661" s="1070" t="str">
        <f t="shared" si="56"/>
        <v/>
      </c>
      <c r="DD661" s="1070" t="str">
        <f t="shared" si="57"/>
        <v/>
      </c>
      <c r="DE661" s="1070" t="str">
        <f t="shared" si="58"/>
        <v/>
      </c>
      <c r="DF661" s="1070" t="str">
        <f t="shared" si="59"/>
        <v/>
      </c>
      <c r="DG661" s="1070" t="str">
        <f t="shared" si="60"/>
        <v/>
      </c>
      <c r="DH661" s="1070" t="str">
        <f t="shared" si="61"/>
        <v/>
      </c>
      <c r="DI661" s="1070" t="str">
        <f t="shared" si="62"/>
        <v/>
      </c>
      <c r="DJ661" s="1070" t="str">
        <f t="shared" si="63"/>
        <v/>
      </c>
      <c r="DK661" s="1070" t="str">
        <f t="shared" si="64"/>
        <v/>
      </c>
      <c r="DL661" s="1070" t="str">
        <f t="shared" si="65"/>
        <v/>
      </c>
      <c r="DM661" s="1070" t="str">
        <f t="shared" si="66"/>
        <v/>
      </c>
      <c r="DN661" s="1070" t="str">
        <f t="shared" si="67"/>
        <v/>
      </c>
      <c r="DO661" s="1070" t="str">
        <f t="shared" si="68"/>
        <v/>
      </c>
      <c r="DP661" s="1070" t="str">
        <f t="shared" si="69"/>
        <v/>
      </c>
      <c r="DQ661" s="1070" t="str">
        <f t="shared" si="70"/>
        <v/>
      </c>
      <c r="DR661" s="1070" t="str">
        <f t="shared" si="71"/>
        <v/>
      </c>
      <c r="DS661" s="1070" t="str">
        <f t="shared" si="72"/>
        <v/>
      </c>
      <c r="DT661" s="1070" t="str">
        <f t="shared" si="73"/>
        <v/>
      </c>
      <c r="DU661" s="1070" t="str">
        <f t="shared" si="74"/>
        <v/>
      </c>
      <c r="DV661" s="1070" t="str">
        <f t="shared" si="75"/>
        <v/>
      </c>
      <c r="DW661" s="1070" t="str">
        <f t="shared" si="76"/>
        <v/>
      </c>
      <c r="DX661" s="1070" t="str">
        <f t="shared" si="77"/>
        <v/>
      </c>
      <c r="DY661" s="1070" t="str">
        <f t="shared" si="78"/>
        <v/>
      </c>
      <c r="DZ661" s="1070" t="str">
        <f t="shared" si="79"/>
        <v/>
      </c>
      <c r="EA661" s="1070" t="str">
        <f t="shared" si="80"/>
        <v/>
      </c>
      <c r="EB661" s="1070" t="str">
        <f t="shared" si="81"/>
        <v/>
      </c>
      <c r="EC661" s="1070" t="str">
        <f t="shared" si="82"/>
        <v/>
      </c>
      <c r="ED661" s="1070" t="str">
        <f t="shared" si="83"/>
        <v/>
      </c>
      <c r="EE661" s="1070" t="str">
        <f t="shared" si="84"/>
        <v/>
      </c>
      <c r="EF661" s="1070" t="str">
        <f t="shared" si="85"/>
        <v/>
      </c>
      <c r="EG661" s="1070" t="str">
        <f t="shared" si="86"/>
        <v/>
      </c>
      <c r="EH661" s="1070" t="str">
        <f t="shared" si="87"/>
        <v/>
      </c>
      <c r="EI661" s="1070" t="str">
        <f t="shared" si="88"/>
        <v/>
      </c>
      <c r="EJ661" s="1070" t="str">
        <f t="shared" si="89"/>
        <v/>
      </c>
      <c r="EK661" s="1070" t="str">
        <f t="shared" si="90"/>
        <v/>
      </c>
      <c r="EL661" s="1070" t="str">
        <f t="shared" si="91"/>
        <v/>
      </c>
      <c r="EM661" s="1070" t="str">
        <f t="shared" si="92"/>
        <v/>
      </c>
      <c r="EN661" s="1070" t="str">
        <f t="shared" si="93"/>
        <v/>
      </c>
      <c r="EO661" s="1070" t="str">
        <f t="shared" si="94"/>
        <v/>
      </c>
      <c r="EP661" s="1070" t="str">
        <f t="shared" si="95"/>
        <v/>
      </c>
      <c r="EQ661" s="1070" t="str">
        <f t="shared" si="96"/>
        <v/>
      </c>
      <c r="ER661" s="1070" t="str">
        <f t="shared" si="97"/>
        <v/>
      </c>
      <c r="ES661" s="1070" t="str">
        <f t="shared" si="98"/>
        <v/>
      </c>
      <c r="ET661" s="1070" t="str">
        <f t="shared" si="99"/>
        <v/>
      </c>
      <c r="EU661" s="1070" t="str">
        <f t="shared" si="100"/>
        <v/>
      </c>
      <c r="EV661" s="831" t="str">
        <f t="shared" si="101"/>
        <v/>
      </c>
      <c r="EW661" s="831" t="str">
        <f t="shared" si="102"/>
        <v/>
      </c>
      <c r="EX661" s="831" t="str">
        <f t="shared" si="103"/>
        <v/>
      </c>
      <c r="EY661" s="831" t="str">
        <f t="shared" si="104"/>
        <v/>
      </c>
      <c r="EZ661" s="831" t="str">
        <f t="shared" si="105"/>
        <v/>
      </c>
      <c r="FA661" s="831" t="str">
        <f t="shared" si="106"/>
        <v/>
      </c>
      <c r="FB661" s="831" t="str">
        <f t="shared" si="107"/>
        <v/>
      </c>
      <c r="FC661" s="831" t="str">
        <f t="shared" si="108"/>
        <v/>
      </c>
      <c r="FD661" s="831" t="str">
        <f t="shared" si="109"/>
        <v/>
      </c>
      <c r="FE661" s="831" t="str">
        <f t="shared" si="110"/>
        <v/>
      </c>
      <c r="FF661" s="831" t="str">
        <f t="shared" si="111"/>
        <v/>
      </c>
      <c r="FG661" s="831" t="str">
        <f t="shared" si="112"/>
        <v/>
      </c>
      <c r="FH661" s="831" t="str">
        <f t="shared" si="113"/>
        <v/>
      </c>
      <c r="FI661" s="831" t="str">
        <f t="shared" si="114"/>
        <v/>
      </c>
      <c r="FJ661" s="831" t="str">
        <f t="shared" si="115"/>
        <v/>
      </c>
      <c r="FK661" s="831" t="str">
        <f t="shared" si="116"/>
        <v/>
      </c>
      <c r="FL661" s="831" t="str">
        <f t="shared" si="117"/>
        <v/>
      </c>
      <c r="FM661" s="831" t="str">
        <f t="shared" si="118"/>
        <v/>
      </c>
      <c r="FN661" s="831" t="str">
        <f t="shared" si="119"/>
        <v/>
      </c>
      <c r="FO661" s="831" t="str">
        <f t="shared" si="120"/>
        <v/>
      </c>
      <c r="FP661" s="831" t="str">
        <f t="shared" si="121"/>
        <v/>
      </c>
      <c r="FQ661" s="831" t="str">
        <f t="shared" si="122"/>
        <v/>
      </c>
      <c r="FR661" s="831" t="str">
        <f t="shared" si="123"/>
        <v/>
      </c>
      <c r="FS661" s="831" t="str">
        <f t="shared" si="124"/>
        <v/>
      </c>
      <c r="FT661" s="831" t="str">
        <f t="shared" si="125"/>
        <v/>
      </c>
      <c r="FU661" s="831" t="str">
        <f t="shared" si="126"/>
        <v/>
      </c>
      <c r="FV661" s="831" t="str">
        <f t="shared" si="127"/>
        <v/>
      </c>
      <c r="FW661" s="831" t="str">
        <f t="shared" si="128"/>
        <v/>
      </c>
      <c r="FX661" s="831" t="str">
        <f t="shared" si="129"/>
        <v/>
      </c>
      <c r="FY661" s="831" t="str">
        <f t="shared" si="130"/>
        <v/>
      </c>
      <c r="FZ661" s="831" t="str">
        <f t="shared" si="131"/>
        <v/>
      </c>
      <c r="GA661" s="831" t="str">
        <f t="shared" si="132"/>
        <v/>
      </c>
      <c r="GB661" s="831" t="str">
        <f t="shared" si="133"/>
        <v/>
      </c>
      <c r="GC661" s="831" t="str">
        <f t="shared" si="134"/>
        <v/>
      </c>
      <c r="GD661" s="831" t="str">
        <f t="shared" si="135"/>
        <v/>
      </c>
      <c r="GE661" s="831" t="str">
        <f t="shared" si="136"/>
        <v/>
      </c>
      <c r="GF661" s="831" t="str">
        <f t="shared" si="137"/>
        <v/>
      </c>
      <c r="GG661" s="831" t="str">
        <f t="shared" si="138"/>
        <v/>
      </c>
      <c r="GH661" s="831" t="str">
        <f t="shared" si="139"/>
        <v/>
      </c>
      <c r="GI661" s="831" t="str">
        <f t="shared" si="140"/>
        <v/>
      </c>
      <c r="GJ661" s="831" t="str">
        <f t="shared" si="141"/>
        <v/>
      </c>
      <c r="GK661" s="831" t="str">
        <f t="shared" si="142"/>
        <v/>
      </c>
      <c r="GL661" s="831" t="str">
        <f t="shared" si="143"/>
        <v/>
      </c>
      <c r="GM661" s="831" t="str">
        <f t="shared" si="144"/>
        <v/>
      </c>
      <c r="GN661" s="831" t="str">
        <f t="shared" si="145"/>
        <v/>
      </c>
      <c r="GO661" s="1113" t="str">
        <f t="shared" si="146"/>
        <v/>
      </c>
      <c r="GP661" s="1113" t="str">
        <f t="shared" si="147"/>
        <v/>
      </c>
      <c r="GQ661" s="1113" t="str">
        <f t="shared" si="148"/>
        <v/>
      </c>
      <c r="GR661" s="1113" t="str">
        <f t="shared" si="149"/>
        <v/>
      </c>
      <c r="GS661" s="1113" t="str">
        <f t="shared" si="150"/>
        <v/>
      </c>
      <c r="GT661" s="1070" t="str">
        <f t="shared" si="151"/>
        <v/>
      </c>
      <c r="GU661" s="1070" t="str">
        <f t="shared" si="152"/>
        <v/>
      </c>
      <c r="GV661" s="1070" t="str">
        <f t="shared" si="153"/>
        <v/>
      </c>
      <c r="GW661" s="1070" t="str">
        <f t="shared" si="154"/>
        <v/>
      </c>
      <c r="GX661" s="1070" t="str">
        <f t="shared" si="155"/>
        <v/>
      </c>
      <c r="GY661" s="1070" t="str">
        <f t="shared" si="156"/>
        <v/>
      </c>
      <c r="GZ661" s="1070" t="str">
        <f t="shared" si="157"/>
        <v/>
      </c>
      <c r="HA661" s="1070" t="str">
        <f t="shared" si="158"/>
        <v/>
      </c>
      <c r="HB661" s="1070" t="str">
        <f t="shared" si="159"/>
        <v/>
      </c>
      <c r="HC661" s="1070" t="str">
        <f t="shared" si="160"/>
        <v/>
      </c>
      <c r="HD661" s="1070" t="str">
        <f t="shared" si="161"/>
        <v/>
      </c>
      <c r="HE661" s="1070" t="str">
        <f t="shared" si="162"/>
        <v/>
      </c>
      <c r="HF661" s="1070" t="str">
        <f t="shared" si="163"/>
        <v/>
      </c>
      <c r="HG661" s="1070" t="str">
        <f t="shared" si="164"/>
        <v/>
      </c>
      <c r="HH661" s="1070" t="str">
        <f t="shared" si="165"/>
        <v/>
      </c>
      <c r="HI661" s="1070" t="str">
        <f t="shared" si="166"/>
        <v/>
      </c>
      <c r="HJ661" s="1070" t="str">
        <f t="shared" si="167"/>
        <v/>
      </c>
      <c r="HK661" s="1070" t="str">
        <f t="shared" si="168"/>
        <v/>
      </c>
      <c r="HL661" s="1070" t="str">
        <f t="shared" si="169"/>
        <v/>
      </c>
      <c r="HM661" s="1070" t="str">
        <f t="shared" si="170"/>
        <v/>
      </c>
    </row>
    <row r="662" spans="1:221" ht="13.15" customHeight="1">
      <c r="A662" s="1082" t="str">
        <f t="shared" si="171"/>
        <v/>
      </c>
      <c r="B662" s="1035" t="str">
        <f>'Part VI-Revenues &amp; Expenses'!B28</f>
        <v>&lt;&lt;Select&gt;&gt;</v>
      </c>
      <c r="C662" s="1036">
        <f>'Part VI-Revenues &amp; Expenses'!C28</f>
        <v>0</v>
      </c>
      <c r="D662" s="1037">
        <f>'Part VI-Revenues &amp; Expenses'!D28</f>
        <v>0</v>
      </c>
      <c r="E662" s="1038">
        <f>'Part VI-Revenues &amp; Expenses'!E28</f>
        <v>0</v>
      </c>
      <c r="F662" s="1038">
        <f>'Part VI-Revenues &amp; Expenses'!F28</f>
        <v>0</v>
      </c>
      <c r="G662" s="1038">
        <f>'Part VI-Revenues &amp; Expenses'!G28</f>
        <v>0</v>
      </c>
      <c r="H662" s="1038">
        <f>'Part VI-Revenues &amp; Expenses'!H28</f>
        <v>0</v>
      </c>
      <c r="I662" s="1038">
        <f>'Part VI-Revenues &amp; Expenses'!I28</f>
        <v>0</v>
      </c>
      <c r="J662" s="1101">
        <f>'Part VI-Revenues &amp; Expenses'!J28</f>
        <v>0</v>
      </c>
      <c r="K662" s="906">
        <f>MAX(0,H662-I662)</f>
        <v>0</v>
      </c>
      <c r="L662" s="906">
        <f t="shared" si="0"/>
        <v>0</v>
      </c>
      <c r="M662" s="829">
        <f>'Part VI-Revenues &amp; Expenses'!M28</f>
        <v>0</v>
      </c>
      <c r="N662" s="829">
        <f>'Part VI-Revenues &amp; Expenses'!N28</f>
        <v>0</v>
      </c>
      <c r="O662" s="829">
        <f>'Part VI-Revenues &amp; Expenses'!O28</f>
        <v>0</v>
      </c>
      <c r="P662" s="907">
        <f t="shared" si="203"/>
        <v>0</v>
      </c>
      <c r="Q662" s="908" t="str">
        <f>'Part VI-Revenues &amp; Expenses'!Q28</f>
        <v/>
      </c>
      <c r="R662" s="907"/>
      <c r="S662" s="908"/>
      <c r="T662" s="1575"/>
      <c r="U662" s="1575"/>
      <c r="V662" s="1070" t="str">
        <f t="shared" si="1"/>
        <v/>
      </c>
      <c r="W662" s="1070" t="str">
        <f t="shared" si="2"/>
        <v/>
      </c>
      <c r="X662" s="1070" t="str">
        <f t="shared" si="3"/>
        <v/>
      </c>
      <c r="Y662" s="1070" t="str">
        <f t="shared" si="4"/>
        <v/>
      </c>
      <c r="Z662" s="1070" t="str">
        <f t="shared" si="5"/>
        <v/>
      </c>
      <c r="AA662" s="1070" t="str">
        <f t="shared" si="6"/>
        <v/>
      </c>
      <c r="AB662" s="1070" t="str">
        <f t="shared" si="7"/>
        <v/>
      </c>
      <c r="AC662" s="1070" t="str">
        <f t="shared" si="8"/>
        <v/>
      </c>
      <c r="AD662" s="1070" t="str">
        <f t="shared" si="9"/>
        <v/>
      </c>
      <c r="AE662" s="1070" t="str">
        <f t="shared" si="10"/>
        <v/>
      </c>
      <c r="AF662" s="1070" t="str">
        <f t="shared" si="11"/>
        <v/>
      </c>
      <c r="AG662" s="1070" t="str">
        <f t="shared" si="12"/>
        <v/>
      </c>
      <c r="AH662" s="1070" t="str">
        <f t="shared" si="13"/>
        <v/>
      </c>
      <c r="AI662" s="1070" t="str">
        <f t="shared" si="14"/>
        <v/>
      </c>
      <c r="AJ662" s="1070" t="str">
        <f t="shared" si="15"/>
        <v/>
      </c>
      <c r="AK662" s="1070" t="str">
        <f t="shared" si="16"/>
        <v/>
      </c>
      <c r="AL662" s="1070" t="str">
        <f t="shared" si="17"/>
        <v/>
      </c>
      <c r="AM662" s="1070" t="str">
        <f t="shared" si="18"/>
        <v/>
      </c>
      <c r="AN662" s="1070" t="str">
        <f t="shared" si="19"/>
        <v/>
      </c>
      <c r="AO662" s="1070" t="str">
        <f t="shared" si="20"/>
        <v/>
      </c>
      <c r="AP662" s="1070" t="str">
        <f t="shared" si="173"/>
        <v/>
      </c>
      <c r="AQ662" s="1070" t="str">
        <f t="shared" si="174"/>
        <v/>
      </c>
      <c r="AR662" s="1070" t="str">
        <f t="shared" si="175"/>
        <v/>
      </c>
      <c r="AS662" s="1070" t="str">
        <f t="shared" si="176"/>
        <v/>
      </c>
      <c r="AT662" s="1070" t="str">
        <f t="shared" si="177"/>
        <v/>
      </c>
      <c r="AU662" s="1070" t="str">
        <f t="shared" si="178"/>
        <v/>
      </c>
      <c r="AV662" s="1070" t="str">
        <f t="shared" si="179"/>
        <v/>
      </c>
      <c r="AW662" s="1070" t="str">
        <f t="shared" si="180"/>
        <v/>
      </c>
      <c r="AX662" s="1070" t="str">
        <f t="shared" si="181"/>
        <v/>
      </c>
      <c r="AY662" s="1070" t="str">
        <f t="shared" si="182"/>
        <v/>
      </c>
      <c r="AZ662" s="1070" t="str">
        <f t="shared" si="183"/>
        <v/>
      </c>
      <c r="BA662" s="1070" t="str">
        <f t="shared" si="184"/>
        <v/>
      </c>
      <c r="BB662" s="1070" t="str">
        <f t="shared" si="185"/>
        <v/>
      </c>
      <c r="BC662" s="1070" t="str">
        <f t="shared" si="186"/>
        <v/>
      </c>
      <c r="BD662" s="1070" t="str">
        <f t="shared" si="187"/>
        <v/>
      </c>
      <c r="BE662" s="1070" t="str">
        <f t="shared" si="188"/>
        <v/>
      </c>
      <c r="BF662" s="1070" t="str">
        <f t="shared" si="189"/>
        <v/>
      </c>
      <c r="BG662" s="1070" t="str">
        <f t="shared" si="190"/>
        <v/>
      </c>
      <c r="BH662" s="1070" t="str">
        <f t="shared" si="191"/>
        <v/>
      </c>
      <c r="BI662" s="1070" t="str">
        <f t="shared" si="192"/>
        <v/>
      </c>
      <c r="BJ662" s="1070" t="str">
        <f t="shared" si="193"/>
        <v/>
      </c>
      <c r="BK662" s="1070" t="str">
        <f t="shared" si="194"/>
        <v/>
      </c>
      <c r="BL662" s="1070" t="str">
        <f t="shared" si="195"/>
        <v/>
      </c>
      <c r="BM662" s="1070" t="str">
        <f t="shared" si="196"/>
        <v/>
      </c>
      <c r="BN662" s="1070" t="str">
        <f t="shared" si="197"/>
        <v/>
      </c>
      <c r="BO662" s="1070" t="str">
        <f t="shared" si="198"/>
        <v/>
      </c>
      <c r="BP662" s="1070" t="str">
        <f t="shared" si="199"/>
        <v/>
      </c>
      <c r="BQ662" s="1070" t="str">
        <f t="shared" si="200"/>
        <v/>
      </c>
      <c r="BR662" s="1070" t="str">
        <f t="shared" si="201"/>
        <v/>
      </c>
      <c r="BS662" s="1070" t="str">
        <f t="shared" si="202"/>
        <v/>
      </c>
      <c r="BT662" s="1070" t="str">
        <f t="shared" si="21"/>
        <v/>
      </c>
      <c r="BU662" s="1070" t="str">
        <f t="shared" si="22"/>
        <v/>
      </c>
      <c r="BV662" s="1070" t="str">
        <f t="shared" si="23"/>
        <v/>
      </c>
      <c r="BW662" s="1070" t="str">
        <f t="shared" si="24"/>
        <v/>
      </c>
      <c r="BX662" s="1070" t="str">
        <f t="shared" si="25"/>
        <v/>
      </c>
      <c r="BY662" s="1070" t="str">
        <f t="shared" si="26"/>
        <v/>
      </c>
      <c r="BZ662" s="1070" t="str">
        <f t="shared" si="27"/>
        <v/>
      </c>
      <c r="CA662" s="1070" t="str">
        <f t="shared" si="28"/>
        <v/>
      </c>
      <c r="CB662" s="1070" t="str">
        <f t="shared" si="29"/>
        <v/>
      </c>
      <c r="CC662" s="1070" t="str">
        <f t="shared" si="30"/>
        <v/>
      </c>
      <c r="CD662" s="1070" t="str">
        <f t="shared" si="31"/>
        <v/>
      </c>
      <c r="CE662" s="1070" t="str">
        <f t="shared" si="32"/>
        <v/>
      </c>
      <c r="CF662" s="1070" t="str">
        <f t="shared" si="33"/>
        <v/>
      </c>
      <c r="CG662" s="1070" t="str">
        <f t="shared" si="34"/>
        <v/>
      </c>
      <c r="CH662" s="1070" t="str">
        <f t="shared" si="35"/>
        <v/>
      </c>
      <c r="CI662" s="1070" t="str">
        <f t="shared" si="36"/>
        <v/>
      </c>
      <c r="CJ662" s="1070" t="str">
        <f t="shared" si="37"/>
        <v/>
      </c>
      <c r="CK662" s="1070" t="str">
        <f t="shared" si="38"/>
        <v/>
      </c>
      <c r="CL662" s="1070" t="str">
        <f t="shared" si="39"/>
        <v/>
      </c>
      <c r="CM662" s="1070" t="str">
        <f t="shared" si="40"/>
        <v/>
      </c>
      <c r="CN662" s="1070" t="str">
        <f t="shared" si="41"/>
        <v/>
      </c>
      <c r="CO662" s="1070" t="str">
        <f t="shared" si="42"/>
        <v/>
      </c>
      <c r="CP662" s="1070" t="str">
        <f t="shared" si="43"/>
        <v/>
      </c>
      <c r="CQ662" s="1070" t="str">
        <f t="shared" si="44"/>
        <v/>
      </c>
      <c r="CR662" s="1070" t="str">
        <f t="shared" si="45"/>
        <v/>
      </c>
      <c r="CS662" s="1070" t="str">
        <f t="shared" si="46"/>
        <v/>
      </c>
      <c r="CT662" s="1070" t="str">
        <f t="shared" si="47"/>
        <v/>
      </c>
      <c r="CU662" s="1070" t="str">
        <f t="shared" si="48"/>
        <v/>
      </c>
      <c r="CV662" s="1070" t="str">
        <f t="shared" si="49"/>
        <v/>
      </c>
      <c r="CW662" s="1070" t="str">
        <f t="shared" si="50"/>
        <v/>
      </c>
      <c r="CX662" s="1070" t="str">
        <f t="shared" si="51"/>
        <v/>
      </c>
      <c r="CY662" s="1070" t="str">
        <f t="shared" si="52"/>
        <v/>
      </c>
      <c r="CZ662" s="1070" t="str">
        <f t="shared" si="53"/>
        <v/>
      </c>
      <c r="DA662" s="1070" t="str">
        <f t="shared" si="54"/>
        <v/>
      </c>
      <c r="DB662" s="1070" t="str">
        <f t="shared" si="55"/>
        <v/>
      </c>
      <c r="DC662" s="1070" t="str">
        <f t="shared" si="56"/>
        <v/>
      </c>
      <c r="DD662" s="1070" t="str">
        <f t="shared" si="57"/>
        <v/>
      </c>
      <c r="DE662" s="1070" t="str">
        <f t="shared" si="58"/>
        <v/>
      </c>
      <c r="DF662" s="1070" t="str">
        <f t="shared" si="59"/>
        <v/>
      </c>
      <c r="DG662" s="1070" t="str">
        <f t="shared" si="60"/>
        <v/>
      </c>
      <c r="DH662" s="1070" t="str">
        <f t="shared" si="61"/>
        <v/>
      </c>
      <c r="DI662" s="1070" t="str">
        <f t="shared" si="62"/>
        <v/>
      </c>
      <c r="DJ662" s="1070" t="str">
        <f t="shared" si="63"/>
        <v/>
      </c>
      <c r="DK662" s="1070" t="str">
        <f t="shared" si="64"/>
        <v/>
      </c>
      <c r="DL662" s="1070" t="str">
        <f t="shared" si="65"/>
        <v/>
      </c>
      <c r="DM662" s="1070" t="str">
        <f t="shared" si="66"/>
        <v/>
      </c>
      <c r="DN662" s="1070" t="str">
        <f t="shared" si="67"/>
        <v/>
      </c>
      <c r="DO662" s="1070" t="str">
        <f t="shared" si="68"/>
        <v/>
      </c>
      <c r="DP662" s="1070" t="str">
        <f t="shared" si="69"/>
        <v/>
      </c>
      <c r="DQ662" s="1070" t="str">
        <f t="shared" si="70"/>
        <v/>
      </c>
      <c r="DR662" s="1070" t="str">
        <f t="shared" si="71"/>
        <v/>
      </c>
      <c r="DS662" s="1070" t="str">
        <f t="shared" si="72"/>
        <v/>
      </c>
      <c r="DT662" s="1070" t="str">
        <f t="shared" si="73"/>
        <v/>
      </c>
      <c r="DU662" s="1070" t="str">
        <f t="shared" si="74"/>
        <v/>
      </c>
      <c r="DV662" s="1070" t="str">
        <f t="shared" si="75"/>
        <v/>
      </c>
      <c r="DW662" s="1070" t="str">
        <f t="shared" si="76"/>
        <v/>
      </c>
      <c r="DX662" s="1070" t="str">
        <f t="shared" si="77"/>
        <v/>
      </c>
      <c r="DY662" s="1070" t="str">
        <f t="shared" si="78"/>
        <v/>
      </c>
      <c r="DZ662" s="1070" t="str">
        <f t="shared" si="79"/>
        <v/>
      </c>
      <c r="EA662" s="1070" t="str">
        <f t="shared" si="80"/>
        <v/>
      </c>
      <c r="EB662" s="1070" t="str">
        <f t="shared" si="81"/>
        <v/>
      </c>
      <c r="EC662" s="1070" t="str">
        <f t="shared" si="82"/>
        <v/>
      </c>
      <c r="ED662" s="1070" t="str">
        <f t="shared" si="83"/>
        <v/>
      </c>
      <c r="EE662" s="1070" t="str">
        <f t="shared" si="84"/>
        <v/>
      </c>
      <c r="EF662" s="1070" t="str">
        <f t="shared" si="85"/>
        <v/>
      </c>
      <c r="EG662" s="1070" t="str">
        <f t="shared" si="86"/>
        <v/>
      </c>
      <c r="EH662" s="1070" t="str">
        <f t="shared" si="87"/>
        <v/>
      </c>
      <c r="EI662" s="1070" t="str">
        <f t="shared" si="88"/>
        <v/>
      </c>
      <c r="EJ662" s="1070" t="str">
        <f t="shared" si="89"/>
        <v/>
      </c>
      <c r="EK662" s="1070" t="str">
        <f t="shared" si="90"/>
        <v/>
      </c>
      <c r="EL662" s="1070" t="str">
        <f t="shared" si="91"/>
        <v/>
      </c>
      <c r="EM662" s="1070" t="str">
        <f t="shared" si="92"/>
        <v/>
      </c>
      <c r="EN662" s="1070" t="str">
        <f t="shared" si="93"/>
        <v/>
      </c>
      <c r="EO662" s="1070" t="str">
        <f t="shared" si="94"/>
        <v/>
      </c>
      <c r="EP662" s="1070" t="str">
        <f t="shared" si="95"/>
        <v/>
      </c>
      <c r="EQ662" s="1070" t="str">
        <f t="shared" si="96"/>
        <v/>
      </c>
      <c r="ER662" s="1070" t="str">
        <f t="shared" si="97"/>
        <v/>
      </c>
      <c r="ES662" s="1070" t="str">
        <f t="shared" si="98"/>
        <v/>
      </c>
      <c r="ET662" s="1070" t="str">
        <f t="shared" si="99"/>
        <v/>
      </c>
      <c r="EU662" s="1070" t="str">
        <f t="shared" si="100"/>
        <v/>
      </c>
      <c r="EV662" s="831" t="str">
        <f t="shared" si="101"/>
        <v/>
      </c>
      <c r="EW662" s="831" t="str">
        <f t="shared" si="102"/>
        <v/>
      </c>
      <c r="EX662" s="831" t="str">
        <f t="shared" si="103"/>
        <v/>
      </c>
      <c r="EY662" s="831" t="str">
        <f t="shared" si="104"/>
        <v/>
      </c>
      <c r="EZ662" s="831" t="str">
        <f t="shared" si="105"/>
        <v/>
      </c>
      <c r="FA662" s="831" t="str">
        <f t="shared" si="106"/>
        <v/>
      </c>
      <c r="FB662" s="831" t="str">
        <f t="shared" si="107"/>
        <v/>
      </c>
      <c r="FC662" s="831" t="str">
        <f t="shared" si="108"/>
        <v/>
      </c>
      <c r="FD662" s="831" t="str">
        <f t="shared" si="109"/>
        <v/>
      </c>
      <c r="FE662" s="831" t="str">
        <f t="shared" si="110"/>
        <v/>
      </c>
      <c r="FF662" s="831" t="str">
        <f t="shared" si="111"/>
        <v/>
      </c>
      <c r="FG662" s="831" t="str">
        <f t="shared" si="112"/>
        <v/>
      </c>
      <c r="FH662" s="831" t="str">
        <f t="shared" si="113"/>
        <v/>
      </c>
      <c r="FI662" s="831" t="str">
        <f t="shared" si="114"/>
        <v/>
      </c>
      <c r="FJ662" s="831" t="str">
        <f t="shared" si="115"/>
        <v/>
      </c>
      <c r="FK662" s="831" t="str">
        <f t="shared" si="116"/>
        <v/>
      </c>
      <c r="FL662" s="831" t="str">
        <f t="shared" si="117"/>
        <v/>
      </c>
      <c r="FM662" s="831" t="str">
        <f t="shared" si="118"/>
        <v/>
      </c>
      <c r="FN662" s="831" t="str">
        <f t="shared" si="119"/>
        <v/>
      </c>
      <c r="FO662" s="831" t="str">
        <f t="shared" si="120"/>
        <v/>
      </c>
      <c r="FP662" s="831" t="str">
        <f t="shared" si="121"/>
        <v/>
      </c>
      <c r="FQ662" s="831" t="str">
        <f t="shared" si="122"/>
        <v/>
      </c>
      <c r="FR662" s="831" t="str">
        <f t="shared" si="123"/>
        <v/>
      </c>
      <c r="FS662" s="831" t="str">
        <f t="shared" si="124"/>
        <v/>
      </c>
      <c r="FT662" s="831" t="str">
        <f t="shared" si="125"/>
        <v/>
      </c>
      <c r="FU662" s="831" t="str">
        <f t="shared" si="126"/>
        <v/>
      </c>
      <c r="FV662" s="831" t="str">
        <f t="shared" si="127"/>
        <v/>
      </c>
      <c r="FW662" s="831" t="str">
        <f t="shared" si="128"/>
        <v/>
      </c>
      <c r="FX662" s="831" t="str">
        <f t="shared" si="129"/>
        <v/>
      </c>
      <c r="FY662" s="831" t="str">
        <f t="shared" si="130"/>
        <v/>
      </c>
      <c r="FZ662" s="831" t="str">
        <f t="shared" si="131"/>
        <v/>
      </c>
      <c r="GA662" s="831" t="str">
        <f t="shared" si="132"/>
        <v/>
      </c>
      <c r="GB662" s="831" t="str">
        <f t="shared" si="133"/>
        <v/>
      </c>
      <c r="GC662" s="831" t="str">
        <f t="shared" si="134"/>
        <v/>
      </c>
      <c r="GD662" s="831" t="str">
        <f t="shared" si="135"/>
        <v/>
      </c>
      <c r="GE662" s="831" t="str">
        <f t="shared" si="136"/>
        <v/>
      </c>
      <c r="GF662" s="831" t="str">
        <f t="shared" si="137"/>
        <v/>
      </c>
      <c r="GG662" s="831" t="str">
        <f t="shared" si="138"/>
        <v/>
      </c>
      <c r="GH662" s="831" t="str">
        <f t="shared" si="139"/>
        <v/>
      </c>
      <c r="GI662" s="831" t="str">
        <f t="shared" si="140"/>
        <v/>
      </c>
      <c r="GJ662" s="831" t="str">
        <f t="shared" si="141"/>
        <v/>
      </c>
      <c r="GK662" s="831" t="str">
        <f t="shared" si="142"/>
        <v/>
      </c>
      <c r="GL662" s="831" t="str">
        <f t="shared" si="143"/>
        <v/>
      </c>
      <c r="GM662" s="831" t="str">
        <f t="shared" si="144"/>
        <v/>
      </c>
      <c r="GN662" s="831" t="str">
        <f t="shared" si="145"/>
        <v/>
      </c>
      <c r="GO662" s="1113" t="str">
        <f t="shared" si="146"/>
        <v/>
      </c>
      <c r="GP662" s="1113" t="str">
        <f t="shared" si="147"/>
        <v/>
      </c>
      <c r="GQ662" s="1113" t="str">
        <f t="shared" si="148"/>
        <v/>
      </c>
      <c r="GR662" s="1113" t="str">
        <f t="shared" si="149"/>
        <v/>
      </c>
      <c r="GS662" s="1113" t="str">
        <f t="shared" si="150"/>
        <v/>
      </c>
      <c r="GT662" s="1070" t="str">
        <f t="shared" si="151"/>
        <v/>
      </c>
      <c r="GU662" s="1070" t="str">
        <f t="shared" si="152"/>
        <v/>
      </c>
      <c r="GV662" s="1070" t="str">
        <f t="shared" si="153"/>
        <v/>
      </c>
      <c r="GW662" s="1070" t="str">
        <f t="shared" si="154"/>
        <v/>
      </c>
      <c r="GX662" s="1070" t="str">
        <f t="shared" si="155"/>
        <v/>
      </c>
      <c r="GY662" s="1070" t="str">
        <f t="shared" si="156"/>
        <v/>
      </c>
      <c r="GZ662" s="1070" t="str">
        <f t="shared" si="157"/>
        <v/>
      </c>
      <c r="HA662" s="1070" t="str">
        <f t="shared" si="158"/>
        <v/>
      </c>
      <c r="HB662" s="1070" t="str">
        <f t="shared" si="159"/>
        <v/>
      </c>
      <c r="HC662" s="1070" t="str">
        <f t="shared" si="160"/>
        <v/>
      </c>
      <c r="HD662" s="1070" t="str">
        <f t="shared" si="161"/>
        <v/>
      </c>
      <c r="HE662" s="1070" t="str">
        <f t="shared" si="162"/>
        <v/>
      </c>
      <c r="HF662" s="1070" t="str">
        <f t="shared" si="163"/>
        <v/>
      </c>
      <c r="HG662" s="1070" t="str">
        <f t="shared" si="164"/>
        <v/>
      </c>
      <c r="HH662" s="1070" t="str">
        <f t="shared" si="165"/>
        <v/>
      </c>
      <c r="HI662" s="1070" t="str">
        <f t="shared" si="166"/>
        <v/>
      </c>
      <c r="HJ662" s="1070" t="str">
        <f t="shared" si="167"/>
        <v/>
      </c>
      <c r="HK662" s="1070" t="str">
        <f t="shared" si="168"/>
        <v/>
      </c>
      <c r="HL662" s="1070" t="str">
        <f t="shared" si="169"/>
        <v/>
      </c>
      <c r="HM662" s="1070" t="str">
        <f t="shared" si="170"/>
        <v/>
      </c>
    </row>
    <row r="663" spans="1:221" ht="13.15" customHeight="1">
      <c r="A663" s="1082" t="str">
        <f t="shared" si="171"/>
        <v/>
      </c>
      <c r="B663" s="1035" t="str">
        <f>'Part VI-Revenues &amp; Expenses'!B29</f>
        <v>&lt;&lt;Select&gt;&gt;</v>
      </c>
      <c r="C663" s="1036">
        <f>'Part VI-Revenues &amp; Expenses'!C29</f>
        <v>0</v>
      </c>
      <c r="D663" s="1037">
        <f>'Part VI-Revenues &amp; Expenses'!D29</f>
        <v>0</v>
      </c>
      <c r="E663" s="1038">
        <f>'Part VI-Revenues &amp; Expenses'!E29</f>
        <v>0</v>
      </c>
      <c r="F663" s="1038">
        <f>'Part VI-Revenues &amp; Expenses'!F29</f>
        <v>0</v>
      </c>
      <c r="G663" s="1038">
        <f>'Part VI-Revenues &amp; Expenses'!G29</f>
        <v>0</v>
      </c>
      <c r="H663" s="1038">
        <f>'Part VI-Revenues &amp; Expenses'!H29</f>
        <v>0</v>
      </c>
      <c r="I663" s="1038">
        <f>'Part VI-Revenues &amp; Expenses'!I29</f>
        <v>0</v>
      </c>
      <c r="J663" s="1101">
        <f>'Part VI-Revenues &amp; Expenses'!J29</f>
        <v>0</v>
      </c>
      <c r="K663" s="906">
        <f t="shared" ref="K663:K681" si="204">MAX(0,H663-I663)</f>
        <v>0</v>
      </c>
      <c r="L663" s="906">
        <f t="shared" si="0"/>
        <v>0</v>
      </c>
      <c r="M663" s="829">
        <f>'Part VI-Revenues &amp; Expenses'!M29</f>
        <v>0</v>
      </c>
      <c r="N663" s="829">
        <f>'Part VI-Revenues &amp; Expenses'!N29</f>
        <v>0</v>
      </c>
      <c r="O663" s="829">
        <f>'Part VI-Revenues &amp; Expenses'!O29</f>
        <v>0</v>
      </c>
      <c r="P663" s="907">
        <f t="shared" si="203"/>
        <v>0</v>
      </c>
      <c r="Q663" s="908" t="str">
        <f>'Part VI-Revenues &amp; Expenses'!Q29</f>
        <v/>
      </c>
      <c r="R663" s="907"/>
      <c r="S663" s="908"/>
      <c r="T663" s="1575"/>
      <c r="U663" s="1575"/>
      <c r="V663" s="1070" t="str">
        <f t="shared" si="1"/>
        <v/>
      </c>
      <c r="W663" s="1070" t="str">
        <f t="shared" si="2"/>
        <v/>
      </c>
      <c r="X663" s="1070" t="str">
        <f t="shared" si="3"/>
        <v/>
      </c>
      <c r="Y663" s="1070" t="str">
        <f t="shared" si="4"/>
        <v/>
      </c>
      <c r="Z663" s="1070" t="str">
        <f t="shared" si="5"/>
        <v/>
      </c>
      <c r="AA663" s="1070" t="str">
        <f t="shared" si="6"/>
        <v/>
      </c>
      <c r="AB663" s="1070" t="str">
        <f t="shared" si="7"/>
        <v/>
      </c>
      <c r="AC663" s="1070" t="str">
        <f t="shared" si="8"/>
        <v/>
      </c>
      <c r="AD663" s="1070" t="str">
        <f t="shared" si="9"/>
        <v/>
      </c>
      <c r="AE663" s="1070" t="str">
        <f t="shared" si="10"/>
        <v/>
      </c>
      <c r="AF663" s="1070" t="str">
        <f t="shared" si="11"/>
        <v/>
      </c>
      <c r="AG663" s="1070" t="str">
        <f t="shared" si="12"/>
        <v/>
      </c>
      <c r="AH663" s="1070" t="str">
        <f t="shared" si="13"/>
        <v/>
      </c>
      <c r="AI663" s="1070" t="str">
        <f t="shared" si="14"/>
        <v/>
      </c>
      <c r="AJ663" s="1070" t="str">
        <f t="shared" si="15"/>
        <v/>
      </c>
      <c r="AK663" s="1070" t="str">
        <f t="shared" si="16"/>
        <v/>
      </c>
      <c r="AL663" s="1070" t="str">
        <f t="shared" si="17"/>
        <v/>
      </c>
      <c r="AM663" s="1070" t="str">
        <f t="shared" si="18"/>
        <v/>
      </c>
      <c r="AN663" s="1070" t="str">
        <f t="shared" si="19"/>
        <v/>
      </c>
      <c r="AO663" s="1070" t="str">
        <f t="shared" si="20"/>
        <v/>
      </c>
      <c r="AP663" s="1070" t="str">
        <f t="shared" si="173"/>
        <v/>
      </c>
      <c r="AQ663" s="1070" t="str">
        <f t="shared" si="174"/>
        <v/>
      </c>
      <c r="AR663" s="1070" t="str">
        <f t="shared" si="175"/>
        <v/>
      </c>
      <c r="AS663" s="1070" t="str">
        <f t="shared" si="176"/>
        <v/>
      </c>
      <c r="AT663" s="1070" t="str">
        <f t="shared" si="177"/>
        <v/>
      </c>
      <c r="AU663" s="1070" t="str">
        <f t="shared" si="178"/>
        <v/>
      </c>
      <c r="AV663" s="1070" t="str">
        <f t="shared" si="179"/>
        <v/>
      </c>
      <c r="AW663" s="1070" t="str">
        <f t="shared" si="180"/>
        <v/>
      </c>
      <c r="AX663" s="1070" t="str">
        <f t="shared" si="181"/>
        <v/>
      </c>
      <c r="AY663" s="1070" t="str">
        <f t="shared" si="182"/>
        <v/>
      </c>
      <c r="AZ663" s="1070" t="str">
        <f t="shared" si="183"/>
        <v/>
      </c>
      <c r="BA663" s="1070" t="str">
        <f t="shared" si="184"/>
        <v/>
      </c>
      <c r="BB663" s="1070" t="str">
        <f t="shared" si="185"/>
        <v/>
      </c>
      <c r="BC663" s="1070" t="str">
        <f t="shared" si="186"/>
        <v/>
      </c>
      <c r="BD663" s="1070" t="str">
        <f t="shared" si="187"/>
        <v/>
      </c>
      <c r="BE663" s="1070" t="str">
        <f t="shared" si="188"/>
        <v/>
      </c>
      <c r="BF663" s="1070" t="str">
        <f t="shared" si="189"/>
        <v/>
      </c>
      <c r="BG663" s="1070" t="str">
        <f t="shared" si="190"/>
        <v/>
      </c>
      <c r="BH663" s="1070" t="str">
        <f t="shared" si="191"/>
        <v/>
      </c>
      <c r="BI663" s="1070" t="str">
        <f t="shared" si="192"/>
        <v/>
      </c>
      <c r="BJ663" s="1070" t="str">
        <f t="shared" si="193"/>
        <v/>
      </c>
      <c r="BK663" s="1070" t="str">
        <f t="shared" si="194"/>
        <v/>
      </c>
      <c r="BL663" s="1070" t="str">
        <f t="shared" si="195"/>
        <v/>
      </c>
      <c r="BM663" s="1070" t="str">
        <f t="shared" si="196"/>
        <v/>
      </c>
      <c r="BN663" s="1070" t="str">
        <f t="shared" si="197"/>
        <v/>
      </c>
      <c r="BO663" s="1070" t="str">
        <f t="shared" si="198"/>
        <v/>
      </c>
      <c r="BP663" s="1070" t="str">
        <f t="shared" si="199"/>
        <v/>
      </c>
      <c r="BQ663" s="1070" t="str">
        <f t="shared" si="200"/>
        <v/>
      </c>
      <c r="BR663" s="1070" t="str">
        <f t="shared" si="201"/>
        <v/>
      </c>
      <c r="BS663" s="1070" t="str">
        <f t="shared" si="202"/>
        <v/>
      </c>
      <c r="BT663" s="1070" t="str">
        <f t="shared" si="21"/>
        <v/>
      </c>
      <c r="BU663" s="1070" t="str">
        <f t="shared" si="22"/>
        <v/>
      </c>
      <c r="BV663" s="1070" t="str">
        <f t="shared" si="23"/>
        <v/>
      </c>
      <c r="BW663" s="1070" t="str">
        <f t="shared" si="24"/>
        <v/>
      </c>
      <c r="BX663" s="1070" t="str">
        <f t="shared" si="25"/>
        <v/>
      </c>
      <c r="BY663" s="1070" t="str">
        <f t="shared" si="26"/>
        <v/>
      </c>
      <c r="BZ663" s="1070" t="str">
        <f t="shared" si="27"/>
        <v/>
      </c>
      <c r="CA663" s="1070" t="str">
        <f t="shared" si="28"/>
        <v/>
      </c>
      <c r="CB663" s="1070" t="str">
        <f t="shared" si="29"/>
        <v/>
      </c>
      <c r="CC663" s="1070" t="str">
        <f t="shared" si="30"/>
        <v/>
      </c>
      <c r="CD663" s="1070" t="str">
        <f t="shared" si="31"/>
        <v/>
      </c>
      <c r="CE663" s="1070" t="str">
        <f t="shared" si="32"/>
        <v/>
      </c>
      <c r="CF663" s="1070" t="str">
        <f t="shared" si="33"/>
        <v/>
      </c>
      <c r="CG663" s="1070" t="str">
        <f t="shared" si="34"/>
        <v/>
      </c>
      <c r="CH663" s="1070" t="str">
        <f t="shared" si="35"/>
        <v/>
      </c>
      <c r="CI663" s="1070" t="str">
        <f t="shared" si="36"/>
        <v/>
      </c>
      <c r="CJ663" s="1070" t="str">
        <f t="shared" si="37"/>
        <v/>
      </c>
      <c r="CK663" s="1070" t="str">
        <f t="shared" si="38"/>
        <v/>
      </c>
      <c r="CL663" s="1070" t="str">
        <f t="shared" si="39"/>
        <v/>
      </c>
      <c r="CM663" s="1070" t="str">
        <f t="shared" si="40"/>
        <v/>
      </c>
      <c r="CN663" s="1070" t="str">
        <f t="shared" si="41"/>
        <v/>
      </c>
      <c r="CO663" s="1070" t="str">
        <f t="shared" si="42"/>
        <v/>
      </c>
      <c r="CP663" s="1070" t="str">
        <f t="shared" si="43"/>
        <v/>
      </c>
      <c r="CQ663" s="1070" t="str">
        <f t="shared" si="44"/>
        <v/>
      </c>
      <c r="CR663" s="1070" t="str">
        <f t="shared" si="45"/>
        <v/>
      </c>
      <c r="CS663" s="1070" t="str">
        <f t="shared" si="46"/>
        <v/>
      </c>
      <c r="CT663" s="1070" t="str">
        <f t="shared" si="47"/>
        <v/>
      </c>
      <c r="CU663" s="1070" t="str">
        <f t="shared" si="48"/>
        <v/>
      </c>
      <c r="CV663" s="1070" t="str">
        <f t="shared" si="49"/>
        <v/>
      </c>
      <c r="CW663" s="1070" t="str">
        <f t="shared" si="50"/>
        <v/>
      </c>
      <c r="CX663" s="1070" t="str">
        <f t="shared" si="51"/>
        <v/>
      </c>
      <c r="CY663" s="1070" t="str">
        <f t="shared" si="52"/>
        <v/>
      </c>
      <c r="CZ663" s="1070" t="str">
        <f t="shared" si="53"/>
        <v/>
      </c>
      <c r="DA663" s="1070" t="str">
        <f t="shared" si="54"/>
        <v/>
      </c>
      <c r="DB663" s="1070" t="str">
        <f t="shared" si="55"/>
        <v/>
      </c>
      <c r="DC663" s="1070" t="str">
        <f t="shared" si="56"/>
        <v/>
      </c>
      <c r="DD663" s="1070" t="str">
        <f t="shared" si="57"/>
        <v/>
      </c>
      <c r="DE663" s="1070" t="str">
        <f t="shared" si="58"/>
        <v/>
      </c>
      <c r="DF663" s="1070" t="str">
        <f t="shared" si="59"/>
        <v/>
      </c>
      <c r="DG663" s="1070" t="str">
        <f t="shared" si="60"/>
        <v/>
      </c>
      <c r="DH663" s="1070" t="str">
        <f t="shared" si="61"/>
        <v/>
      </c>
      <c r="DI663" s="1070" t="str">
        <f t="shared" si="62"/>
        <v/>
      </c>
      <c r="DJ663" s="1070" t="str">
        <f t="shared" si="63"/>
        <v/>
      </c>
      <c r="DK663" s="1070" t="str">
        <f t="shared" si="64"/>
        <v/>
      </c>
      <c r="DL663" s="1070" t="str">
        <f t="shared" si="65"/>
        <v/>
      </c>
      <c r="DM663" s="1070" t="str">
        <f t="shared" si="66"/>
        <v/>
      </c>
      <c r="DN663" s="1070" t="str">
        <f t="shared" si="67"/>
        <v/>
      </c>
      <c r="DO663" s="1070" t="str">
        <f t="shared" si="68"/>
        <v/>
      </c>
      <c r="DP663" s="1070" t="str">
        <f t="shared" si="69"/>
        <v/>
      </c>
      <c r="DQ663" s="1070" t="str">
        <f t="shared" si="70"/>
        <v/>
      </c>
      <c r="DR663" s="1070" t="str">
        <f t="shared" si="71"/>
        <v/>
      </c>
      <c r="DS663" s="1070" t="str">
        <f t="shared" si="72"/>
        <v/>
      </c>
      <c r="DT663" s="1070" t="str">
        <f t="shared" si="73"/>
        <v/>
      </c>
      <c r="DU663" s="1070" t="str">
        <f t="shared" si="74"/>
        <v/>
      </c>
      <c r="DV663" s="1070" t="str">
        <f t="shared" si="75"/>
        <v/>
      </c>
      <c r="DW663" s="1070" t="str">
        <f t="shared" si="76"/>
        <v/>
      </c>
      <c r="DX663" s="1070" t="str">
        <f t="shared" si="77"/>
        <v/>
      </c>
      <c r="DY663" s="1070" t="str">
        <f t="shared" si="78"/>
        <v/>
      </c>
      <c r="DZ663" s="1070" t="str">
        <f t="shared" si="79"/>
        <v/>
      </c>
      <c r="EA663" s="1070" t="str">
        <f t="shared" si="80"/>
        <v/>
      </c>
      <c r="EB663" s="1070" t="str">
        <f t="shared" si="81"/>
        <v/>
      </c>
      <c r="EC663" s="1070" t="str">
        <f t="shared" si="82"/>
        <v/>
      </c>
      <c r="ED663" s="1070" t="str">
        <f t="shared" si="83"/>
        <v/>
      </c>
      <c r="EE663" s="1070" t="str">
        <f t="shared" si="84"/>
        <v/>
      </c>
      <c r="EF663" s="1070" t="str">
        <f t="shared" si="85"/>
        <v/>
      </c>
      <c r="EG663" s="1070" t="str">
        <f t="shared" si="86"/>
        <v/>
      </c>
      <c r="EH663" s="1070" t="str">
        <f t="shared" si="87"/>
        <v/>
      </c>
      <c r="EI663" s="1070" t="str">
        <f t="shared" si="88"/>
        <v/>
      </c>
      <c r="EJ663" s="1070" t="str">
        <f t="shared" si="89"/>
        <v/>
      </c>
      <c r="EK663" s="1070" t="str">
        <f t="shared" si="90"/>
        <v/>
      </c>
      <c r="EL663" s="1070" t="str">
        <f t="shared" si="91"/>
        <v/>
      </c>
      <c r="EM663" s="1070" t="str">
        <f t="shared" si="92"/>
        <v/>
      </c>
      <c r="EN663" s="1070" t="str">
        <f t="shared" si="93"/>
        <v/>
      </c>
      <c r="EO663" s="1070" t="str">
        <f t="shared" si="94"/>
        <v/>
      </c>
      <c r="EP663" s="1070" t="str">
        <f t="shared" si="95"/>
        <v/>
      </c>
      <c r="EQ663" s="1070" t="str">
        <f t="shared" si="96"/>
        <v/>
      </c>
      <c r="ER663" s="1070" t="str">
        <f t="shared" si="97"/>
        <v/>
      </c>
      <c r="ES663" s="1070" t="str">
        <f t="shared" si="98"/>
        <v/>
      </c>
      <c r="ET663" s="1070" t="str">
        <f t="shared" si="99"/>
        <v/>
      </c>
      <c r="EU663" s="1070" t="str">
        <f t="shared" si="100"/>
        <v/>
      </c>
      <c r="EV663" s="831" t="str">
        <f t="shared" si="101"/>
        <v/>
      </c>
      <c r="EW663" s="831" t="str">
        <f t="shared" si="102"/>
        <v/>
      </c>
      <c r="EX663" s="831" t="str">
        <f t="shared" si="103"/>
        <v/>
      </c>
      <c r="EY663" s="831" t="str">
        <f t="shared" si="104"/>
        <v/>
      </c>
      <c r="EZ663" s="831" t="str">
        <f t="shared" si="105"/>
        <v/>
      </c>
      <c r="FA663" s="831" t="str">
        <f t="shared" si="106"/>
        <v/>
      </c>
      <c r="FB663" s="831" t="str">
        <f t="shared" si="107"/>
        <v/>
      </c>
      <c r="FC663" s="831" t="str">
        <f t="shared" si="108"/>
        <v/>
      </c>
      <c r="FD663" s="831" t="str">
        <f t="shared" si="109"/>
        <v/>
      </c>
      <c r="FE663" s="831" t="str">
        <f t="shared" si="110"/>
        <v/>
      </c>
      <c r="FF663" s="831" t="str">
        <f t="shared" si="111"/>
        <v/>
      </c>
      <c r="FG663" s="831" t="str">
        <f t="shared" si="112"/>
        <v/>
      </c>
      <c r="FH663" s="831" t="str">
        <f t="shared" si="113"/>
        <v/>
      </c>
      <c r="FI663" s="831" t="str">
        <f t="shared" si="114"/>
        <v/>
      </c>
      <c r="FJ663" s="831" t="str">
        <f t="shared" si="115"/>
        <v/>
      </c>
      <c r="FK663" s="831" t="str">
        <f t="shared" si="116"/>
        <v/>
      </c>
      <c r="FL663" s="831" t="str">
        <f t="shared" si="117"/>
        <v/>
      </c>
      <c r="FM663" s="831" t="str">
        <f t="shared" si="118"/>
        <v/>
      </c>
      <c r="FN663" s="831" t="str">
        <f t="shared" si="119"/>
        <v/>
      </c>
      <c r="FO663" s="831" t="str">
        <f t="shared" si="120"/>
        <v/>
      </c>
      <c r="FP663" s="831" t="str">
        <f t="shared" si="121"/>
        <v/>
      </c>
      <c r="FQ663" s="831" t="str">
        <f t="shared" si="122"/>
        <v/>
      </c>
      <c r="FR663" s="831" t="str">
        <f t="shared" si="123"/>
        <v/>
      </c>
      <c r="FS663" s="831" t="str">
        <f t="shared" si="124"/>
        <v/>
      </c>
      <c r="FT663" s="831" t="str">
        <f t="shared" si="125"/>
        <v/>
      </c>
      <c r="FU663" s="831" t="str">
        <f t="shared" si="126"/>
        <v/>
      </c>
      <c r="FV663" s="831" t="str">
        <f t="shared" si="127"/>
        <v/>
      </c>
      <c r="FW663" s="831" t="str">
        <f t="shared" si="128"/>
        <v/>
      </c>
      <c r="FX663" s="831" t="str">
        <f t="shared" si="129"/>
        <v/>
      </c>
      <c r="FY663" s="831" t="str">
        <f t="shared" si="130"/>
        <v/>
      </c>
      <c r="FZ663" s="831" t="str">
        <f t="shared" si="131"/>
        <v/>
      </c>
      <c r="GA663" s="831" t="str">
        <f t="shared" si="132"/>
        <v/>
      </c>
      <c r="GB663" s="831" t="str">
        <f t="shared" si="133"/>
        <v/>
      </c>
      <c r="GC663" s="831" t="str">
        <f t="shared" si="134"/>
        <v/>
      </c>
      <c r="GD663" s="831" t="str">
        <f t="shared" si="135"/>
        <v/>
      </c>
      <c r="GE663" s="831" t="str">
        <f t="shared" si="136"/>
        <v/>
      </c>
      <c r="GF663" s="831" t="str">
        <f t="shared" si="137"/>
        <v/>
      </c>
      <c r="GG663" s="831" t="str">
        <f t="shared" si="138"/>
        <v/>
      </c>
      <c r="GH663" s="831" t="str">
        <f t="shared" si="139"/>
        <v/>
      </c>
      <c r="GI663" s="831" t="str">
        <f t="shared" si="140"/>
        <v/>
      </c>
      <c r="GJ663" s="831" t="str">
        <f t="shared" si="141"/>
        <v/>
      </c>
      <c r="GK663" s="831" t="str">
        <f t="shared" si="142"/>
        <v/>
      </c>
      <c r="GL663" s="831" t="str">
        <f t="shared" si="143"/>
        <v/>
      </c>
      <c r="GM663" s="831" t="str">
        <f t="shared" si="144"/>
        <v/>
      </c>
      <c r="GN663" s="831" t="str">
        <f t="shared" si="145"/>
        <v/>
      </c>
      <c r="GO663" s="1113" t="str">
        <f t="shared" si="146"/>
        <v/>
      </c>
      <c r="GP663" s="1113" t="str">
        <f t="shared" si="147"/>
        <v/>
      </c>
      <c r="GQ663" s="1113" t="str">
        <f t="shared" si="148"/>
        <v/>
      </c>
      <c r="GR663" s="1113" t="str">
        <f t="shared" si="149"/>
        <v/>
      </c>
      <c r="GS663" s="1113" t="str">
        <f t="shared" si="150"/>
        <v/>
      </c>
      <c r="GT663" s="1070" t="str">
        <f t="shared" si="151"/>
        <v/>
      </c>
      <c r="GU663" s="1070" t="str">
        <f t="shared" si="152"/>
        <v/>
      </c>
      <c r="GV663" s="1070" t="str">
        <f t="shared" si="153"/>
        <v/>
      </c>
      <c r="GW663" s="1070" t="str">
        <f t="shared" si="154"/>
        <v/>
      </c>
      <c r="GX663" s="1070" t="str">
        <f t="shared" si="155"/>
        <v/>
      </c>
      <c r="GY663" s="1070" t="str">
        <f t="shared" si="156"/>
        <v/>
      </c>
      <c r="GZ663" s="1070" t="str">
        <f t="shared" si="157"/>
        <v/>
      </c>
      <c r="HA663" s="1070" t="str">
        <f t="shared" si="158"/>
        <v/>
      </c>
      <c r="HB663" s="1070" t="str">
        <f t="shared" si="159"/>
        <v/>
      </c>
      <c r="HC663" s="1070" t="str">
        <f t="shared" si="160"/>
        <v/>
      </c>
      <c r="HD663" s="1070" t="str">
        <f t="shared" si="161"/>
        <v/>
      </c>
      <c r="HE663" s="1070" t="str">
        <f t="shared" si="162"/>
        <v/>
      </c>
      <c r="HF663" s="1070" t="str">
        <f t="shared" si="163"/>
        <v/>
      </c>
      <c r="HG663" s="1070" t="str">
        <f t="shared" si="164"/>
        <v/>
      </c>
      <c r="HH663" s="1070" t="str">
        <f t="shared" si="165"/>
        <v/>
      </c>
      <c r="HI663" s="1070" t="str">
        <f t="shared" si="166"/>
        <v/>
      </c>
      <c r="HJ663" s="1070" t="str">
        <f t="shared" si="167"/>
        <v/>
      </c>
      <c r="HK663" s="1070" t="str">
        <f t="shared" si="168"/>
        <v/>
      </c>
      <c r="HL663" s="1070" t="str">
        <f t="shared" si="169"/>
        <v/>
      </c>
      <c r="HM663" s="1070" t="str">
        <f t="shared" si="170"/>
        <v/>
      </c>
    </row>
    <row r="664" spans="1:221" ht="13.15" customHeight="1">
      <c r="A664" s="1082" t="str">
        <f t="shared" si="171"/>
        <v/>
      </c>
      <c r="B664" s="1035" t="str">
        <f>'Part VI-Revenues &amp; Expenses'!B30</f>
        <v>&lt;&lt;Select&gt;&gt;</v>
      </c>
      <c r="C664" s="1036">
        <f>'Part VI-Revenues &amp; Expenses'!C30</f>
        <v>0</v>
      </c>
      <c r="D664" s="1037">
        <f>'Part VI-Revenues &amp; Expenses'!D30</f>
        <v>0</v>
      </c>
      <c r="E664" s="1038">
        <f>'Part VI-Revenues &amp; Expenses'!E30</f>
        <v>0</v>
      </c>
      <c r="F664" s="1038">
        <f>'Part VI-Revenues &amp; Expenses'!F30</f>
        <v>0</v>
      </c>
      <c r="G664" s="1038">
        <f>'Part VI-Revenues &amp; Expenses'!G30</f>
        <v>0</v>
      </c>
      <c r="H664" s="1038">
        <f>'Part VI-Revenues &amp; Expenses'!H30</f>
        <v>0</v>
      </c>
      <c r="I664" s="1038">
        <f>'Part VI-Revenues &amp; Expenses'!I30</f>
        <v>0</v>
      </c>
      <c r="J664" s="1101">
        <f>'Part VI-Revenues &amp; Expenses'!J30</f>
        <v>0</v>
      </c>
      <c r="K664" s="906">
        <f t="shared" si="204"/>
        <v>0</v>
      </c>
      <c r="L664" s="906">
        <f t="shared" si="0"/>
        <v>0</v>
      </c>
      <c r="M664" s="829">
        <f>'Part VI-Revenues &amp; Expenses'!M30</f>
        <v>0</v>
      </c>
      <c r="N664" s="829">
        <f>'Part VI-Revenues &amp; Expenses'!N30</f>
        <v>0</v>
      </c>
      <c r="O664" s="829">
        <f>'Part VI-Revenues &amp; Expenses'!O30</f>
        <v>0</v>
      </c>
      <c r="P664" s="907">
        <f t="shared" si="203"/>
        <v>0</v>
      </c>
      <c r="Q664" s="908" t="str">
        <f>'Part VI-Revenues &amp; Expenses'!Q30</f>
        <v/>
      </c>
      <c r="R664" s="907"/>
      <c r="S664" s="908"/>
      <c r="T664" s="1575"/>
      <c r="U664" s="1575"/>
      <c r="V664" s="1070" t="str">
        <f t="shared" si="1"/>
        <v/>
      </c>
      <c r="W664" s="1070" t="str">
        <f t="shared" si="2"/>
        <v/>
      </c>
      <c r="X664" s="1070" t="str">
        <f t="shared" si="3"/>
        <v/>
      </c>
      <c r="Y664" s="1070" t="str">
        <f t="shared" si="4"/>
        <v/>
      </c>
      <c r="Z664" s="1070" t="str">
        <f t="shared" si="5"/>
        <v/>
      </c>
      <c r="AA664" s="1070" t="str">
        <f t="shared" si="6"/>
        <v/>
      </c>
      <c r="AB664" s="1070" t="str">
        <f t="shared" si="7"/>
        <v/>
      </c>
      <c r="AC664" s="1070" t="str">
        <f t="shared" si="8"/>
        <v/>
      </c>
      <c r="AD664" s="1070" t="str">
        <f t="shared" si="9"/>
        <v/>
      </c>
      <c r="AE664" s="1070" t="str">
        <f t="shared" si="10"/>
        <v/>
      </c>
      <c r="AF664" s="1070" t="str">
        <f t="shared" si="11"/>
        <v/>
      </c>
      <c r="AG664" s="1070" t="str">
        <f t="shared" si="12"/>
        <v/>
      </c>
      <c r="AH664" s="1070" t="str">
        <f t="shared" si="13"/>
        <v/>
      </c>
      <c r="AI664" s="1070" t="str">
        <f t="shared" si="14"/>
        <v/>
      </c>
      <c r="AJ664" s="1070" t="str">
        <f t="shared" si="15"/>
        <v/>
      </c>
      <c r="AK664" s="1070" t="str">
        <f t="shared" si="16"/>
        <v/>
      </c>
      <c r="AL664" s="1070" t="str">
        <f t="shared" si="17"/>
        <v/>
      </c>
      <c r="AM664" s="1070" t="str">
        <f t="shared" si="18"/>
        <v/>
      </c>
      <c r="AN664" s="1070" t="str">
        <f t="shared" si="19"/>
        <v/>
      </c>
      <c r="AO664" s="1070" t="str">
        <f t="shared" si="20"/>
        <v/>
      </c>
      <c r="AP664" s="1070" t="str">
        <f t="shared" si="173"/>
        <v/>
      </c>
      <c r="AQ664" s="1070" t="str">
        <f t="shared" si="174"/>
        <v/>
      </c>
      <c r="AR664" s="1070" t="str">
        <f t="shared" si="175"/>
        <v/>
      </c>
      <c r="AS664" s="1070" t="str">
        <f t="shared" si="176"/>
        <v/>
      </c>
      <c r="AT664" s="1070" t="str">
        <f t="shared" si="177"/>
        <v/>
      </c>
      <c r="AU664" s="1070" t="str">
        <f t="shared" si="178"/>
        <v/>
      </c>
      <c r="AV664" s="1070" t="str">
        <f t="shared" si="179"/>
        <v/>
      </c>
      <c r="AW664" s="1070" t="str">
        <f t="shared" si="180"/>
        <v/>
      </c>
      <c r="AX664" s="1070" t="str">
        <f t="shared" si="181"/>
        <v/>
      </c>
      <c r="AY664" s="1070" t="str">
        <f t="shared" si="182"/>
        <v/>
      </c>
      <c r="AZ664" s="1070" t="str">
        <f t="shared" si="183"/>
        <v/>
      </c>
      <c r="BA664" s="1070" t="str">
        <f t="shared" si="184"/>
        <v/>
      </c>
      <c r="BB664" s="1070" t="str">
        <f t="shared" si="185"/>
        <v/>
      </c>
      <c r="BC664" s="1070" t="str">
        <f t="shared" si="186"/>
        <v/>
      </c>
      <c r="BD664" s="1070" t="str">
        <f t="shared" si="187"/>
        <v/>
      </c>
      <c r="BE664" s="1070" t="str">
        <f t="shared" si="188"/>
        <v/>
      </c>
      <c r="BF664" s="1070" t="str">
        <f t="shared" si="189"/>
        <v/>
      </c>
      <c r="BG664" s="1070" t="str">
        <f t="shared" si="190"/>
        <v/>
      </c>
      <c r="BH664" s="1070" t="str">
        <f t="shared" si="191"/>
        <v/>
      </c>
      <c r="BI664" s="1070" t="str">
        <f t="shared" si="192"/>
        <v/>
      </c>
      <c r="BJ664" s="1070" t="str">
        <f t="shared" si="193"/>
        <v/>
      </c>
      <c r="BK664" s="1070" t="str">
        <f t="shared" si="194"/>
        <v/>
      </c>
      <c r="BL664" s="1070" t="str">
        <f t="shared" si="195"/>
        <v/>
      </c>
      <c r="BM664" s="1070" t="str">
        <f t="shared" si="196"/>
        <v/>
      </c>
      <c r="BN664" s="1070" t="str">
        <f t="shared" si="197"/>
        <v/>
      </c>
      <c r="BO664" s="1070" t="str">
        <f t="shared" si="198"/>
        <v/>
      </c>
      <c r="BP664" s="1070" t="str">
        <f t="shared" si="199"/>
        <v/>
      </c>
      <c r="BQ664" s="1070" t="str">
        <f t="shared" si="200"/>
        <v/>
      </c>
      <c r="BR664" s="1070" t="str">
        <f t="shared" si="201"/>
        <v/>
      </c>
      <c r="BS664" s="1070" t="str">
        <f t="shared" si="202"/>
        <v/>
      </c>
      <c r="BT664" s="1070" t="str">
        <f t="shared" si="21"/>
        <v/>
      </c>
      <c r="BU664" s="1070" t="str">
        <f t="shared" si="22"/>
        <v/>
      </c>
      <c r="BV664" s="1070" t="str">
        <f t="shared" si="23"/>
        <v/>
      </c>
      <c r="BW664" s="1070" t="str">
        <f t="shared" si="24"/>
        <v/>
      </c>
      <c r="BX664" s="1070" t="str">
        <f t="shared" si="25"/>
        <v/>
      </c>
      <c r="BY664" s="1070" t="str">
        <f t="shared" si="26"/>
        <v/>
      </c>
      <c r="BZ664" s="1070" t="str">
        <f t="shared" si="27"/>
        <v/>
      </c>
      <c r="CA664" s="1070" t="str">
        <f t="shared" si="28"/>
        <v/>
      </c>
      <c r="CB664" s="1070" t="str">
        <f t="shared" si="29"/>
        <v/>
      </c>
      <c r="CC664" s="1070" t="str">
        <f t="shared" si="30"/>
        <v/>
      </c>
      <c r="CD664" s="1070" t="str">
        <f t="shared" si="31"/>
        <v/>
      </c>
      <c r="CE664" s="1070" t="str">
        <f t="shared" si="32"/>
        <v/>
      </c>
      <c r="CF664" s="1070" t="str">
        <f t="shared" si="33"/>
        <v/>
      </c>
      <c r="CG664" s="1070" t="str">
        <f t="shared" si="34"/>
        <v/>
      </c>
      <c r="CH664" s="1070" t="str">
        <f t="shared" si="35"/>
        <v/>
      </c>
      <c r="CI664" s="1070" t="str">
        <f t="shared" si="36"/>
        <v/>
      </c>
      <c r="CJ664" s="1070" t="str">
        <f t="shared" si="37"/>
        <v/>
      </c>
      <c r="CK664" s="1070" t="str">
        <f t="shared" si="38"/>
        <v/>
      </c>
      <c r="CL664" s="1070" t="str">
        <f t="shared" si="39"/>
        <v/>
      </c>
      <c r="CM664" s="1070" t="str">
        <f t="shared" si="40"/>
        <v/>
      </c>
      <c r="CN664" s="1070" t="str">
        <f t="shared" si="41"/>
        <v/>
      </c>
      <c r="CO664" s="1070" t="str">
        <f t="shared" si="42"/>
        <v/>
      </c>
      <c r="CP664" s="1070" t="str">
        <f t="shared" si="43"/>
        <v/>
      </c>
      <c r="CQ664" s="1070" t="str">
        <f t="shared" si="44"/>
        <v/>
      </c>
      <c r="CR664" s="1070" t="str">
        <f t="shared" si="45"/>
        <v/>
      </c>
      <c r="CS664" s="1070" t="str">
        <f t="shared" si="46"/>
        <v/>
      </c>
      <c r="CT664" s="1070" t="str">
        <f t="shared" si="47"/>
        <v/>
      </c>
      <c r="CU664" s="1070" t="str">
        <f t="shared" si="48"/>
        <v/>
      </c>
      <c r="CV664" s="1070" t="str">
        <f t="shared" si="49"/>
        <v/>
      </c>
      <c r="CW664" s="1070" t="str">
        <f t="shared" si="50"/>
        <v/>
      </c>
      <c r="CX664" s="1070" t="str">
        <f t="shared" si="51"/>
        <v/>
      </c>
      <c r="CY664" s="1070" t="str">
        <f t="shared" si="52"/>
        <v/>
      </c>
      <c r="CZ664" s="1070" t="str">
        <f t="shared" si="53"/>
        <v/>
      </c>
      <c r="DA664" s="1070" t="str">
        <f t="shared" si="54"/>
        <v/>
      </c>
      <c r="DB664" s="1070" t="str">
        <f t="shared" si="55"/>
        <v/>
      </c>
      <c r="DC664" s="1070" t="str">
        <f t="shared" si="56"/>
        <v/>
      </c>
      <c r="DD664" s="1070" t="str">
        <f t="shared" si="57"/>
        <v/>
      </c>
      <c r="DE664" s="1070" t="str">
        <f t="shared" si="58"/>
        <v/>
      </c>
      <c r="DF664" s="1070" t="str">
        <f t="shared" si="59"/>
        <v/>
      </c>
      <c r="DG664" s="1070" t="str">
        <f t="shared" si="60"/>
        <v/>
      </c>
      <c r="DH664" s="1070" t="str">
        <f t="shared" si="61"/>
        <v/>
      </c>
      <c r="DI664" s="1070" t="str">
        <f t="shared" si="62"/>
        <v/>
      </c>
      <c r="DJ664" s="1070" t="str">
        <f t="shared" si="63"/>
        <v/>
      </c>
      <c r="DK664" s="1070" t="str">
        <f t="shared" si="64"/>
        <v/>
      </c>
      <c r="DL664" s="1070" t="str">
        <f t="shared" si="65"/>
        <v/>
      </c>
      <c r="DM664" s="1070" t="str">
        <f t="shared" si="66"/>
        <v/>
      </c>
      <c r="DN664" s="1070" t="str">
        <f t="shared" si="67"/>
        <v/>
      </c>
      <c r="DO664" s="1070" t="str">
        <f t="shared" si="68"/>
        <v/>
      </c>
      <c r="DP664" s="1070" t="str">
        <f t="shared" si="69"/>
        <v/>
      </c>
      <c r="DQ664" s="1070" t="str">
        <f t="shared" si="70"/>
        <v/>
      </c>
      <c r="DR664" s="1070" t="str">
        <f t="shared" si="71"/>
        <v/>
      </c>
      <c r="DS664" s="1070" t="str">
        <f t="shared" si="72"/>
        <v/>
      </c>
      <c r="DT664" s="1070" t="str">
        <f t="shared" si="73"/>
        <v/>
      </c>
      <c r="DU664" s="1070" t="str">
        <f t="shared" si="74"/>
        <v/>
      </c>
      <c r="DV664" s="1070" t="str">
        <f t="shared" si="75"/>
        <v/>
      </c>
      <c r="DW664" s="1070" t="str">
        <f t="shared" si="76"/>
        <v/>
      </c>
      <c r="DX664" s="1070" t="str">
        <f t="shared" si="77"/>
        <v/>
      </c>
      <c r="DY664" s="1070" t="str">
        <f t="shared" si="78"/>
        <v/>
      </c>
      <c r="DZ664" s="1070" t="str">
        <f t="shared" si="79"/>
        <v/>
      </c>
      <c r="EA664" s="1070" t="str">
        <f t="shared" si="80"/>
        <v/>
      </c>
      <c r="EB664" s="1070" t="str">
        <f t="shared" si="81"/>
        <v/>
      </c>
      <c r="EC664" s="1070" t="str">
        <f t="shared" si="82"/>
        <v/>
      </c>
      <c r="ED664" s="1070" t="str">
        <f t="shared" si="83"/>
        <v/>
      </c>
      <c r="EE664" s="1070" t="str">
        <f t="shared" si="84"/>
        <v/>
      </c>
      <c r="EF664" s="1070" t="str">
        <f t="shared" si="85"/>
        <v/>
      </c>
      <c r="EG664" s="1070" t="str">
        <f t="shared" si="86"/>
        <v/>
      </c>
      <c r="EH664" s="1070" t="str">
        <f t="shared" si="87"/>
        <v/>
      </c>
      <c r="EI664" s="1070" t="str">
        <f t="shared" si="88"/>
        <v/>
      </c>
      <c r="EJ664" s="1070" t="str">
        <f t="shared" si="89"/>
        <v/>
      </c>
      <c r="EK664" s="1070" t="str">
        <f t="shared" si="90"/>
        <v/>
      </c>
      <c r="EL664" s="1070" t="str">
        <f t="shared" si="91"/>
        <v/>
      </c>
      <c r="EM664" s="1070" t="str">
        <f t="shared" si="92"/>
        <v/>
      </c>
      <c r="EN664" s="1070" t="str">
        <f t="shared" si="93"/>
        <v/>
      </c>
      <c r="EO664" s="1070" t="str">
        <f t="shared" si="94"/>
        <v/>
      </c>
      <c r="EP664" s="1070" t="str">
        <f t="shared" si="95"/>
        <v/>
      </c>
      <c r="EQ664" s="1070" t="str">
        <f t="shared" si="96"/>
        <v/>
      </c>
      <c r="ER664" s="1070" t="str">
        <f t="shared" si="97"/>
        <v/>
      </c>
      <c r="ES664" s="1070" t="str">
        <f t="shared" si="98"/>
        <v/>
      </c>
      <c r="ET664" s="1070" t="str">
        <f t="shared" si="99"/>
        <v/>
      </c>
      <c r="EU664" s="1070" t="str">
        <f t="shared" si="100"/>
        <v/>
      </c>
      <c r="EV664" s="831" t="str">
        <f t="shared" si="101"/>
        <v/>
      </c>
      <c r="EW664" s="831" t="str">
        <f t="shared" si="102"/>
        <v/>
      </c>
      <c r="EX664" s="831" t="str">
        <f t="shared" si="103"/>
        <v/>
      </c>
      <c r="EY664" s="831" t="str">
        <f t="shared" si="104"/>
        <v/>
      </c>
      <c r="EZ664" s="831" t="str">
        <f t="shared" si="105"/>
        <v/>
      </c>
      <c r="FA664" s="831" t="str">
        <f t="shared" si="106"/>
        <v/>
      </c>
      <c r="FB664" s="831" t="str">
        <f t="shared" si="107"/>
        <v/>
      </c>
      <c r="FC664" s="831" t="str">
        <f t="shared" si="108"/>
        <v/>
      </c>
      <c r="FD664" s="831" t="str">
        <f t="shared" si="109"/>
        <v/>
      </c>
      <c r="FE664" s="831" t="str">
        <f t="shared" si="110"/>
        <v/>
      </c>
      <c r="FF664" s="831" t="str">
        <f t="shared" si="111"/>
        <v/>
      </c>
      <c r="FG664" s="831" t="str">
        <f t="shared" si="112"/>
        <v/>
      </c>
      <c r="FH664" s="831" t="str">
        <f t="shared" si="113"/>
        <v/>
      </c>
      <c r="FI664" s="831" t="str">
        <f t="shared" si="114"/>
        <v/>
      </c>
      <c r="FJ664" s="831" t="str">
        <f t="shared" si="115"/>
        <v/>
      </c>
      <c r="FK664" s="831" t="str">
        <f t="shared" si="116"/>
        <v/>
      </c>
      <c r="FL664" s="831" t="str">
        <f t="shared" si="117"/>
        <v/>
      </c>
      <c r="FM664" s="831" t="str">
        <f t="shared" si="118"/>
        <v/>
      </c>
      <c r="FN664" s="831" t="str">
        <f t="shared" si="119"/>
        <v/>
      </c>
      <c r="FO664" s="831" t="str">
        <f t="shared" si="120"/>
        <v/>
      </c>
      <c r="FP664" s="831" t="str">
        <f t="shared" si="121"/>
        <v/>
      </c>
      <c r="FQ664" s="831" t="str">
        <f t="shared" si="122"/>
        <v/>
      </c>
      <c r="FR664" s="831" t="str">
        <f t="shared" si="123"/>
        <v/>
      </c>
      <c r="FS664" s="831" t="str">
        <f t="shared" si="124"/>
        <v/>
      </c>
      <c r="FT664" s="831" t="str">
        <f t="shared" si="125"/>
        <v/>
      </c>
      <c r="FU664" s="831" t="str">
        <f t="shared" si="126"/>
        <v/>
      </c>
      <c r="FV664" s="831" t="str">
        <f t="shared" si="127"/>
        <v/>
      </c>
      <c r="FW664" s="831" t="str">
        <f t="shared" si="128"/>
        <v/>
      </c>
      <c r="FX664" s="831" t="str">
        <f t="shared" si="129"/>
        <v/>
      </c>
      <c r="FY664" s="831" t="str">
        <f t="shared" si="130"/>
        <v/>
      </c>
      <c r="FZ664" s="831" t="str">
        <f t="shared" si="131"/>
        <v/>
      </c>
      <c r="GA664" s="831" t="str">
        <f t="shared" si="132"/>
        <v/>
      </c>
      <c r="GB664" s="831" t="str">
        <f t="shared" si="133"/>
        <v/>
      </c>
      <c r="GC664" s="831" t="str">
        <f t="shared" si="134"/>
        <v/>
      </c>
      <c r="GD664" s="831" t="str">
        <f t="shared" si="135"/>
        <v/>
      </c>
      <c r="GE664" s="831" t="str">
        <f t="shared" si="136"/>
        <v/>
      </c>
      <c r="GF664" s="831" t="str">
        <f t="shared" si="137"/>
        <v/>
      </c>
      <c r="GG664" s="831" t="str">
        <f t="shared" si="138"/>
        <v/>
      </c>
      <c r="GH664" s="831" t="str">
        <f t="shared" si="139"/>
        <v/>
      </c>
      <c r="GI664" s="831" t="str">
        <f t="shared" si="140"/>
        <v/>
      </c>
      <c r="GJ664" s="831" t="str">
        <f t="shared" si="141"/>
        <v/>
      </c>
      <c r="GK664" s="831" t="str">
        <f t="shared" si="142"/>
        <v/>
      </c>
      <c r="GL664" s="831" t="str">
        <f t="shared" si="143"/>
        <v/>
      </c>
      <c r="GM664" s="831" t="str">
        <f t="shared" si="144"/>
        <v/>
      </c>
      <c r="GN664" s="831" t="str">
        <f t="shared" si="145"/>
        <v/>
      </c>
      <c r="GO664" s="1113" t="str">
        <f t="shared" si="146"/>
        <v/>
      </c>
      <c r="GP664" s="1113" t="str">
        <f t="shared" si="147"/>
        <v/>
      </c>
      <c r="GQ664" s="1113" t="str">
        <f t="shared" si="148"/>
        <v/>
      </c>
      <c r="GR664" s="1113" t="str">
        <f t="shared" si="149"/>
        <v/>
      </c>
      <c r="GS664" s="1113" t="str">
        <f t="shared" si="150"/>
        <v/>
      </c>
      <c r="GT664" s="1070" t="str">
        <f t="shared" si="151"/>
        <v/>
      </c>
      <c r="GU664" s="1070" t="str">
        <f t="shared" si="152"/>
        <v/>
      </c>
      <c r="GV664" s="1070" t="str">
        <f t="shared" si="153"/>
        <v/>
      </c>
      <c r="GW664" s="1070" t="str">
        <f t="shared" si="154"/>
        <v/>
      </c>
      <c r="GX664" s="1070" t="str">
        <f t="shared" si="155"/>
        <v/>
      </c>
      <c r="GY664" s="1070" t="str">
        <f t="shared" si="156"/>
        <v/>
      </c>
      <c r="GZ664" s="1070" t="str">
        <f t="shared" si="157"/>
        <v/>
      </c>
      <c r="HA664" s="1070" t="str">
        <f t="shared" si="158"/>
        <v/>
      </c>
      <c r="HB664" s="1070" t="str">
        <f t="shared" si="159"/>
        <v/>
      </c>
      <c r="HC664" s="1070" t="str">
        <f t="shared" si="160"/>
        <v/>
      </c>
      <c r="HD664" s="1070" t="str">
        <f t="shared" si="161"/>
        <v/>
      </c>
      <c r="HE664" s="1070" t="str">
        <f t="shared" si="162"/>
        <v/>
      </c>
      <c r="HF664" s="1070" t="str">
        <f t="shared" si="163"/>
        <v/>
      </c>
      <c r="HG664" s="1070" t="str">
        <f t="shared" si="164"/>
        <v/>
      </c>
      <c r="HH664" s="1070" t="str">
        <f t="shared" si="165"/>
        <v/>
      </c>
      <c r="HI664" s="1070" t="str">
        <f t="shared" si="166"/>
        <v/>
      </c>
      <c r="HJ664" s="1070" t="str">
        <f t="shared" si="167"/>
        <v/>
      </c>
      <c r="HK664" s="1070" t="str">
        <f t="shared" si="168"/>
        <v/>
      </c>
      <c r="HL664" s="1070" t="str">
        <f t="shared" si="169"/>
        <v/>
      </c>
      <c r="HM664" s="1070" t="str">
        <f t="shared" si="170"/>
        <v/>
      </c>
    </row>
    <row r="665" spans="1:221" ht="13.15" customHeight="1">
      <c r="A665" s="1082" t="str">
        <f t="shared" si="171"/>
        <v/>
      </c>
      <c r="B665" s="1035" t="str">
        <f>'Part VI-Revenues &amp; Expenses'!B31</f>
        <v>&lt;&lt;Select&gt;&gt;</v>
      </c>
      <c r="C665" s="1036">
        <f>'Part VI-Revenues &amp; Expenses'!C31</f>
        <v>0</v>
      </c>
      <c r="D665" s="1037">
        <f>'Part VI-Revenues &amp; Expenses'!D31</f>
        <v>0</v>
      </c>
      <c r="E665" s="1038">
        <f>'Part VI-Revenues &amp; Expenses'!E31</f>
        <v>0</v>
      </c>
      <c r="F665" s="1038">
        <f>'Part VI-Revenues &amp; Expenses'!F31</f>
        <v>0</v>
      </c>
      <c r="G665" s="1038">
        <f>'Part VI-Revenues &amp; Expenses'!G31</f>
        <v>0</v>
      </c>
      <c r="H665" s="1038">
        <f>'Part VI-Revenues &amp; Expenses'!H31</f>
        <v>0</v>
      </c>
      <c r="I665" s="1038">
        <f>'Part VI-Revenues &amp; Expenses'!I31</f>
        <v>0</v>
      </c>
      <c r="J665" s="1101">
        <f>'Part VI-Revenues &amp; Expenses'!J31</f>
        <v>0</v>
      </c>
      <c r="K665" s="906">
        <f t="shared" si="204"/>
        <v>0</v>
      </c>
      <c r="L665" s="906">
        <f t="shared" si="0"/>
        <v>0</v>
      </c>
      <c r="M665" s="829">
        <f>'Part VI-Revenues &amp; Expenses'!M31</f>
        <v>0</v>
      </c>
      <c r="N665" s="829">
        <f>'Part VI-Revenues &amp; Expenses'!N31</f>
        <v>0</v>
      </c>
      <c r="O665" s="829">
        <f>'Part VI-Revenues &amp; Expenses'!O31</f>
        <v>0</v>
      </c>
      <c r="P665" s="907">
        <f t="shared" si="203"/>
        <v>0</v>
      </c>
      <c r="Q665" s="908" t="str">
        <f>'Part VI-Revenues &amp; Expenses'!Q31</f>
        <v/>
      </c>
      <c r="R665" s="907"/>
      <c r="S665" s="908"/>
      <c r="T665" s="1575"/>
      <c r="U665" s="1575"/>
      <c r="V665" s="1070" t="str">
        <f t="shared" si="1"/>
        <v/>
      </c>
      <c r="W665" s="1070" t="str">
        <f t="shared" si="2"/>
        <v/>
      </c>
      <c r="X665" s="1070" t="str">
        <f t="shared" si="3"/>
        <v/>
      </c>
      <c r="Y665" s="1070" t="str">
        <f t="shared" si="4"/>
        <v/>
      </c>
      <c r="Z665" s="1070" t="str">
        <f t="shared" si="5"/>
        <v/>
      </c>
      <c r="AA665" s="1070" t="str">
        <f t="shared" si="6"/>
        <v/>
      </c>
      <c r="AB665" s="1070" t="str">
        <f t="shared" si="7"/>
        <v/>
      </c>
      <c r="AC665" s="1070" t="str">
        <f t="shared" si="8"/>
        <v/>
      </c>
      <c r="AD665" s="1070" t="str">
        <f t="shared" si="9"/>
        <v/>
      </c>
      <c r="AE665" s="1070" t="str">
        <f t="shared" si="10"/>
        <v/>
      </c>
      <c r="AF665" s="1070" t="str">
        <f t="shared" si="11"/>
        <v/>
      </c>
      <c r="AG665" s="1070" t="str">
        <f t="shared" si="12"/>
        <v/>
      </c>
      <c r="AH665" s="1070" t="str">
        <f t="shared" si="13"/>
        <v/>
      </c>
      <c r="AI665" s="1070" t="str">
        <f t="shared" si="14"/>
        <v/>
      </c>
      <c r="AJ665" s="1070" t="str">
        <f t="shared" si="15"/>
        <v/>
      </c>
      <c r="AK665" s="1070" t="str">
        <f t="shared" si="16"/>
        <v/>
      </c>
      <c r="AL665" s="1070" t="str">
        <f t="shared" si="17"/>
        <v/>
      </c>
      <c r="AM665" s="1070" t="str">
        <f t="shared" si="18"/>
        <v/>
      </c>
      <c r="AN665" s="1070" t="str">
        <f t="shared" si="19"/>
        <v/>
      </c>
      <c r="AO665" s="1070" t="str">
        <f t="shared" si="20"/>
        <v/>
      </c>
      <c r="AP665" s="1070" t="str">
        <f t="shared" si="173"/>
        <v/>
      </c>
      <c r="AQ665" s="1070" t="str">
        <f t="shared" si="174"/>
        <v/>
      </c>
      <c r="AR665" s="1070" t="str">
        <f t="shared" si="175"/>
        <v/>
      </c>
      <c r="AS665" s="1070" t="str">
        <f t="shared" si="176"/>
        <v/>
      </c>
      <c r="AT665" s="1070" t="str">
        <f t="shared" si="177"/>
        <v/>
      </c>
      <c r="AU665" s="1070" t="str">
        <f t="shared" si="178"/>
        <v/>
      </c>
      <c r="AV665" s="1070" t="str">
        <f t="shared" si="179"/>
        <v/>
      </c>
      <c r="AW665" s="1070" t="str">
        <f t="shared" si="180"/>
        <v/>
      </c>
      <c r="AX665" s="1070" t="str">
        <f t="shared" si="181"/>
        <v/>
      </c>
      <c r="AY665" s="1070" t="str">
        <f t="shared" si="182"/>
        <v/>
      </c>
      <c r="AZ665" s="1070" t="str">
        <f t="shared" si="183"/>
        <v/>
      </c>
      <c r="BA665" s="1070" t="str">
        <f t="shared" si="184"/>
        <v/>
      </c>
      <c r="BB665" s="1070" t="str">
        <f t="shared" si="185"/>
        <v/>
      </c>
      <c r="BC665" s="1070" t="str">
        <f t="shared" si="186"/>
        <v/>
      </c>
      <c r="BD665" s="1070" t="str">
        <f t="shared" si="187"/>
        <v/>
      </c>
      <c r="BE665" s="1070" t="str">
        <f t="shared" si="188"/>
        <v/>
      </c>
      <c r="BF665" s="1070" t="str">
        <f t="shared" si="189"/>
        <v/>
      </c>
      <c r="BG665" s="1070" t="str">
        <f t="shared" si="190"/>
        <v/>
      </c>
      <c r="BH665" s="1070" t="str">
        <f t="shared" si="191"/>
        <v/>
      </c>
      <c r="BI665" s="1070" t="str">
        <f t="shared" si="192"/>
        <v/>
      </c>
      <c r="BJ665" s="1070" t="str">
        <f t="shared" si="193"/>
        <v/>
      </c>
      <c r="BK665" s="1070" t="str">
        <f t="shared" si="194"/>
        <v/>
      </c>
      <c r="BL665" s="1070" t="str">
        <f t="shared" si="195"/>
        <v/>
      </c>
      <c r="BM665" s="1070" t="str">
        <f t="shared" si="196"/>
        <v/>
      </c>
      <c r="BN665" s="1070" t="str">
        <f t="shared" si="197"/>
        <v/>
      </c>
      <c r="BO665" s="1070" t="str">
        <f t="shared" si="198"/>
        <v/>
      </c>
      <c r="BP665" s="1070" t="str">
        <f t="shared" si="199"/>
        <v/>
      </c>
      <c r="BQ665" s="1070" t="str">
        <f t="shared" si="200"/>
        <v/>
      </c>
      <c r="BR665" s="1070" t="str">
        <f t="shared" si="201"/>
        <v/>
      </c>
      <c r="BS665" s="1070" t="str">
        <f t="shared" si="202"/>
        <v/>
      </c>
      <c r="BT665" s="1070" t="str">
        <f t="shared" si="21"/>
        <v/>
      </c>
      <c r="BU665" s="1070" t="str">
        <f t="shared" si="22"/>
        <v/>
      </c>
      <c r="BV665" s="1070" t="str">
        <f t="shared" si="23"/>
        <v/>
      </c>
      <c r="BW665" s="1070" t="str">
        <f t="shared" si="24"/>
        <v/>
      </c>
      <c r="BX665" s="1070" t="str">
        <f t="shared" si="25"/>
        <v/>
      </c>
      <c r="BY665" s="1070" t="str">
        <f t="shared" si="26"/>
        <v/>
      </c>
      <c r="BZ665" s="1070" t="str">
        <f t="shared" si="27"/>
        <v/>
      </c>
      <c r="CA665" s="1070" t="str">
        <f t="shared" si="28"/>
        <v/>
      </c>
      <c r="CB665" s="1070" t="str">
        <f t="shared" si="29"/>
        <v/>
      </c>
      <c r="CC665" s="1070" t="str">
        <f t="shared" si="30"/>
        <v/>
      </c>
      <c r="CD665" s="1070" t="str">
        <f t="shared" si="31"/>
        <v/>
      </c>
      <c r="CE665" s="1070" t="str">
        <f t="shared" si="32"/>
        <v/>
      </c>
      <c r="CF665" s="1070" t="str">
        <f t="shared" si="33"/>
        <v/>
      </c>
      <c r="CG665" s="1070" t="str">
        <f t="shared" si="34"/>
        <v/>
      </c>
      <c r="CH665" s="1070" t="str">
        <f t="shared" si="35"/>
        <v/>
      </c>
      <c r="CI665" s="1070" t="str">
        <f t="shared" si="36"/>
        <v/>
      </c>
      <c r="CJ665" s="1070" t="str">
        <f t="shared" si="37"/>
        <v/>
      </c>
      <c r="CK665" s="1070" t="str">
        <f t="shared" si="38"/>
        <v/>
      </c>
      <c r="CL665" s="1070" t="str">
        <f t="shared" si="39"/>
        <v/>
      </c>
      <c r="CM665" s="1070" t="str">
        <f t="shared" si="40"/>
        <v/>
      </c>
      <c r="CN665" s="1070" t="str">
        <f t="shared" si="41"/>
        <v/>
      </c>
      <c r="CO665" s="1070" t="str">
        <f t="shared" si="42"/>
        <v/>
      </c>
      <c r="CP665" s="1070" t="str">
        <f t="shared" si="43"/>
        <v/>
      </c>
      <c r="CQ665" s="1070" t="str">
        <f t="shared" si="44"/>
        <v/>
      </c>
      <c r="CR665" s="1070" t="str">
        <f t="shared" si="45"/>
        <v/>
      </c>
      <c r="CS665" s="1070" t="str">
        <f t="shared" si="46"/>
        <v/>
      </c>
      <c r="CT665" s="1070" t="str">
        <f t="shared" si="47"/>
        <v/>
      </c>
      <c r="CU665" s="1070" t="str">
        <f t="shared" si="48"/>
        <v/>
      </c>
      <c r="CV665" s="1070" t="str">
        <f t="shared" si="49"/>
        <v/>
      </c>
      <c r="CW665" s="1070" t="str">
        <f t="shared" si="50"/>
        <v/>
      </c>
      <c r="CX665" s="1070" t="str">
        <f t="shared" si="51"/>
        <v/>
      </c>
      <c r="CY665" s="1070" t="str">
        <f t="shared" si="52"/>
        <v/>
      </c>
      <c r="CZ665" s="1070" t="str">
        <f t="shared" si="53"/>
        <v/>
      </c>
      <c r="DA665" s="1070" t="str">
        <f t="shared" si="54"/>
        <v/>
      </c>
      <c r="DB665" s="1070" t="str">
        <f t="shared" si="55"/>
        <v/>
      </c>
      <c r="DC665" s="1070" t="str">
        <f t="shared" si="56"/>
        <v/>
      </c>
      <c r="DD665" s="1070" t="str">
        <f t="shared" si="57"/>
        <v/>
      </c>
      <c r="DE665" s="1070" t="str">
        <f t="shared" si="58"/>
        <v/>
      </c>
      <c r="DF665" s="1070" t="str">
        <f t="shared" si="59"/>
        <v/>
      </c>
      <c r="DG665" s="1070" t="str">
        <f t="shared" si="60"/>
        <v/>
      </c>
      <c r="DH665" s="1070" t="str">
        <f t="shared" si="61"/>
        <v/>
      </c>
      <c r="DI665" s="1070" t="str">
        <f t="shared" si="62"/>
        <v/>
      </c>
      <c r="DJ665" s="1070" t="str">
        <f t="shared" si="63"/>
        <v/>
      </c>
      <c r="DK665" s="1070" t="str">
        <f t="shared" si="64"/>
        <v/>
      </c>
      <c r="DL665" s="1070" t="str">
        <f t="shared" si="65"/>
        <v/>
      </c>
      <c r="DM665" s="1070" t="str">
        <f t="shared" si="66"/>
        <v/>
      </c>
      <c r="DN665" s="1070" t="str">
        <f t="shared" si="67"/>
        <v/>
      </c>
      <c r="DO665" s="1070" t="str">
        <f t="shared" si="68"/>
        <v/>
      </c>
      <c r="DP665" s="1070" t="str">
        <f t="shared" si="69"/>
        <v/>
      </c>
      <c r="DQ665" s="1070" t="str">
        <f t="shared" si="70"/>
        <v/>
      </c>
      <c r="DR665" s="1070" t="str">
        <f t="shared" si="71"/>
        <v/>
      </c>
      <c r="DS665" s="1070" t="str">
        <f t="shared" si="72"/>
        <v/>
      </c>
      <c r="DT665" s="1070" t="str">
        <f t="shared" si="73"/>
        <v/>
      </c>
      <c r="DU665" s="1070" t="str">
        <f t="shared" si="74"/>
        <v/>
      </c>
      <c r="DV665" s="1070" t="str">
        <f t="shared" si="75"/>
        <v/>
      </c>
      <c r="DW665" s="1070" t="str">
        <f t="shared" si="76"/>
        <v/>
      </c>
      <c r="DX665" s="1070" t="str">
        <f t="shared" si="77"/>
        <v/>
      </c>
      <c r="DY665" s="1070" t="str">
        <f t="shared" si="78"/>
        <v/>
      </c>
      <c r="DZ665" s="1070" t="str">
        <f t="shared" si="79"/>
        <v/>
      </c>
      <c r="EA665" s="1070" t="str">
        <f t="shared" si="80"/>
        <v/>
      </c>
      <c r="EB665" s="1070" t="str">
        <f t="shared" si="81"/>
        <v/>
      </c>
      <c r="EC665" s="1070" t="str">
        <f t="shared" si="82"/>
        <v/>
      </c>
      <c r="ED665" s="1070" t="str">
        <f t="shared" si="83"/>
        <v/>
      </c>
      <c r="EE665" s="1070" t="str">
        <f t="shared" si="84"/>
        <v/>
      </c>
      <c r="EF665" s="1070" t="str">
        <f t="shared" si="85"/>
        <v/>
      </c>
      <c r="EG665" s="1070" t="str">
        <f t="shared" si="86"/>
        <v/>
      </c>
      <c r="EH665" s="1070" t="str">
        <f t="shared" si="87"/>
        <v/>
      </c>
      <c r="EI665" s="1070" t="str">
        <f t="shared" si="88"/>
        <v/>
      </c>
      <c r="EJ665" s="1070" t="str">
        <f t="shared" si="89"/>
        <v/>
      </c>
      <c r="EK665" s="1070" t="str">
        <f t="shared" si="90"/>
        <v/>
      </c>
      <c r="EL665" s="1070" t="str">
        <f t="shared" si="91"/>
        <v/>
      </c>
      <c r="EM665" s="1070" t="str">
        <f t="shared" si="92"/>
        <v/>
      </c>
      <c r="EN665" s="1070" t="str">
        <f t="shared" si="93"/>
        <v/>
      </c>
      <c r="EO665" s="1070" t="str">
        <f t="shared" si="94"/>
        <v/>
      </c>
      <c r="EP665" s="1070" t="str">
        <f t="shared" si="95"/>
        <v/>
      </c>
      <c r="EQ665" s="1070" t="str">
        <f t="shared" si="96"/>
        <v/>
      </c>
      <c r="ER665" s="1070" t="str">
        <f t="shared" si="97"/>
        <v/>
      </c>
      <c r="ES665" s="1070" t="str">
        <f t="shared" si="98"/>
        <v/>
      </c>
      <c r="ET665" s="1070" t="str">
        <f t="shared" si="99"/>
        <v/>
      </c>
      <c r="EU665" s="1070" t="str">
        <f t="shared" si="100"/>
        <v/>
      </c>
      <c r="EV665" s="831" t="str">
        <f t="shared" si="101"/>
        <v/>
      </c>
      <c r="EW665" s="831" t="str">
        <f t="shared" si="102"/>
        <v/>
      </c>
      <c r="EX665" s="831" t="str">
        <f t="shared" si="103"/>
        <v/>
      </c>
      <c r="EY665" s="831" t="str">
        <f t="shared" si="104"/>
        <v/>
      </c>
      <c r="EZ665" s="831" t="str">
        <f t="shared" si="105"/>
        <v/>
      </c>
      <c r="FA665" s="831" t="str">
        <f t="shared" si="106"/>
        <v/>
      </c>
      <c r="FB665" s="831" t="str">
        <f t="shared" si="107"/>
        <v/>
      </c>
      <c r="FC665" s="831" t="str">
        <f t="shared" si="108"/>
        <v/>
      </c>
      <c r="FD665" s="831" t="str">
        <f t="shared" si="109"/>
        <v/>
      </c>
      <c r="FE665" s="831" t="str">
        <f t="shared" si="110"/>
        <v/>
      </c>
      <c r="FF665" s="831" t="str">
        <f t="shared" si="111"/>
        <v/>
      </c>
      <c r="FG665" s="831" t="str">
        <f t="shared" si="112"/>
        <v/>
      </c>
      <c r="FH665" s="831" t="str">
        <f t="shared" si="113"/>
        <v/>
      </c>
      <c r="FI665" s="831" t="str">
        <f t="shared" si="114"/>
        <v/>
      </c>
      <c r="FJ665" s="831" t="str">
        <f t="shared" si="115"/>
        <v/>
      </c>
      <c r="FK665" s="831" t="str">
        <f t="shared" si="116"/>
        <v/>
      </c>
      <c r="FL665" s="831" t="str">
        <f t="shared" si="117"/>
        <v/>
      </c>
      <c r="FM665" s="831" t="str">
        <f t="shared" si="118"/>
        <v/>
      </c>
      <c r="FN665" s="831" t="str">
        <f t="shared" si="119"/>
        <v/>
      </c>
      <c r="FO665" s="831" t="str">
        <f t="shared" si="120"/>
        <v/>
      </c>
      <c r="FP665" s="831" t="str">
        <f t="shared" si="121"/>
        <v/>
      </c>
      <c r="FQ665" s="831" t="str">
        <f t="shared" si="122"/>
        <v/>
      </c>
      <c r="FR665" s="831" t="str">
        <f t="shared" si="123"/>
        <v/>
      </c>
      <c r="FS665" s="831" t="str">
        <f t="shared" si="124"/>
        <v/>
      </c>
      <c r="FT665" s="831" t="str">
        <f t="shared" si="125"/>
        <v/>
      </c>
      <c r="FU665" s="831" t="str">
        <f t="shared" si="126"/>
        <v/>
      </c>
      <c r="FV665" s="831" t="str">
        <f t="shared" si="127"/>
        <v/>
      </c>
      <c r="FW665" s="831" t="str">
        <f t="shared" si="128"/>
        <v/>
      </c>
      <c r="FX665" s="831" t="str">
        <f t="shared" si="129"/>
        <v/>
      </c>
      <c r="FY665" s="831" t="str">
        <f t="shared" si="130"/>
        <v/>
      </c>
      <c r="FZ665" s="831" t="str">
        <f t="shared" si="131"/>
        <v/>
      </c>
      <c r="GA665" s="831" t="str">
        <f t="shared" si="132"/>
        <v/>
      </c>
      <c r="GB665" s="831" t="str">
        <f t="shared" si="133"/>
        <v/>
      </c>
      <c r="GC665" s="831" t="str">
        <f t="shared" si="134"/>
        <v/>
      </c>
      <c r="GD665" s="831" t="str">
        <f t="shared" si="135"/>
        <v/>
      </c>
      <c r="GE665" s="831" t="str">
        <f t="shared" si="136"/>
        <v/>
      </c>
      <c r="GF665" s="831" t="str">
        <f t="shared" si="137"/>
        <v/>
      </c>
      <c r="GG665" s="831" t="str">
        <f t="shared" si="138"/>
        <v/>
      </c>
      <c r="GH665" s="831" t="str">
        <f t="shared" si="139"/>
        <v/>
      </c>
      <c r="GI665" s="831" t="str">
        <f t="shared" si="140"/>
        <v/>
      </c>
      <c r="GJ665" s="831" t="str">
        <f t="shared" si="141"/>
        <v/>
      </c>
      <c r="GK665" s="831" t="str">
        <f t="shared" si="142"/>
        <v/>
      </c>
      <c r="GL665" s="831" t="str">
        <f t="shared" si="143"/>
        <v/>
      </c>
      <c r="GM665" s="831" t="str">
        <f t="shared" si="144"/>
        <v/>
      </c>
      <c r="GN665" s="831" t="str">
        <f t="shared" si="145"/>
        <v/>
      </c>
      <c r="GO665" s="1113" t="str">
        <f t="shared" si="146"/>
        <v/>
      </c>
      <c r="GP665" s="1113" t="str">
        <f t="shared" si="147"/>
        <v/>
      </c>
      <c r="GQ665" s="1113" t="str">
        <f t="shared" si="148"/>
        <v/>
      </c>
      <c r="GR665" s="1113" t="str">
        <f t="shared" si="149"/>
        <v/>
      </c>
      <c r="GS665" s="1113" t="str">
        <f t="shared" si="150"/>
        <v/>
      </c>
      <c r="GT665" s="1070" t="str">
        <f t="shared" si="151"/>
        <v/>
      </c>
      <c r="GU665" s="1070" t="str">
        <f t="shared" si="152"/>
        <v/>
      </c>
      <c r="GV665" s="1070" t="str">
        <f t="shared" si="153"/>
        <v/>
      </c>
      <c r="GW665" s="1070" t="str">
        <f t="shared" si="154"/>
        <v/>
      </c>
      <c r="GX665" s="1070" t="str">
        <f t="shared" si="155"/>
        <v/>
      </c>
      <c r="GY665" s="1070" t="str">
        <f t="shared" si="156"/>
        <v/>
      </c>
      <c r="GZ665" s="1070" t="str">
        <f t="shared" si="157"/>
        <v/>
      </c>
      <c r="HA665" s="1070" t="str">
        <f t="shared" si="158"/>
        <v/>
      </c>
      <c r="HB665" s="1070" t="str">
        <f t="shared" si="159"/>
        <v/>
      </c>
      <c r="HC665" s="1070" t="str">
        <f t="shared" si="160"/>
        <v/>
      </c>
      <c r="HD665" s="1070" t="str">
        <f t="shared" si="161"/>
        <v/>
      </c>
      <c r="HE665" s="1070" t="str">
        <f t="shared" si="162"/>
        <v/>
      </c>
      <c r="HF665" s="1070" t="str">
        <f t="shared" si="163"/>
        <v/>
      </c>
      <c r="HG665" s="1070" t="str">
        <f t="shared" si="164"/>
        <v/>
      </c>
      <c r="HH665" s="1070" t="str">
        <f t="shared" si="165"/>
        <v/>
      </c>
      <c r="HI665" s="1070" t="str">
        <f t="shared" si="166"/>
        <v/>
      </c>
      <c r="HJ665" s="1070" t="str">
        <f t="shared" si="167"/>
        <v/>
      </c>
      <c r="HK665" s="1070" t="str">
        <f t="shared" si="168"/>
        <v/>
      </c>
      <c r="HL665" s="1070" t="str">
        <f t="shared" si="169"/>
        <v/>
      </c>
      <c r="HM665" s="1070" t="str">
        <f t="shared" si="170"/>
        <v/>
      </c>
    </row>
    <row r="666" spans="1:221" ht="13.15" customHeight="1">
      <c r="A666" s="1082" t="str">
        <f t="shared" si="171"/>
        <v/>
      </c>
      <c r="B666" s="1035" t="str">
        <f>'Part VI-Revenues &amp; Expenses'!B32</f>
        <v>&lt;&lt;Select&gt;&gt;</v>
      </c>
      <c r="C666" s="1036">
        <f>'Part VI-Revenues &amp; Expenses'!C32</f>
        <v>0</v>
      </c>
      <c r="D666" s="1037">
        <f>'Part VI-Revenues &amp; Expenses'!D32</f>
        <v>0</v>
      </c>
      <c r="E666" s="1038">
        <f>'Part VI-Revenues &amp; Expenses'!E32</f>
        <v>0</v>
      </c>
      <c r="F666" s="1038">
        <f>'Part VI-Revenues &amp; Expenses'!F32</f>
        <v>0</v>
      </c>
      <c r="G666" s="1038">
        <f>'Part VI-Revenues &amp; Expenses'!G32</f>
        <v>0</v>
      </c>
      <c r="H666" s="1038">
        <f>'Part VI-Revenues &amp; Expenses'!H32</f>
        <v>0</v>
      </c>
      <c r="I666" s="1038">
        <f>'Part VI-Revenues &amp; Expenses'!I32</f>
        <v>0</v>
      </c>
      <c r="J666" s="1101">
        <f>'Part VI-Revenues &amp; Expenses'!J32</f>
        <v>0</v>
      </c>
      <c r="K666" s="906">
        <f t="shared" si="204"/>
        <v>0</v>
      </c>
      <c r="L666" s="906">
        <f t="shared" si="0"/>
        <v>0</v>
      </c>
      <c r="M666" s="829">
        <f>'Part VI-Revenues &amp; Expenses'!M32</f>
        <v>0</v>
      </c>
      <c r="N666" s="829">
        <f>'Part VI-Revenues &amp; Expenses'!N32</f>
        <v>0</v>
      </c>
      <c r="O666" s="829">
        <f>'Part VI-Revenues &amp; Expenses'!O32</f>
        <v>0</v>
      </c>
      <c r="P666" s="907">
        <f t="shared" si="203"/>
        <v>0</v>
      </c>
      <c r="Q666" s="908" t="str">
        <f>'Part VI-Revenues &amp; Expenses'!Q32</f>
        <v/>
      </c>
      <c r="R666" s="907"/>
      <c r="S666" s="908"/>
      <c r="T666" s="1575"/>
      <c r="U666" s="1575"/>
      <c r="V666" s="1070" t="str">
        <f t="shared" si="1"/>
        <v/>
      </c>
      <c r="W666" s="1070" t="str">
        <f t="shared" si="2"/>
        <v/>
      </c>
      <c r="X666" s="1070" t="str">
        <f t="shared" si="3"/>
        <v/>
      </c>
      <c r="Y666" s="1070" t="str">
        <f t="shared" si="4"/>
        <v/>
      </c>
      <c r="Z666" s="1070" t="str">
        <f t="shared" si="5"/>
        <v/>
      </c>
      <c r="AA666" s="1070" t="str">
        <f t="shared" si="6"/>
        <v/>
      </c>
      <c r="AB666" s="1070" t="str">
        <f t="shared" si="7"/>
        <v/>
      </c>
      <c r="AC666" s="1070" t="str">
        <f t="shared" si="8"/>
        <v/>
      </c>
      <c r="AD666" s="1070" t="str">
        <f t="shared" si="9"/>
        <v/>
      </c>
      <c r="AE666" s="1070" t="str">
        <f t="shared" si="10"/>
        <v/>
      </c>
      <c r="AF666" s="1070" t="str">
        <f t="shared" si="11"/>
        <v/>
      </c>
      <c r="AG666" s="1070" t="str">
        <f t="shared" si="12"/>
        <v/>
      </c>
      <c r="AH666" s="1070" t="str">
        <f t="shared" si="13"/>
        <v/>
      </c>
      <c r="AI666" s="1070" t="str">
        <f t="shared" si="14"/>
        <v/>
      </c>
      <c r="AJ666" s="1070" t="str">
        <f t="shared" si="15"/>
        <v/>
      </c>
      <c r="AK666" s="1070" t="str">
        <f t="shared" si="16"/>
        <v/>
      </c>
      <c r="AL666" s="1070" t="str">
        <f t="shared" si="17"/>
        <v/>
      </c>
      <c r="AM666" s="1070" t="str">
        <f t="shared" si="18"/>
        <v/>
      </c>
      <c r="AN666" s="1070" t="str">
        <f t="shared" si="19"/>
        <v/>
      </c>
      <c r="AO666" s="1070" t="str">
        <f t="shared" si="20"/>
        <v/>
      </c>
      <c r="AP666" s="1070" t="str">
        <f t="shared" si="173"/>
        <v/>
      </c>
      <c r="AQ666" s="1070" t="str">
        <f t="shared" si="174"/>
        <v/>
      </c>
      <c r="AR666" s="1070" t="str">
        <f t="shared" si="175"/>
        <v/>
      </c>
      <c r="AS666" s="1070" t="str">
        <f t="shared" si="176"/>
        <v/>
      </c>
      <c r="AT666" s="1070" t="str">
        <f t="shared" si="177"/>
        <v/>
      </c>
      <c r="AU666" s="1070" t="str">
        <f t="shared" si="178"/>
        <v/>
      </c>
      <c r="AV666" s="1070" t="str">
        <f t="shared" si="179"/>
        <v/>
      </c>
      <c r="AW666" s="1070" t="str">
        <f t="shared" si="180"/>
        <v/>
      </c>
      <c r="AX666" s="1070" t="str">
        <f t="shared" si="181"/>
        <v/>
      </c>
      <c r="AY666" s="1070" t="str">
        <f t="shared" si="182"/>
        <v/>
      </c>
      <c r="AZ666" s="1070" t="str">
        <f t="shared" si="183"/>
        <v/>
      </c>
      <c r="BA666" s="1070" t="str">
        <f t="shared" si="184"/>
        <v/>
      </c>
      <c r="BB666" s="1070" t="str">
        <f t="shared" si="185"/>
        <v/>
      </c>
      <c r="BC666" s="1070" t="str">
        <f t="shared" si="186"/>
        <v/>
      </c>
      <c r="BD666" s="1070" t="str">
        <f t="shared" si="187"/>
        <v/>
      </c>
      <c r="BE666" s="1070" t="str">
        <f t="shared" si="188"/>
        <v/>
      </c>
      <c r="BF666" s="1070" t="str">
        <f t="shared" si="189"/>
        <v/>
      </c>
      <c r="BG666" s="1070" t="str">
        <f t="shared" si="190"/>
        <v/>
      </c>
      <c r="BH666" s="1070" t="str">
        <f t="shared" si="191"/>
        <v/>
      </c>
      <c r="BI666" s="1070" t="str">
        <f t="shared" si="192"/>
        <v/>
      </c>
      <c r="BJ666" s="1070" t="str">
        <f t="shared" si="193"/>
        <v/>
      </c>
      <c r="BK666" s="1070" t="str">
        <f t="shared" si="194"/>
        <v/>
      </c>
      <c r="BL666" s="1070" t="str">
        <f t="shared" si="195"/>
        <v/>
      </c>
      <c r="BM666" s="1070" t="str">
        <f t="shared" si="196"/>
        <v/>
      </c>
      <c r="BN666" s="1070" t="str">
        <f t="shared" si="197"/>
        <v/>
      </c>
      <c r="BO666" s="1070" t="str">
        <f t="shared" si="198"/>
        <v/>
      </c>
      <c r="BP666" s="1070" t="str">
        <f t="shared" si="199"/>
        <v/>
      </c>
      <c r="BQ666" s="1070" t="str">
        <f t="shared" si="200"/>
        <v/>
      </c>
      <c r="BR666" s="1070" t="str">
        <f t="shared" si="201"/>
        <v/>
      </c>
      <c r="BS666" s="1070" t="str">
        <f t="shared" si="202"/>
        <v/>
      </c>
      <c r="BT666" s="1070" t="str">
        <f t="shared" si="21"/>
        <v/>
      </c>
      <c r="BU666" s="1070" t="str">
        <f t="shared" si="22"/>
        <v/>
      </c>
      <c r="BV666" s="1070" t="str">
        <f t="shared" si="23"/>
        <v/>
      </c>
      <c r="BW666" s="1070" t="str">
        <f t="shared" si="24"/>
        <v/>
      </c>
      <c r="BX666" s="1070" t="str">
        <f t="shared" si="25"/>
        <v/>
      </c>
      <c r="BY666" s="1070" t="str">
        <f t="shared" si="26"/>
        <v/>
      </c>
      <c r="BZ666" s="1070" t="str">
        <f t="shared" si="27"/>
        <v/>
      </c>
      <c r="CA666" s="1070" t="str">
        <f t="shared" si="28"/>
        <v/>
      </c>
      <c r="CB666" s="1070" t="str">
        <f t="shared" si="29"/>
        <v/>
      </c>
      <c r="CC666" s="1070" t="str">
        <f t="shared" si="30"/>
        <v/>
      </c>
      <c r="CD666" s="1070" t="str">
        <f t="shared" si="31"/>
        <v/>
      </c>
      <c r="CE666" s="1070" t="str">
        <f t="shared" si="32"/>
        <v/>
      </c>
      <c r="CF666" s="1070" t="str">
        <f t="shared" si="33"/>
        <v/>
      </c>
      <c r="CG666" s="1070" t="str">
        <f t="shared" si="34"/>
        <v/>
      </c>
      <c r="CH666" s="1070" t="str">
        <f t="shared" si="35"/>
        <v/>
      </c>
      <c r="CI666" s="1070" t="str">
        <f t="shared" si="36"/>
        <v/>
      </c>
      <c r="CJ666" s="1070" t="str">
        <f t="shared" si="37"/>
        <v/>
      </c>
      <c r="CK666" s="1070" t="str">
        <f t="shared" si="38"/>
        <v/>
      </c>
      <c r="CL666" s="1070" t="str">
        <f t="shared" si="39"/>
        <v/>
      </c>
      <c r="CM666" s="1070" t="str">
        <f t="shared" si="40"/>
        <v/>
      </c>
      <c r="CN666" s="1070" t="str">
        <f t="shared" si="41"/>
        <v/>
      </c>
      <c r="CO666" s="1070" t="str">
        <f t="shared" si="42"/>
        <v/>
      </c>
      <c r="CP666" s="1070" t="str">
        <f t="shared" si="43"/>
        <v/>
      </c>
      <c r="CQ666" s="1070" t="str">
        <f t="shared" si="44"/>
        <v/>
      </c>
      <c r="CR666" s="1070" t="str">
        <f t="shared" si="45"/>
        <v/>
      </c>
      <c r="CS666" s="1070" t="str">
        <f t="shared" si="46"/>
        <v/>
      </c>
      <c r="CT666" s="1070" t="str">
        <f t="shared" si="47"/>
        <v/>
      </c>
      <c r="CU666" s="1070" t="str">
        <f t="shared" si="48"/>
        <v/>
      </c>
      <c r="CV666" s="1070" t="str">
        <f t="shared" si="49"/>
        <v/>
      </c>
      <c r="CW666" s="1070" t="str">
        <f t="shared" si="50"/>
        <v/>
      </c>
      <c r="CX666" s="1070" t="str">
        <f t="shared" si="51"/>
        <v/>
      </c>
      <c r="CY666" s="1070" t="str">
        <f t="shared" si="52"/>
        <v/>
      </c>
      <c r="CZ666" s="1070" t="str">
        <f t="shared" si="53"/>
        <v/>
      </c>
      <c r="DA666" s="1070" t="str">
        <f t="shared" si="54"/>
        <v/>
      </c>
      <c r="DB666" s="1070" t="str">
        <f t="shared" si="55"/>
        <v/>
      </c>
      <c r="DC666" s="1070" t="str">
        <f t="shared" si="56"/>
        <v/>
      </c>
      <c r="DD666" s="1070" t="str">
        <f t="shared" si="57"/>
        <v/>
      </c>
      <c r="DE666" s="1070" t="str">
        <f t="shared" si="58"/>
        <v/>
      </c>
      <c r="DF666" s="1070" t="str">
        <f t="shared" si="59"/>
        <v/>
      </c>
      <c r="DG666" s="1070" t="str">
        <f t="shared" si="60"/>
        <v/>
      </c>
      <c r="DH666" s="1070" t="str">
        <f t="shared" si="61"/>
        <v/>
      </c>
      <c r="DI666" s="1070" t="str">
        <f t="shared" si="62"/>
        <v/>
      </c>
      <c r="DJ666" s="1070" t="str">
        <f t="shared" si="63"/>
        <v/>
      </c>
      <c r="DK666" s="1070" t="str">
        <f t="shared" si="64"/>
        <v/>
      </c>
      <c r="DL666" s="1070" t="str">
        <f t="shared" si="65"/>
        <v/>
      </c>
      <c r="DM666" s="1070" t="str">
        <f t="shared" si="66"/>
        <v/>
      </c>
      <c r="DN666" s="1070" t="str">
        <f t="shared" si="67"/>
        <v/>
      </c>
      <c r="DO666" s="1070" t="str">
        <f t="shared" si="68"/>
        <v/>
      </c>
      <c r="DP666" s="1070" t="str">
        <f t="shared" si="69"/>
        <v/>
      </c>
      <c r="DQ666" s="1070" t="str">
        <f t="shared" si="70"/>
        <v/>
      </c>
      <c r="DR666" s="1070" t="str">
        <f t="shared" si="71"/>
        <v/>
      </c>
      <c r="DS666" s="1070" t="str">
        <f t="shared" si="72"/>
        <v/>
      </c>
      <c r="DT666" s="1070" t="str">
        <f t="shared" si="73"/>
        <v/>
      </c>
      <c r="DU666" s="1070" t="str">
        <f t="shared" si="74"/>
        <v/>
      </c>
      <c r="DV666" s="1070" t="str">
        <f t="shared" si="75"/>
        <v/>
      </c>
      <c r="DW666" s="1070" t="str">
        <f t="shared" si="76"/>
        <v/>
      </c>
      <c r="DX666" s="1070" t="str">
        <f t="shared" si="77"/>
        <v/>
      </c>
      <c r="DY666" s="1070" t="str">
        <f t="shared" si="78"/>
        <v/>
      </c>
      <c r="DZ666" s="1070" t="str">
        <f t="shared" si="79"/>
        <v/>
      </c>
      <c r="EA666" s="1070" t="str">
        <f t="shared" si="80"/>
        <v/>
      </c>
      <c r="EB666" s="1070" t="str">
        <f t="shared" si="81"/>
        <v/>
      </c>
      <c r="EC666" s="1070" t="str">
        <f t="shared" si="82"/>
        <v/>
      </c>
      <c r="ED666" s="1070" t="str">
        <f t="shared" si="83"/>
        <v/>
      </c>
      <c r="EE666" s="1070" t="str">
        <f t="shared" si="84"/>
        <v/>
      </c>
      <c r="EF666" s="1070" t="str">
        <f t="shared" si="85"/>
        <v/>
      </c>
      <c r="EG666" s="1070" t="str">
        <f t="shared" si="86"/>
        <v/>
      </c>
      <c r="EH666" s="1070" t="str">
        <f t="shared" si="87"/>
        <v/>
      </c>
      <c r="EI666" s="1070" t="str">
        <f t="shared" si="88"/>
        <v/>
      </c>
      <c r="EJ666" s="1070" t="str">
        <f t="shared" si="89"/>
        <v/>
      </c>
      <c r="EK666" s="1070" t="str">
        <f t="shared" si="90"/>
        <v/>
      </c>
      <c r="EL666" s="1070" t="str">
        <f t="shared" si="91"/>
        <v/>
      </c>
      <c r="EM666" s="1070" t="str">
        <f t="shared" si="92"/>
        <v/>
      </c>
      <c r="EN666" s="1070" t="str">
        <f t="shared" si="93"/>
        <v/>
      </c>
      <c r="EO666" s="1070" t="str">
        <f t="shared" si="94"/>
        <v/>
      </c>
      <c r="EP666" s="1070" t="str">
        <f t="shared" si="95"/>
        <v/>
      </c>
      <c r="EQ666" s="1070" t="str">
        <f t="shared" si="96"/>
        <v/>
      </c>
      <c r="ER666" s="1070" t="str">
        <f t="shared" si="97"/>
        <v/>
      </c>
      <c r="ES666" s="1070" t="str">
        <f t="shared" si="98"/>
        <v/>
      </c>
      <c r="ET666" s="1070" t="str">
        <f t="shared" si="99"/>
        <v/>
      </c>
      <c r="EU666" s="1070" t="str">
        <f t="shared" si="100"/>
        <v/>
      </c>
      <c r="EV666" s="831" t="str">
        <f t="shared" si="101"/>
        <v/>
      </c>
      <c r="EW666" s="831" t="str">
        <f t="shared" si="102"/>
        <v/>
      </c>
      <c r="EX666" s="831" t="str">
        <f t="shared" si="103"/>
        <v/>
      </c>
      <c r="EY666" s="831" t="str">
        <f t="shared" si="104"/>
        <v/>
      </c>
      <c r="EZ666" s="831" t="str">
        <f t="shared" si="105"/>
        <v/>
      </c>
      <c r="FA666" s="831" t="str">
        <f t="shared" si="106"/>
        <v/>
      </c>
      <c r="FB666" s="831" t="str">
        <f t="shared" si="107"/>
        <v/>
      </c>
      <c r="FC666" s="831" t="str">
        <f t="shared" si="108"/>
        <v/>
      </c>
      <c r="FD666" s="831" t="str">
        <f t="shared" si="109"/>
        <v/>
      </c>
      <c r="FE666" s="831" t="str">
        <f t="shared" si="110"/>
        <v/>
      </c>
      <c r="FF666" s="831" t="str">
        <f t="shared" si="111"/>
        <v/>
      </c>
      <c r="FG666" s="831" t="str">
        <f t="shared" si="112"/>
        <v/>
      </c>
      <c r="FH666" s="831" t="str">
        <f t="shared" si="113"/>
        <v/>
      </c>
      <c r="FI666" s="831" t="str">
        <f t="shared" si="114"/>
        <v/>
      </c>
      <c r="FJ666" s="831" t="str">
        <f t="shared" si="115"/>
        <v/>
      </c>
      <c r="FK666" s="831" t="str">
        <f t="shared" si="116"/>
        <v/>
      </c>
      <c r="FL666" s="831" t="str">
        <f t="shared" si="117"/>
        <v/>
      </c>
      <c r="FM666" s="831" t="str">
        <f t="shared" si="118"/>
        <v/>
      </c>
      <c r="FN666" s="831" t="str">
        <f t="shared" si="119"/>
        <v/>
      </c>
      <c r="FO666" s="831" t="str">
        <f t="shared" si="120"/>
        <v/>
      </c>
      <c r="FP666" s="831" t="str">
        <f t="shared" si="121"/>
        <v/>
      </c>
      <c r="FQ666" s="831" t="str">
        <f t="shared" si="122"/>
        <v/>
      </c>
      <c r="FR666" s="831" t="str">
        <f t="shared" si="123"/>
        <v/>
      </c>
      <c r="FS666" s="831" t="str">
        <f t="shared" si="124"/>
        <v/>
      </c>
      <c r="FT666" s="831" t="str">
        <f t="shared" si="125"/>
        <v/>
      </c>
      <c r="FU666" s="831" t="str">
        <f t="shared" si="126"/>
        <v/>
      </c>
      <c r="FV666" s="831" t="str">
        <f t="shared" si="127"/>
        <v/>
      </c>
      <c r="FW666" s="831" t="str">
        <f t="shared" si="128"/>
        <v/>
      </c>
      <c r="FX666" s="831" t="str">
        <f t="shared" si="129"/>
        <v/>
      </c>
      <c r="FY666" s="831" t="str">
        <f t="shared" si="130"/>
        <v/>
      </c>
      <c r="FZ666" s="831" t="str">
        <f t="shared" si="131"/>
        <v/>
      </c>
      <c r="GA666" s="831" t="str">
        <f t="shared" si="132"/>
        <v/>
      </c>
      <c r="GB666" s="831" t="str">
        <f t="shared" si="133"/>
        <v/>
      </c>
      <c r="GC666" s="831" t="str">
        <f t="shared" si="134"/>
        <v/>
      </c>
      <c r="GD666" s="831" t="str">
        <f t="shared" si="135"/>
        <v/>
      </c>
      <c r="GE666" s="831" t="str">
        <f t="shared" si="136"/>
        <v/>
      </c>
      <c r="GF666" s="831" t="str">
        <f t="shared" si="137"/>
        <v/>
      </c>
      <c r="GG666" s="831" t="str">
        <f t="shared" si="138"/>
        <v/>
      </c>
      <c r="GH666" s="831" t="str">
        <f t="shared" si="139"/>
        <v/>
      </c>
      <c r="GI666" s="831" t="str">
        <f t="shared" si="140"/>
        <v/>
      </c>
      <c r="GJ666" s="831" t="str">
        <f t="shared" si="141"/>
        <v/>
      </c>
      <c r="GK666" s="831" t="str">
        <f t="shared" si="142"/>
        <v/>
      </c>
      <c r="GL666" s="831" t="str">
        <f t="shared" si="143"/>
        <v/>
      </c>
      <c r="GM666" s="831" t="str">
        <f t="shared" si="144"/>
        <v/>
      </c>
      <c r="GN666" s="831" t="str">
        <f t="shared" si="145"/>
        <v/>
      </c>
      <c r="GO666" s="1113" t="str">
        <f t="shared" si="146"/>
        <v/>
      </c>
      <c r="GP666" s="1113" t="str">
        <f t="shared" si="147"/>
        <v/>
      </c>
      <c r="GQ666" s="1113" t="str">
        <f t="shared" si="148"/>
        <v/>
      </c>
      <c r="GR666" s="1113" t="str">
        <f t="shared" si="149"/>
        <v/>
      </c>
      <c r="GS666" s="1113" t="str">
        <f t="shared" si="150"/>
        <v/>
      </c>
      <c r="GT666" s="1070" t="str">
        <f t="shared" si="151"/>
        <v/>
      </c>
      <c r="GU666" s="1070" t="str">
        <f t="shared" si="152"/>
        <v/>
      </c>
      <c r="GV666" s="1070" t="str">
        <f t="shared" si="153"/>
        <v/>
      </c>
      <c r="GW666" s="1070" t="str">
        <f t="shared" si="154"/>
        <v/>
      </c>
      <c r="GX666" s="1070" t="str">
        <f t="shared" si="155"/>
        <v/>
      </c>
      <c r="GY666" s="1070" t="str">
        <f t="shared" si="156"/>
        <v/>
      </c>
      <c r="GZ666" s="1070" t="str">
        <f t="shared" si="157"/>
        <v/>
      </c>
      <c r="HA666" s="1070" t="str">
        <f t="shared" si="158"/>
        <v/>
      </c>
      <c r="HB666" s="1070" t="str">
        <f t="shared" si="159"/>
        <v/>
      </c>
      <c r="HC666" s="1070" t="str">
        <f t="shared" si="160"/>
        <v/>
      </c>
      <c r="HD666" s="1070" t="str">
        <f t="shared" si="161"/>
        <v/>
      </c>
      <c r="HE666" s="1070" t="str">
        <f t="shared" si="162"/>
        <v/>
      </c>
      <c r="HF666" s="1070" t="str">
        <f t="shared" si="163"/>
        <v/>
      </c>
      <c r="HG666" s="1070" t="str">
        <f t="shared" si="164"/>
        <v/>
      </c>
      <c r="HH666" s="1070" t="str">
        <f t="shared" si="165"/>
        <v/>
      </c>
      <c r="HI666" s="1070" t="str">
        <f t="shared" si="166"/>
        <v/>
      </c>
      <c r="HJ666" s="1070" t="str">
        <f t="shared" si="167"/>
        <v/>
      </c>
      <c r="HK666" s="1070" t="str">
        <f t="shared" si="168"/>
        <v/>
      </c>
      <c r="HL666" s="1070" t="str">
        <f t="shared" si="169"/>
        <v/>
      </c>
      <c r="HM666" s="1070" t="str">
        <f t="shared" si="170"/>
        <v/>
      </c>
    </row>
    <row r="667" spans="1:221" ht="13.15" customHeight="1">
      <c r="A667" s="1082" t="str">
        <f t="shared" si="171"/>
        <v/>
      </c>
      <c r="B667" s="1035" t="str">
        <f>'Part VI-Revenues &amp; Expenses'!B33</f>
        <v>&lt;&lt;Select&gt;&gt;</v>
      </c>
      <c r="C667" s="1036">
        <f>'Part VI-Revenues &amp; Expenses'!C33</f>
        <v>0</v>
      </c>
      <c r="D667" s="1037">
        <f>'Part VI-Revenues &amp; Expenses'!D33</f>
        <v>0</v>
      </c>
      <c r="E667" s="1038">
        <f>'Part VI-Revenues &amp; Expenses'!E33</f>
        <v>0</v>
      </c>
      <c r="F667" s="1038">
        <f>'Part VI-Revenues &amp; Expenses'!F33</f>
        <v>0</v>
      </c>
      <c r="G667" s="1038">
        <f>'Part VI-Revenues &amp; Expenses'!G33</f>
        <v>0</v>
      </c>
      <c r="H667" s="1038">
        <f>'Part VI-Revenues &amp; Expenses'!H33</f>
        <v>0</v>
      </c>
      <c r="I667" s="1038">
        <f>'Part VI-Revenues &amp; Expenses'!I33</f>
        <v>0</v>
      </c>
      <c r="J667" s="1101">
        <f>'Part VI-Revenues &amp; Expenses'!J33</f>
        <v>0</v>
      </c>
      <c r="K667" s="906">
        <f t="shared" si="204"/>
        <v>0</v>
      </c>
      <c r="L667" s="906">
        <f t="shared" si="0"/>
        <v>0</v>
      </c>
      <c r="M667" s="829">
        <f>'Part VI-Revenues &amp; Expenses'!M33</f>
        <v>0</v>
      </c>
      <c r="N667" s="829">
        <f>'Part VI-Revenues &amp; Expenses'!N33</f>
        <v>0</v>
      </c>
      <c r="O667" s="829">
        <f>'Part VI-Revenues &amp; Expenses'!O33</f>
        <v>0</v>
      </c>
      <c r="P667" s="907">
        <f t="shared" si="203"/>
        <v>0</v>
      </c>
      <c r="Q667" s="908" t="str">
        <f>'Part VI-Revenues &amp; Expenses'!Q33</f>
        <v/>
      </c>
      <c r="R667" s="907"/>
      <c r="S667" s="908"/>
      <c r="T667" s="1575"/>
      <c r="U667" s="1575"/>
      <c r="V667" s="1070" t="str">
        <f t="shared" si="1"/>
        <v/>
      </c>
      <c r="W667" s="1070" t="str">
        <f t="shared" si="2"/>
        <v/>
      </c>
      <c r="X667" s="1070" t="str">
        <f t="shared" si="3"/>
        <v/>
      </c>
      <c r="Y667" s="1070" t="str">
        <f t="shared" si="4"/>
        <v/>
      </c>
      <c r="Z667" s="1070" t="str">
        <f t="shared" si="5"/>
        <v/>
      </c>
      <c r="AA667" s="1070" t="str">
        <f t="shared" si="6"/>
        <v/>
      </c>
      <c r="AB667" s="1070" t="str">
        <f t="shared" si="7"/>
        <v/>
      </c>
      <c r="AC667" s="1070" t="str">
        <f t="shared" si="8"/>
        <v/>
      </c>
      <c r="AD667" s="1070" t="str">
        <f t="shared" si="9"/>
        <v/>
      </c>
      <c r="AE667" s="1070" t="str">
        <f t="shared" si="10"/>
        <v/>
      </c>
      <c r="AF667" s="1070" t="str">
        <f t="shared" si="11"/>
        <v/>
      </c>
      <c r="AG667" s="1070" t="str">
        <f t="shared" si="12"/>
        <v/>
      </c>
      <c r="AH667" s="1070" t="str">
        <f t="shared" si="13"/>
        <v/>
      </c>
      <c r="AI667" s="1070" t="str">
        <f t="shared" si="14"/>
        <v/>
      </c>
      <c r="AJ667" s="1070" t="str">
        <f t="shared" si="15"/>
        <v/>
      </c>
      <c r="AK667" s="1070" t="str">
        <f t="shared" si="16"/>
        <v/>
      </c>
      <c r="AL667" s="1070" t="str">
        <f t="shared" si="17"/>
        <v/>
      </c>
      <c r="AM667" s="1070" t="str">
        <f t="shared" si="18"/>
        <v/>
      </c>
      <c r="AN667" s="1070" t="str">
        <f t="shared" si="19"/>
        <v/>
      </c>
      <c r="AO667" s="1070" t="str">
        <f t="shared" si="20"/>
        <v/>
      </c>
      <c r="AP667" s="1070" t="str">
        <f t="shared" si="173"/>
        <v/>
      </c>
      <c r="AQ667" s="1070" t="str">
        <f t="shared" si="174"/>
        <v/>
      </c>
      <c r="AR667" s="1070" t="str">
        <f t="shared" si="175"/>
        <v/>
      </c>
      <c r="AS667" s="1070" t="str">
        <f t="shared" si="176"/>
        <v/>
      </c>
      <c r="AT667" s="1070" t="str">
        <f t="shared" si="177"/>
        <v/>
      </c>
      <c r="AU667" s="1070" t="str">
        <f t="shared" si="178"/>
        <v/>
      </c>
      <c r="AV667" s="1070" t="str">
        <f t="shared" si="179"/>
        <v/>
      </c>
      <c r="AW667" s="1070" t="str">
        <f t="shared" si="180"/>
        <v/>
      </c>
      <c r="AX667" s="1070" t="str">
        <f t="shared" si="181"/>
        <v/>
      </c>
      <c r="AY667" s="1070" t="str">
        <f t="shared" si="182"/>
        <v/>
      </c>
      <c r="AZ667" s="1070" t="str">
        <f t="shared" si="183"/>
        <v/>
      </c>
      <c r="BA667" s="1070" t="str">
        <f t="shared" si="184"/>
        <v/>
      </c>
      <c r="BB667" s="1070" t="str">
        <f t="shared" si="185"/>
        <v/>
      </c>
      <c r="BC667" s="1070" t="str">
        <f t="shared" si="186"/>
        <v/>
      </c>
      <c r="BD667" s="1070" t="str">
        <f t="shared" si="187"/>
        <v/>
      </c>
      <c r="BE667" s="1070" t="str">
        <f t="shared" si="188"/>
        <v/>
      </c>
      <c r="BF667" s="1070" t="str">
        <f t="shared" si="189"/>
        <v/>
      </c>
      <c r="BG667" s="1070" t="str">
        <f t="shared" si="190"/>
        <v/>
      </c>
      <c r="BH667" s="1070" t="str">
        <f t="shared" si="191"/>
        <v/>
      </c>
      <c r="BI667" s="1070" t="str">
        <f t="shared" si="192"/>
        <v/>
      </c>
      <c r="BJ667" s="1070" t="str">
        <f t="shared" si="193"/>
        <v/>
      </c>
      <c r="BK667" s="1070" t="str">
        <f t="shared" si="194"/>
        <v/>
      </c>
      <c r="BL667" s="1070" t="str">
        <f t="shared" si="195"/>
        <v/>
      </c>
      <c r="BM667" s="1070" t="str">
        <f t="shared" si="196"/>
        <v/>
      </c>
      <c r="BN667" s="1070" t="str">
        <f t="shared" si="197"/>
        <v/>
      </c>
      <c r="BO667" s="1070" t="str">
        <f t="shared" si="198"/>
        <v/>
      </c>
      <c r="BP667" s="1070" t="str">
        <f t="shared" si="199"/>
        <v/>
      </c>
      <c r="BQ667" s="1070" t="str">
        <f t="shared" si="200"/>
        <v/>
      </c>
      <c r="BR667" s="1070" t="str">
        <f t="shared" si="201"/>
        <v/>
      </c>
      <c r="BS667" s="1070" t="str">
        <f t="shared" si="202"/>
        <v/>
      </c>
      <c r="BT667" s="1070" t="str">
        <f t="shared" si="21"/>
        <v/>
      </c>
      <c r="BU667" s="1070" t="str">
        <f t="shared" si="22"/>
        <v/>
      </c>
      <c r="BV667" s="1070" t="str">
        <f t="shared" si="23"/>
        <v/>
      </c>
      <c r="BW667" s="1070" t="str">
        <f t="shared" si="24"/>
        <v/>
      </c>
      <c r="BX667" s="1070" t="str">
        <f t="shared" si="25"/>
        <v/>
      </c>
      <c r="BY667" s="1070" t="str">
        <f t="shared" si="26"/>
        <v/>
      </c>
      <c r="BZ667" s="1070" t="str">
        <f t="shared" si="27"/>
        <v/>
      </c>
      <c r="CA667" s="1070" t="str">
        <f t="shared" si="28"/>
        <v/>
      </c>
      <c r="CB667" s="1070" t="str">
        <f t="shared" si="29"/>
        <v/>
      </c>
      <c r="CC667" s="1070" t="str">
        <f t="shared" si="30"/>
        <v/>
      </c>
      <c r="CD667" s="1070" t="str">
        <f t="shared" si="31"/>
        <v/>
      </c>
      <c r="CE667" s="1070" t="str">
        <f t="shared" si="32"/>
        <v/>
      </c>
      <c r="CF667" s="1070" t="str">
        <f t="shared" si="33"/>
        <v/>
      </c>
      <c r="CG667" s="1070" t="str">
        <f t="shared" si="34"/>
        <v/>
      </c>
      <c r="CH667" s="1070" t="str">
        <f t="shared" si="35"/>
        <v/>
      </c>
      <c r="CI667" s="1070" t="str">
        <f t="shared" si="36"/>
        <v/>
      </c>
      <c r="CJ667" s="1070" t="str">
        <f t="shared" si="37"/>
        <v/>
      </c>
      <c r="CK667" s="1070" t="str">
        <f t="shared" si="38"/>
        <v/>
      </c>
      <c r="CL667" s="1070" t="str">
        <f t="shared" si="39"/>
        <v/>
      </c>
      <c r="CM667" s="1070" t="str">
        <f t="shared" si="40"/>
        <v/>
      </c>
      <c r="CN667" s="1070" t="str">
        <f t="shared" si="41"/>
        <v/>
      </c>
      <c r="CO667" s="1070" t="str">
        <f t="shared" si="42"/>
        <v/>
      </c>
      <c r="CP667" s="1070" t="str">
        <f t="shared" si="43"/>
        <v/>
      </c>
      <c r="CQ667" s="1070" t="str">
        <f t="shared" si="44"/>
        <v/>
      </c>
      <c r="CR667" s="1070" t="str">
        <f t="shared" si="45"/>
        <v/>
      </c>
      <c r="CS667" s="1070" t="str">
        <f t="shared" si="46"/>
        <v/>
      </c>
      <c r="CT667" s="1070" t="str">
        <f t="shared" si="47"/>
        <v/>
      </c>
      <c r="CU667" s="1070" t="str">
        <f t="shared" si="48"/>
        <v/>
      </c>
      <c r="CV667" s="1070" t="str">
        <f t="shared" si="49"/>
        <v/>
      </c>
      <c r="CW667" s="1070" t="str">
        <f t="shared" si="50"/>
        <v/>
      </c>
      <c r="CX667" s="1070" t="str">
        <f t="shared" si="51"/>
        <v/>
      </c>
      <c r="CY667" s="1070" t="str">
        <f t="shared" si="52"/>
        <v/>
      </c>
      <c r="CZ667" s="1070" t="str">
        <f t="shared" si="53"/>
        <v/>
      </c>
      <c r="DA667" s="1070" t="str">
        <f t="shared" si="54"/>
        <v/>
      </c>
      <c r="DB667" s="1070" t="str">
        <f t="shared" si="55"/>
        <v/>
      </c>
      <c r="DC667" s="1070" t="str">
        <f t="shared" si="56"/>
        <v/>
      </c>
      <c r="DD667" s="1070" t="str">
        <f t="shared" si="57"/>
        <v/>
      </c>
      <c r="DE667" s="1070" t="str">
        <f t="shared" si="58"/>
        <v/>
      </c>
      <c r="DF667" s="1070" t="str">
        <f t="shared" si="59"/>
        <v/>
      </c>
      <c r="DG667" s="1070" t="str">
        <f t="shared" si="60"/>
        <v/>
      </c>
      <c r="DH667" s="1070" t="str">
        <f t="shared" si="61"/>
        <v/>
      </c>
      <c r="DI667" s="1070" t="str">
        <f t="shared" si="62"/>
        <v/>
      </c>
      <c r="DJ667" s="1070" t="str">
        <f t="shared" si="63"/>
        <v/>
      </c>
      <c r="DK667" s="1070" t="str">
        <f t="shared" si="64"/>
        <v/>
      </c>
      <c r="DL667" s="1070" t="str">
        <f t="shared" si="65"/>
        <v/>
      </c>
      <c r="DM667" s="1070" t="str">
        <f t="shared" si="66"/>
        <v/>
      </c>
      <c r="DN667" s="1070" t="str">
        <f t="shared" si="67"/>
        <v/>
      </c>
      <c r="DO667" s="1070" t="str">
        <f t="shared" si="68"/>
        <v/>
      </c>
      <c r="DP667" s="1070" t="str">
        <f t="shared" si="69"/>
        <v/>
      </c>
      <c r="DQ667" s="1070" t="str">
        <f t="shared" si="70"/>
        <v/>
      </c>
      <c r="DR667" s="1070" t="str">
        <f t="shared" si="71"/>
        <v/>
      </c>
      <c r="DS667" s="1070" t="str">
        <f t="shared" si="72"/>
        <v/>
      </c>
      <c r="DT667" s="1070" t="str">
        <f t="shared" si="73"/>
        <v/>
      </c>
      <c r="DU667" s="1070" t="str">
        <f t="shared" si="74"/>
        <v/>
      </c>
      <c r="DV667" s="1070" t="str">
        <f t="shared" si="75"/>
        <v/>
      </c>
      <c r="DW667" s="1070" t="str">
        <f t="shared" si="76"/>
        <v/>
      </c>
      <c r="DX667" s="1070" t="str">
        <f t="shared" si="77"/>
        <v/>
      </c>
      <c r="DY667" s="1070" t="str">
        <f t="shared" si="78"/>
        <v/>
      </c>
      <c r="DZ667" s="1070" t="str">
        <f t="shared" si="79"/>
        <v/>
      </c>
      <c r="EA667" s="1070" t="str">
        <f t="shared" si="80"/>
        <v/>
      </c>
      <c r="EB667" s="1070" t="str">
        <f t="shared" si="81"/>
        <v/>
      </c>
      <c r="EC667" s="1070" t="str">
        <f t="shared" si="82"/>
        <v/>
      </c>
      <c r="ED667" s="1070" t="str">
        <f t="shared" si="83"/>
        <v/>
      </c>
      <c r="EE667" s="1070" t="str">
        <f t="shared" si="84"/>
        <v/>
      </c>
      <c r="EF667" s="1070" t="str">
        <f t="shared" si="85"/>
        <v/>
      </c>
      <c r="EG667" s="1070" t="str">
        <f t="shared" si="86"/>
        <v/>
      </c>
      <c r="EH667" s="1070" t="str">
        <f t="shared" si="87"/>
        <v/>
      </c>
      <c r="EI667" s="1070" t="str">
        <f t="shared" si="88"/>
        <v/>
      </c>
      <c r="EJ667" s="1070" t="str">
        <f t="shared" si="89"/>
        <v/>
      </c>
      <c r="EK667" s="1070" t="str">
        <f t="shared" si="90"/>
        <v/>
      </c>
      <c r="EL667" s="1070" t="str">
        <f t="shared" si="91"/>
        <v/>
      </c>
      <c r="EM667" s="1070" t="str">
        <f t="shared" si="92"/>
        <v/>
      </c>
      <c r="EN667" s="1070" t="str">
        <f t="shared" si="93"/>
        <v/>
      </c>
      <c r="EO667" s="1070" t="str">
        <f t="shared" si="94"/>
        <v/>
      </c>
      <c r="EP667" s="1070" t="str">
        <f t="shared" si="95"/>
        <v/>
      </c>
      <c r="EQ667" s="1070" t="str">
        <f t="shared" si="96"/>
        <v/>
      </c>
      <c r="ER667" s="1070" t="str">
        <f t="shared" si="97"/>
        <v/>
      </c>
      <c r="ES667" s="1070" t="str">
        <f t="shared" si="98"/>
        <v/>
      </c>
      <c r="ET667" s="1070" t="str">
        <f t="shared" si="99"/>
        <v/>
      </c>
      <c r="EU667" s="1070" t="str">
        <f t="shared" si="100"/>
        <v/>
      </c>
      <c r="EV667" s="831" t="str">
        <f t="shared" si="101"/>
        <v/>
      </c>
      <c r="EW667" s="831" t="str">
        <f t="shared" si="102"/>
        <v/>
      </c>
      <c r="EX667" s="831" t="str">
        <f t="shared" si="103"/>
        <v/>
      </c>
      <c r="EY667" s="831" t="str">
        <f t="shared" si="104"/>
        <v/>
      </c>
      <c r="EZ667" s="831" t="str">
        <f t="shared" si="105"/>
        <v/>
      </c>
      <c r="FA667" s="831" t="str">
        <f t="shared" si="106"/>
        <v/>
      </c>
      <c r="FB667" s="831" t="str">
        <f t="shared" si="107"/>
        <v/>
      </c>
      <c r="FC667" s="831" t="str">
        <f t="shared" si="108"/>
        <v/>
      </c>
      <c r="FD667" s="831" t="str">
        <f t="shared" si="109"/>
        <v/>
      </c>
      <c r="FE667" s="831" t="str">
        <f t="shared" si="110"/>
        <v/>
      </c>
      <c r="FF667" s="831" t="str">
        <f t="shared" si="111"/>
        <v/>
      </c>
      <c r="FG667" s="831" t="str">
        <f t="shared" si="112"/>
        <v/>
      </c>
      <c r="FH667" s="831" t="str">
        <f t="shared" si="113"/>
        <v/>
      </c>
      <c r="FI667" s="831" t="str">
        <f t="shared" si="114"/>
        <v/>
      </c>
      <c r="FJ667" s="831" t="str">
        <f t="shared" si="115"/>
        <v/>
      </c>
      <c r="FK667" s="831" t="str">
        <f t="shared" si="116"/>
        <v/>
      </c>
      <c r="FL667" s="831" t="str">
        <f t="shared" si="117"/>
        <v/>
      </c>
      <c r="FM667" s="831" t="str">
        <f t="shared" si="118"/>
        <v/>
      </c>
      <c r="FN667" s="831" t="str">
        <f t="shared" si="119"/>
        <v/>
      </c>
      <c r="FO667" s="831" t="str">
        <f t="shared" si="120"/>
        <v/>
      </c>
      <c r="FP667" s="831" t="str">
        <f t="shared" si="121"/>
        <v/>
      </c>
      <c r="FQ667" s="831" t="str">
        <f t="shared" si="122"/>
        <v/>
      </c>
      <c r="FR667" s="831" t="str">
        <f t="shared" si="123"/>
        <v/>
      </c>
      <c r="FS667" s="831" t="str">
        <f t="shared" si="124"/>
        <v/>
      </c>
      <c r="FT667" s="831" t="str">
        <f t="shared" si="125"/>
        <v/>
      </c>
      <c r="FU667" s="831" t="str">
        <f t="shared" si="126"/>
        <v/>
      </c>
      <c r="FV667" s="831" t="str">
        <f t="shared" si="127"/>
        <v/>
      </c>
      <c r="FW667" s="831" t="str">
        <f t="shared" si="128"/>
        <v/>
      </c>
      <c r="FX667" s="831" t="str">
        <f t="shared" si="129"/>
        <v/>
      </c>
      <c r="FY667" s="831" t="str">
        <f t="shared" si="130"/>
        <v/>
      </c>
      <c r="FZ667" s="831" t="str">
        <f t="shared" si="131"/>
        <v/>
      </c>
      <c r="GA667" s="831" t="str">
        <f t="shared" si="132"/>
        <v/>
      </c>
      <c r="GB667" s="831" t="str">
        <f t="shared" si="133"/>
        <v/>
      </c>
      <c r="GC667" s="831" t="str">
        <f t="shared" si="134"/>
        <v/>
      </c>
      <c r="GD667" s="831" t="str">
        <f t="shared" si="135"/>
        <v/>
      </c>
      <c r="GE667" s="831" t="str">
        <f t="shared" si="136"/>
        <v/>
      </c>
      <c r="GF667" s="831" t="str">
        <f t="shared" si="137"/>
        <v/>
      </c>
      <c r="GG667" s="831" t="str">
        <f t="shared" si="138"/>
        <v/>
      </c>
      <c r="GH667" s="831" t="str">
        <f t="shared" si="139"/>
        <v/>
      </c>
      <c r="GI667" s="831" t="str">
        <f t="shared" si="140"/>
        <v/>
      </c>
      <c r="GJ667" s="831" t="str">
        <f t="shared" si="141"/>
        <v/>
      </c>
      <c r="GK667" s="831" t="str">
        <f t="shared" si="142"/>
        <v/>
      </c>
      <c r="GL667" s="831" t="str">
        <f t="shared" si="143"/>
        <v/>
      </c>
      <c r="GM667" s="831" t="str">
        <f t="shared" si="144"/>
        <v/>
      </c>
      <c r="GN667" s="831" t="str">
        <f t="shared" si="145"/>
        <v/>
      </c>
      <c r="GO667" s="1113" t="str">
        <f t="shared" si="146"/>
        <v/>
      </c>
      <c r="GP667" s="1113" t="str">
        <f t="shared" si="147"/>
        <v/>
      </c>
      <c r="GQ667" s="1113" t="str">
        <f t="shared" si="148"/>
        <v/>
      </c>
      <c r="GR667" s="1113" t="str">
        <f t="shared" si="149"/>
        <v/>
      </c>
      <c r="GS667" s="1113" t="str">
        <f t="shared" si="150"/>
        <v/>
      </c>
      <c r="GT667" s="1070" t="str">
        <f t="shared" si="151"/>
        <v/>
      </c>
      <c r="GU667" s="1070" t="str">
        <f t="shared" si="152"/>
        <v/>
      </c>
      <c r="GV667" s="1070" t="str">
        <f t="shared" si="153"/>
        <v/>
      </c>
      <c r="GW667" s="1070" t="str">
        <f t="shared" si="154"/>
        <v/>
      </c>
      <c r="GX667" s="1070" t="str">
        <f t="shared" si="155"/>
        <v/>
      </c>
      <c r="GY667" s="1070" t="str">
        <f t="shared" si="156"/>
        <v/>
      </c>
      <c r="GZ667" s="1070" t="str">
        <f t="shared" si="157"/>
        <v/>
      </c>
      <c r="HA667" s="1070" t="str">
        <f t="shared" si="158"/>
        <v/>
      </c>
      <c r="HB667" s="1070" t="str">
        <f t="shared" si="159"/>
        <v/>
      </c>
      <c r="HC667" s="1070" t="str">
        <f t="shared" si="160"/>
        <v/>
      </c>
      <c r="HD667" s="1070" t="str">
        <f t="shared" si="161"/>
        <v/>
      </c>
      <c r="HE667" s="1070" t="str">
        <f t="shared" si="162"/>
        <v/>
      </c>
      <c r="HF667" s="1070" t="str">
        <f t="shared" si="163"/>
        <v/>
      </c>
      <c r="HG667" s="1070" t="str">
        <f t="shared" si="164"/>
        <v/>
      </c>
      <c r="HH667" s="1070" t="str">
        <f t="shared" si="165"/>
        <v/>
      </c>
      <c r="HI667" s="1070" t="str">
        <f t="shared" si="166"/>
        <v/>
      </c>
      <c r="HJ667" s="1070" t="str">
        <f t="shared" si="167"/>
        <v/>
      </c>
      <c r="HK667" s="1070" t="str">
        <f t="shared" si="168"/>
        <v/>
      </c>
      <c r="HL667" s="1070" t="str">
        <f t="shared" si="169"/>
        <v/>
      </c>
      <c r="HM667" s="1070" t="str">
        <f t="shared" si="170"/>
        <v/>
      </c>
    </row>
    <row r="668" spans="1:221" ht="13.15" customHeight="1">
      <c r="A668" s="1082" t="str">
        <f t="shared" si="171"/>
        <v/>
      </c>
      <c r="B668" s="1035" t="str">
        <f>'Part VI-Revenues &amp; Expenses'!B34</f>
        <v>&lt;&lt;Select&gt;&gt;</v>
      </c>
      <c r="C668" s="1036">
        <f>'Part VI-Revenues &amp; Expenses'!C34</f>
        <v>0</v>
      </c>
      <c r="D668" s="1037">
        <f>'Part VI-Revenues &amp; Expenses'!D34</f>
        <v>0</v>
      </c>
      <c r="E668" s="1038">
        <f>'Part VI-Revenues &amp; Expenses'!E34</f>
        <v>0</v>
      </c>
      <c r="F668" s="1038">
        <f>'Part VI-Revenues &amp; Expenses'!F34</f>
        <v>0</v>
      </c>
      <c r="G668" s="1038">
        <f>'Part VI-Revenues &amp; Expenses'!G34</f>
        <v>0</v>
      </c>
      <c r="H668" s="1038">
        <f>'Part VI-Revenues &amp; Expenses'!H34</f>
        <v>0</v>
      </c>
      <c r="I668" s="1038">
        <f>'Part VI-Revenues &amp; Expenses'!I34</f>
        <v>0</v>
      </c>
      <c r="J668" s="1101">
        <f>'Part VI-Revenues &amp; Expenses'!J34</f>
        <v>0</v>
      </c>
      <c r="K668" s="906">
        <f t="shared" si="204"/>
        <v>0</v>
      </c>
      <c r="L668" s="906">
        <f t="shared" si="0"/>
        <v>0</v>
      </c>
      <c r="M668" s="829">
        <f>'Part VI-Revenues &amp; Expenses'!M34</f>
        <v>0</v>
      </c>
      <c r="N668" s="829">
        <f>'Part VI-Revenues &amp; Expenses'!N34</f>
        <v>0</v>
      </c>
      <c r="O668" s="829">
        <f>'Part VI-Revenues &amp; Expenses'!O34</f>
        <v>0</v>
      </c>
      <c r="P668" s="907">
        <f t="shared" si="203"/>
        <v>0</v>
      </c>
      <c r="Q668" s="908" t="str">
        <f>'Part VI-Revenues &amp; Expenses'!Q34</f>
        <v/>
      </c>
      <c r="R668" s="907"/>
      <c r="S668" s="908"/>
      <c r="T668" s="1575"/>
      <c r="U668" s="1575"/>
      <c r="V668" s="1070" t="str">
        <f t="shared" si="1"/>
        <v/>
      </c>
      <c r="W668" s="1070" t="str">
        <f t="shared" si="2"/>
        <v/>
      </c>
      <c r="X668" s="1070" t="str">
        <f t="shared" si="3"/>
        <v/>
      </c>
      <c r="Y668" s="1070" t="str">
        <f t="shared" si="4"/>
        <v/>
      </c>
      <c r="Z668" s="1070" t="str">
        <f t="shared" si="5"/>
        <v/>
      </c>
      <c r="AA668" s="1070" t="str">
        <f t="shared" si="6"/>
        <v/>
      </c>
      <c r="AB668" s="1070" t="str">
        <f t="shared" si="7"/>
        <v/>
      </c>
      <c r="AC668" s="1070" t="str">
        <f t="shared" si="8"/>
        <v/>
      </c>
      <c r="AD668" s="1070" t="str">
        <f t="shared" si="9"/>
        <v/>
      </c>
      <c r="AE668" s="1070" t="str">
        <f t="shared" si="10"/>
        <v/>
      </c>
      <c r="AF668" s="1070" t="str">
        <f t="shared" si="11"/>
        <v/>
      </c>
      <c r="AG668" s="1070" t="str">
        <f t="shared" si="12"/>
        <v/>
      </c>
      <c r="AH668" s="1070" t="str">
        <f t="shared" si="13"/>
        <v/>
      </c>
      <c r="AI668" s="1070" t="str">
        <f t="shared" si="14"/>
        <v/>
      </c>
      <c r="AJ668" s="1070" t="str">
        <f t="shared" si="15"/>
        <v/>
      </c>
      <c r="AK668" s="1070" t="str">
        <f t="shared" si="16"/>
        <v/>
      </c>
      <c r="AL668" s="1070" t="str">
        <f t="shared" si="17"/>
        <v/>
      </c>
      <c r="AM668" s="1070" t="str">
        <f t="shared" si="18"/>
        <v/>
      </c>
      <c r="AN668" s="1070" t="str">
        <f t="shared" si="19"/>
        <v/>
      </c>
      <c r="AO668" s="1070" t="str">
        <f t="shared" si="20"/>
        <v/>
      </c>
      <c r="AP668" s="1070" t="str">
        <f t="shared" si="173"/>
        <v/>
      </c>
      <c r="AQ668" s="1070" t="str">
        <f t="shared" si="174"/>
        <v/>
      </c>
      <c r="AR668" s="1070" t="str">
        <f t="shared" si="175"/>
        <v/>
      </c>
      <c r="AS668" s="1070" t="str">
        <f t="shared" si="176"/>
        <v/>
      </c>
      <c r="AT668" s="1070" t="str">
        <f t="shared" si="177"/>
        <v/>
      </c>
      <c r="AU668" s="1070" t="str">
        <f t="shared" si="178"/>
        <v/>
      </c>
      <c r="AV668" s="1070" t="str">
        <f t="shared" si="179"/>
        <v/>
      </c>
      <c r="AW668" s="1070" t="str">
        <f t="shared" si="180"/>
        <v/>
      </c>
      <c r="AX668" s="1070" t="str">
        <f t="shared" si="181"/>
        <v/>
      </c>
      <c r="AY668" s="1070" t="str">
        <f t="shared" si="182"/>
        <v/>
      </c>
      <c r="AZ668" s="1070" t="str">
        <f t="shared" si="183"/>
        <v/>
      </c>
      <c r="BA668" s="1070" t="str">
        <f t="shared" si="184"/>
        <v/>
      </c>
      <c r="BB668" s="1070" t="str">
        <f t="shared" si="185"/>
        <v/>
      </c>
      <c r="BC668" s="1070" t="str">
        <f t="shared" si="186"/>
        <v/>
      </c>
      <c r="BD668" s="1070" t="str">
        <f t="shared" si="187"/>
        <v/>
      </c>
      <c r="BE668" s="1070" t="str">
        <f t="shared" si="188"/>
        <v/>
      </c>
      <c r="BF668" s="1070" t="str">
        <f t="shared" si="189"/>
        <v/>
      </c>
      <c r="BG668" s="1070" t="str">
        <f t="shared" si="190"/>
        <v/>
      </c>
      <c r="BH668" s="1070" t="str">
        <f t="shared" si="191"/>
        <v/>
      </c>
      <c r="BI668" s="1070" t="str">
        <f t="shared" si="192"/>
        <v/>
      </c>
      <c r="BJ668" s="1070" t="str">
        <f t="shared" si="193"/>
        <v/>
      </c>
      <c r="BK668" s="1070" t="str">
        <f t="shared" si="194"/>
        <v/>
      </c>
      <c r="BL668" s="1070" t="str">
        <f t="shared" si="195"/>
        <v/>
      </c>
      <c r="BM668" s="1070" t="str">
        <f t="shared" si="196"/>
        <v/>
      </c>
      <c r="BN668" s="1070" t="str">
        <f t="shared" si="197"/>
        <v/>
      </c>
      <c r="BO668" s="1070" t="str">
        <f t="shared" si="198"/>
        <v/>
      </c>
      <c r="BP668" s="1070" t="str">
        <f t="shared" si="199"/>
        <v/>
      </c>
      <c r="BQ668" s="1070" t="str">
        <f t="shared" si="200"/>
        <v/>
      </c>
      <c r="BR668" s="1070" t="str">
        <f t="shared" si="201"/>
        <v/>
      </c>
      <c r="BS668" s="1070" t="str">
        <f t="shared" si="202"/>
        <v/>
      </c>
      <c r="BT668" s="1070" t="str">
        <f t="shared" si="21"/>
        <v/>
      </c>
      <c r="BU668" s="1070" t="str">
        <f t="shared" si="22"/>
        <v/>
      </c>
      <c r="BV668" s="1070" t="str">
        <f t="shared" si="23"/>
        <v/>
      </c>
      <c r="BW668" s="1070" t="str">
        <f t="shared" si="24"/>
        <v/>
      </c>
      <c r="BX668" s="1070" t="str">
        <f t="shared" si="25"/>
        <v/>
      </c>
      <c r="BY668" s="1070" t="str">
        <f t="shared" si="26"/>
        <v/>
      </c>
      <c r="BZ668" s="1070" t="str">
        <f t="shared" si="27"/>
        <v/>
      </c>
      <c r="CA668" s="1070" t="str">
        <f t="shared" si="28"/>
        <v/>
      </c>
      <c r="CB668" s="1070" t="str">
        <f t="shared" si="29"/>
        <v/>
      </c>
      <c r="CC668" s="1070" t="str">
        <f t="shared" si="30"/>
        <v/>
      </c>
      <c r="CD668" s="1070" t="str">
        <f t="shared" si="31"/>
        <v/>
      </c>
      <c r="CE668" s="1070" t="str">
        <f t="shared" si="32"/>
        <v/>
      </c>
      <c r="CF668" s="1070" t="str">
        <f t="shared" si="33"/>
        <v/>
      </c>
      <c r="CG668" s="1070" t="str">
        <f t="shared" si="34"/>
        <v/>
      </c>
      <c r="CH668" s="1070" t="str">
        <f t="shared" si="35"/>
        <v/>
      </c>
      <c r="CI668" s="1070" t="str">
        <f t="shared" si="36"/>
        <v/>
      </c>
      <c r="CJ668" s="1070" t="str">
        <f t="shared" si="37"/>
        <v/>
      </c>
      <c r="CK668" s="1070" t="str">
        <f t="shared" si="38"/>
        <v/>
      </c>
      <c r="CL668" s="1070" t="str">
        <f t="shared" si="39"/>
        <v/>
      </c>
      <c r="CM668" s="1070" t="str">
        <f t="shared" si="40"/>
        <v/>
      </c>
      <c r="CN668" s="1070" t="str">
        <f t="shared" si="41"/>
        <v/>
      </c>
      <c r="CO668" s="1070" t="str">
        <f t="shared" si="42"/>
        <v/>
      </c>
      <c r="CP668" s="1070" t="str">
        <f t="shared" si="43"/>
        <v/>
      </c>
      <c r="CQ668" s="1070" t="str">
        <f t="shared" si="44"/>
        <v/>
      </c>
      <c r="CR668" s="1070" t="str">
        <f t="shared" si="45"/>
        <v/>
      </c>
      <c r="CS668" s="1070" t="str">
        <f t="shared" si="46"/>
        <v/>
      </c>
      <c r="CT668" s="1070" t="str">
        <f t="shared" si="47"/>
        <v/>
      </c>
      <c r="CU668" s="1070" t="str">
        <f t="shared" si="48"/>
        <v/>
      </c>
      <c r="CV668" s="1070" t="str">
        <f t="shared" si="49"/>
        <v/>
      </c>
      <c r="CW668" s="1070" t="str">
        <f t="shared" si="50"/>
        <v/>
      </c>
      <c r="CX668" s="1070" t="str">
        <f t="shared" si="51"/>
        <v/>
      </c>
      <c r="CY668" s="1070" t="str">
        <f t="shared" si="52"/>
        <v/>
      </c>
      <c r="CZ668" s="1070" t="str">
        <f t="shared" si="53"/>
        <v/>
      </c>
      <c r="DA668" s="1070" t="str">
        <f t="shared" si="54"/>
        <v/>
      </c>
      <c r="DB668" s="1070" t="str">
        <f t="shared" si="55"/>
        <v/>
      </c>
      <c r="DC668" s="1070" t="str">
        <f t="shared" si="56"/>
        <v/>
      </c>
      <c r="DD668" s="1070" t="str">
        <f t="shared" si="57"/>
        <v/>
      </c>
      <c r="DE668" s="1070" t="str">
        <f t="shared" si="58"/>
        <v/>
      </c>
      <c r="DF668" s="1070" t="str">
        <f t="shared" si="59"/>
        <v/>
      </c>
      <c r="DG668" s="1070" t="str">
        <f t="shared" si="60"/>
        <v/>
      </c>
      <c r="DH668" s="1070" t="str">
        <f t="shared" si="61"/>
        <v/>
      </c>
      <c r="DI668" s="1070" t="str">
        <f t="shared" si="62"/>
        <v/>
      </c>
      <c r="DJ668" s="1070" t="str">
        <f t="shared" si="63"/>
        <v/>
      </c>
      <c r="DK668" s="1070" t="str">
        <f t="shared" si="64"/>
        <v/>
      </c>
      <c r="DL668" s="1070" t="str">
        <f t="shared" si="65"/>
        <v/>
      </c>
      <c r="DM668" s="1070" t="str">
        <f t="shared" si="66"/>
        <v/>
      </c>
      <c r="DN668" s="1070" t="str">
        <f t="shared" si="67"/>
        <v/>
      </c>
      <c r="DO668" s="1070" t="str">
        <f t="shared" si="68"/>
        <v/>
      </c>
      <c r="DP668" s="1070" t="str">
        <f t="shared" si="69"/>
        <v/>
      </c>
      <c r="DQ668" s="1070" t="str">
        <f t="shared" si="70"/>
        <v/>
      </c>
      <c r="DR668" s="1070" t="str">
        <f t="shared" si="71"/>
        <v/>
      </c>
      <c r="DS668" s="1070" t="str">
        <f t="shared" si="72"/>
        <v/>
      </c>
      <c r="DT668" s="1070" t="str">
        <f t="shared" si="73"/>
        <v/>
      </c>
      <c r="DU668" s="1070" t="str">
        <f t="shared" si="74"/>
        <v/>
      </c>
      <c r="DV668" s="1070" t="str">
        <f t="shared" si="75"/>
        <v/>
      </c>
      <c r="DW668" s="1070" t="str">
        <f t="shared" si="76"/>
        <v/>
      </c>
      <c r="DX668" s="1070" t="str">
        <f t="shared" si="77"/>
        <v/>
      </c>
      <c r="DY668" s="1070" t="str">
        <f t="shared" si="78"/>
        <v/>
      </c>
      <c r="DZ668" s="1070" t="str">
        <f t="shared" si="79"/>
        <v/>
      </c>
      <c r="EA668" s="1070" t="str">
        <f t="shared" si="80"/>
        <v/>
      </c>
      <c r="EB668" s="1070" t="str">
        <f t="shared" si="81"/>
        <v/>
      </c>
      <c r="EC668" s="1070" t="str">
        <f t="shared" si="82"/>
        <v/>
      </c>
      <c r="ED668" s="1070" t="str">
        <f t="shared" si="83"/>
        <v/>
      </c>
      <c r="EE668" s="1070" t="str">
        <f t="shared" si="84"/>
        <v/>
      </c>
      <c r="EF668" s="1070" t="str">
        <f t="shared" si="85"/>
        <v/>
      </c>
      <c r="EG668" s="1070" t="str">
        <f t="shared" si="86"/>
        <v/>
      </c>
      <c r="EH668" s="1070" t="str">
        <f t="shared" si="87"/>
        <v/>
      </c>
      <c r="EI668" s="1070" t="str">
        <f t="shared" si="88"/>
        <v/>
      </c>
      <c r="EJ668" s="1070" t="str">
        <f t="shared" si="89"/>
        <v/>
      </c>
      <c r="EK668" s="1070" t="str">
        <f t="shared" si="90"/>
        <v/>
      </c>
      <c r="EL668" s="1070" t="str">
        <f t="shared" si="91"/>
        <v/>
      </c>
      <c r="EM668" s="1070" t="str">
        <f t="shared" si="92"/>
        <v/>
      </c>
      <c r="EN668" s="1070" t="str">
        <f t="shared" si="93"/>
        <v/>
      </c>
      <c r="EO668" s="1070" t="str">
        <f t="shared" si="94"/>
        <v/>
      </c>
      <c r="EP668" s="1070" t="str">
        <f t="shared" si="95"/>
        <v/>
      </c>
      <c r="EQ668" s="1070" t="str">
        <f t="shared" si="96"/>
        <v/>
      </c>
      <c r="ER668" s="1070" t="str">
        <f t="shared" si="97"/>
        <v/>
      </c>
      <c r="ES668" s="1070" t="str">
        <f t="shared" si="98"/>
        <v/>
      </c>
      <c r="ET668" s="1070" t="str">
        <f t="shared" si="99"/>
        <v/>
      </c>
      <c r="EU668" s="1070" t="str">
        <f t="shared" si="100"/>
        <v/>
      </c>
      <c r="EV668" s="831" t="str">
        <f t="shared" si="101"/>
        <v/>
      </c>
      <c r="EW668" s="831" t="str">
        <f t="shared" si="102"/>
        <v/>
      </c>
      <c r="EX668" s="831" t="str">
        <f t="shared" si="103"/>
        <v/>
      </c>
      <c r="EY668" s="831" t="str">
        <f t="shared" si="104"/>
        <v/>
      </c>
      <c r="EZ668" s="831" t="str">
        <f t="shared" si="105"/>
        <v/>
      </c>
      <c r="FA668" s="831" t="str">
        <f t="shared" si="106"/>
        <v/>
      </c>
      <c r="FB668" s="831" t="str">
        <f t="shared" si="107"/>
        <v/>
      </c>
      <c r="FC668" s="831" t="str">
        <f t="shared" si="108"/>
        <v/>
      </c>
      <c r="FD668" s="831" t="str">
        <f t="shared" si="109"/>
        <v/>
      </c>
      <c r="FE668" s="831" t="str">
        <f t="shared" si="110"/>
        <v/>
      </c>
      <c r="FF668" s="831" t="str">
        <f t="shared" si="111"/>
        <v/>
      </c>
      <c r="FG668" s="831" t="str">
        <f t="shared" si="112"/>
        <v/>
      </c>
      <c r="FH668" s="831" t="str">
        <f t="shared" si="113"/>
        <v/>
      </c>
      <c r="FI668" s="831" t="str">
        <f t="shared" si="114"/>
        <v/>
      </c>
      <c r="FJ668" s="831" t="str">
        <f t="shared" si="115"/>
        <v/>
      </c>
      <c r="FK668" s="831" t="str">
        <f t="shared" si="116"/>
        <v/>
      </c>
      <c r="FL668" s="831" t="str">
        <f t="shared" si="117"/>
        <v/>
      </c>
      <c r="FM668" s="831" t="str">
        <f t="shared" si="118"/>
        <v/>
      </c>
      <c r="FN668" s="831" t="str">
        <f t="shared" si="119"/>
        <v/>
      </c>
      <c r="FO668" s="831" t="str">
        <f t="shared" si="120"/>
        <v/>
      </c>
      <c r="FP668" s="831" t="str">
        <f t="shared" si="121"/>
        <v/>
      </c>
      <c r="FQ668" s="831" t="str">
        <f t="shared" si="122"/>
        <v/>
      </c>
      <c r="FR668" s="831" t="str">
        <f t="shared" si="123"/>
        <v/>
      </c>
      <c r="FS668" s="831" t="str">
        <f t="shared" si="124"/>
        <v/>
      </c>
      <c r="FT668" s="831" t="str">
        <f t="shared" si="125"/>
        <v/>
      </c>
      <c r="FU668" s="831" t="str">
        <f t="shared" si="126"/>
        <v/>
      </c>
      <c r="FV668" s="831" t="str">
        <f t="shared" si="127"/>
        <v/>
      </c>
      <c r="FW668" s="831" t="str">
        <f t="shared" si="128"/>
        <v/>
      </c>
      <c r="FX668" s="831" t="str">
        <f t="shared" si="129"/>
        <v/>
      </c>
      <c r="FY668" s="831" t="str">
        <f t="shared" si="130"/>
        <v/>
      </c>
      <c r="FZ668" s="831" t="str">
        <f t="shared" si="131"/>
        <v/>
      </c>
      <c r="GA668" s="831" t="str">
        <f t="shared" si="132"/>
        <v/>
      </c>
      <c r="GB668" s="831" t="str">
        <f t="shared" si="133"/>
        <v/>
      </c>
      <c r="GC668" s="831" t="str">
        <f t="shared" si="134"/>
        <v/>
      </c>
      <c r="GD668" s="831" t="str">
        <f t="shared" si="135"/>
        <v/>
      </c>
      <c r="GE668" s="831" t="str">
        <f t="shared" si="136"/>
        <v/>
      </c>
      <c r="GF668" s="831" t="str">
        <f t="shared" si="137"/>
        <v/>
      </c>
      <c r="GG668" s="831" t="str">
        <f t="shared" si="138"/>
        <v/>
      </c>
      <c r="GH668" s="831" t="str">
        <f t="shared" si="139"/>
        <v/>
      </c>
      <c r="GI668" s="831" t="str">
        <f t="shared" si="140"/>
        <v/>
      </c>
      <c r="GJ668" s="831" t="str">
        <f t="shared" si="141"/>
        <v/>
      </c>
      <c r="GK668" s="831" t="str">
        <f t="shared" si="142"/>
        <v/>
      </c>
      <c r="GL668" s="831" t="str">
        <f t="shared" si="143"/>
        <v/>
      </c>
      <c r="GM668" s="831" t="str">
        <f t="shared" si="144"/>
        <v/>
      </c>
      <c r="GN668" s="831" t="str">
        <f t="shared" si="145"/>
        <v/>
      </c>
      <c r="GO668" s="1113" t="str">
        <f t="shared" si="146"/>
        <v/>
      </c>
      <c r="GP668" s="1113" t="str">
        <f t="shared" si="147"/>
        <v/>
      </c>
      <c r="GQ668" s="1113" t="str">
        <f t="shared" si="148"/>
        <v/>
      </c>
      <c r="GR668" s="1113" t="str">
        <f t="shared" si="149"/>
        <v/>
      </c>
      <c r="GS668" s="1113" t="str">
        <f t="shared" si="150"/>
        <v/>
      </c>
      <c r="GT668" s="1070" t="str">
        <f t="shared" si="151"/>
        <v/>
      </c>
      <c r="GU668" s="1070" t="str">
        <f t="shared" si="152"/>
        <v/>
      </c>
      <c r="GV668" s="1070" t="str">
        <f t="shared" si="153"/>
        <v/>
      </c>
      <c r="GW668" s="1070" t="str">
        <f t="shared" si="154"/>
        <v/>
      </c>
      <c r="GX668" s="1070" t="str">
        <f t="shared" si="155"/>
        <v/>
      </c>
      <c r="GY668" s="1070" t="str">
        <f t="shared" si="156"/>
        <v/>
      </c>
      <c r="GZ668" s="1070" t="str">
        <f t="shared" si="157"/>
        <v/>
      </c>
      <c r="HA668" s="1070" t="str">
        <f t="shared" si="158"/>
        <v/>
      </c>
      <c r="HB668" s="1070" t="str">
        <f t="shared" si="159"/>
        <v/>
      </c>
      <c r="HC668" s="1070" t="str">
        <f t="shared" si="160"/>
        <v/>
      </c>
      <c r="HD668" s="1070" t="str">
        <f t="shared" si="161"/>
        <v/>
      </c>
      <c r="HE668" s="1070" t="str">
        <f t="shared" si="162"/>
        <v/>
      </c>
      <c r="HF668" s="1070" t="str">
        <f t="shared" si="163"/>
        <v/>
      </c>
      <c r="HG668" s="1070" t="str">
        <f t="shared" si="164"/>
        <v/>
      </c>
      <c r="HH668" s="1070" t="str">
        <f t="shared" si="165"/>
        <v/>
      </c>
      <c r="HI668" s="1070" t="str">
        <f t="shared" si="166"/>
        <v/>
      </c>
      <c r="HJ668" s="1070" t="str">
        <f t="shared" si="167"/>
        <v/>
      </c>
      <c r="HK668" s="1070" t="str">
        <f t="shared" si="168"/>
        <v/>
      </c>
      <c r="HL668" s="1070" t="str">
        <f t="shared" si="169"/>
        <v/>
      </c>
      <c r="HM668" s="1070" t="str">
        <f t="shared" si="170"/>
        <v/>
      </c>
    </row>
    <row r="669" spans="1:221" ht="13.15" customHeight="1">
      <c r="A669" s="1082" t="str">
        <f t="shared" si="171"/>
        <v/>
      </c>
      <c r="B669" s="1035" t="str">
        <f>'Part VI-Revenues &amp; Expenses'!B35</f>
        <v>&lt;&lt;Select&gt;&gt;</v>
      </c>
      <c r="C669" s="1036">
        <f>'Part VI-Revenues &amp; Expenses'!C35</f>
        <v>0</v>
      </c>
      <c r="D669" s="1037">
        <f>'Part VI-Revenues &amp; Expenses'!D35</f>
        <v>0</v>
      </c>
      <c r="E669" s="1038">
        <f>'Part VI-Revenues &amp; Expenses'!E35</f>
        <v>0</v>
      </c>
      <c r="F669" s="1038">
        <f>'Part VI-Revenues &amp; Expenses'!F35</f>
        <v>0</v>
      </c>
      <c r="G669" s="1038">
        <f>'Part VI-Revenues &amp; Expenses'!G35</f>
        <v>0</v>
      </c>
      <c r="H669" s="1038">
        <f>'Part VI-Revenues &amp; Expenses'!H35</f>
        <v>0</v>
      </c>
      <c r="I669" s="1038">
        <f>'Part VI-Revenues &amp; Expenses'!I35</f>
        <v>0</v>
      </c>
      <c r="J669" s="1101">
        <f>'Part VI-Revenues &amp; Expenses'!J35</f>
        <v>0</v>
      </c>
      <c r="K669" s="906">
        <f t="shared" si="204"/>
        <v>0</v>
      </c>
      <c r="L669" s="906">
        <f t="shared" si="0"/>
        <v>0</v>
      </c>
      <c r="M669" s="829">
        <f>'Part VI-Revenues &amp; Expenses'!M35</f>
        <v>0</v>
      </c>
      <c r="N669" s="829">
        <f>'Part VI-Revenues &amp; Expenses'!N35</f>
        <v>0</v>
      </c>
      <c r="O669" s="829">
        <f>'Part VI-Revenues &amp; Expenses'!O35</f>
        <v>0</v>
      </c>
      <c r="P669" s="907">
        <f t="shared" si="203"/>
        <v>0</v>
      </c>
      <c r="Q669" s="908" t="str">
        <f>'Part VI-Revenues &amp; Expenses'!Q35</f>
        <v/>
      </c>
      <c r="R669" s="907"/>
      <c r="S669" s="908"/>
      <c r="T669" s="1575"/>
      <c r="U669" s="1575"/>
      <c r="V669" s="1070" t="str">
        <f t="shared" si="1"/>
        <v/>
      </c>
      <c r="W669" s="1070" t="str">
        <f t="shared" si="2"/>
        <v/>
      </c>
      <c r="X669" s="1070" t="str">
        <f t="shared" si="3"/>
        <v/>
      </c>
      <c r="Y669" s="1070" t="str">
        <f t="shared" si="4"/>
        <v/>
      </c>
      <c r="Z669" s="1070" t="str">
        <f t="shared" si="5"/>
        <v/>
      </c>
      <c r="AA669" s="1070" t="str">
        <f t="shared" si="6"/>
        <v/>
      </c>
      <c r="AB669" s="1070" t="str">
        <f t="shared" si="7"/>
        <v/>
      </c>
      <c r="AC669" s="1070" t="str">
        <f t="shared" si="8"/>
        <v/>
      </c>
      <c r="AD669" s="1070" t="str">
        <f t="shared" si="9"/>
        <v/>
      </c>
      <c r="AE669" s="1070" t="str">
        <f t="shared" si="10"/>
        <v/>
      </c>
      <c r="AF669" s="1070" t="str">
        <f t="shared" si="11"/>
        <v/>
      </c>
      <c r="AG669" s="1070" t="str">
        <f t="shared" si="12"/>
        <v/>
      </c>
      <c r="AH669" s="1070" t="str">
        <f t="shared" si="13"/>
        <v/>
      </c>
      <c r="AI669" s="1070" t="str">
        <f t="shared" si="14"/>
        <v/>
      </c>
      <c r="AJ669" s="1070" t="str">
        <f t="shared" si="15"/>
        <v/>
      </c>
      <c r="AK669" s="1070" t="str">
        <f t="shared" si="16"/>
        <v/>
      </c>
      <c r="AL669" s="1070" t="str">
        <f t="shared" si="17"/>
        <v/>
      </c>
      <c r="AM669" s="1070" t="str">
        <f t="shared" si="18"/>
        <v/>
      </c>
      <c r="AN669" s="1070" t="str">
        <f t="shared" si="19"/>
        <v/>
      </c>
      <c r="AO669" s="1070" t="str">
        <f t="shared" si="20"/>
        <v/>
      </c>
      <c r="AP669" s="1070" t="str">
        <f t="shared" si="173"/>
        <v/>
      </c>
      <c r="AQ669" s="1070" t="str">
        <f t="shared" si="174"/>
        <v/>
      </c>
      <c r="AR669" s="1070" t="str">
        <f t="shared" si="175"/>
        <v/>
      </c>
      <c r="AS669" s="1070" t="str">
        <f t="shared" si="176"/>
        <v/>
      </c>
      <c r="AT669" s="1070" t="str">
        <f t="shared" si="177"/>
        <v/>
      </c>
      <c r="AU669" s="1070" t="str">
        <f t="shared" si="178"/>
        <v/>
      </c>
      <c r="AV669" s="1070" t="str">
        <f t="shared" si="179"/>
        <v/>
      </c>
      <c r="AW669" s="1070" t="str">
        <f t="shared" si="180"/>
        <v/>
      </c>
      <c r="AX669" s="1070" t="str">
        <f t="shared" si="181"/>
        <v/>
      </c>
      <c r="AY669" s="1070" t="str">
        <f t="shared" si="182"/>
        <v/>
      </c>
      <c r="AZ669" s="1070" t="str">
        <f t="shared" si="183"/>
        <v/>
      </c>
      <c r="BA669" s="1070" t="str">
        <f t="shared" si="184"/>
        <v/>
      </c>
      <c r="BB669" s="1070" t="str">
        <f t="shared" si="185"/>
        <v/>
      </c>
      <c r="BC669" s="1070" t="str">
        <f t="shared" si="186"/>
        <v/>
      </c>
      <c r="BD669" s="1070" t="str">
        <f t="shared" si="187"/>
        <v/>
      </c>
      <c r="BE669" s="1070" t="str">
        <f t="shared" si="188"/>
        <v/>
      </c>
      <c r="BF669" s="1070" t="str">
        <f t="shared" si="189"/>
        <v/>
      </c>
      <c r="BG669" s="1070" t="str">
        <f t="shared" si="190"/>
        <v/>
      </c>
      <c r="BH669" s="1070" t="str">
        <f t="shared" si="191"/>
        <v/>
      </c>
      <c r="BI669" s="1070" t="str">
        <f t="shared" si="192"/>
        <v/>
      </c>
      <c r="BJ669" s="1070" t="str">
        <f t="shared" si="193"/>
        <v/>
      </c>
      <c r="BK669" s="1070" t="str">
        <f t="shared" si="194"/>
        <v/>
      </c>
      <c r="BL669" s="1070" t="str">
        <f t="shared" si="195"/>
        <v/>
      </c>
      <c r="BM669" s="1070" t="str">
        <f t="shared" si="196"/>
        <v/>
      </c>
      <c r="BN669" s="1070" t="str">
        <f t="shared" si="197"/>
        <v/>
      </c>
      <c r="BO669" s="1070" t="str">
        <f t="shared" si="198"/>
        <v/>
      </c>
      <c r="BP669" s="1070" t="str">
        <f t="shared" si="199"/>
        <v/>
      </c>
      <c r="BQ669" s="1070" t="str">
        <f t="shared" si="200"/>
        <v/>
      </c>
      <c r="BR669" s="1070" t="str">
        <f t="shared" si="201"/>
        <v/>
      </c>
      <c r="BS669" s="1070" t="str">
        <f t="shared" si="202"/>
        <v/>
      </c>
      <c r="BT669" s="1070" t="str">
        <f t="shared" si="21"/>
        <v/>
      </c>
      <c r="BU669" s="1070" t="str">
        <f t="shared" si="22"/>
        <v/>
      </c>
      <c r="BV669" s="1070" t="str">
        <f t="shared" si="23"/>
        <v/>
      </c>
      <c r="BW669" s="1070" t="str">
        <f t="shared" si="24"/>
        <v/>
      </c>
      <c r="BX669" s="1070" t="str">
        <f t="shared" si="25"/>
        <v/>
      </c>
      <c r="BY669" s="1070" t="str">
        <f t="shared" si="26"/>
        <v/>
      </c>
      <c r="BZ669" s="1070" t="str">
        <f t="shared" si="27"/>
        <v/>
      </c>
      <c r="CA669" s="1070" t="str">
        <f t="shared" si="28"/>
        <v/>
      </c>
      <c r="CB669" s="1070" t="str">
        <f t="shared" si="29"/>
        <v/>
      </c>
      <c r="CC669" s="1070" t="str">
        <f t="shared" si="30"/>
        <v/>
      </c>
      <c r="CD669" s="1070" t="str">
        <f t="shared" si="31"/>
        <v/>
      </c>
      <c r="CE669" s="1070" t="str">
        <f t="shared" si="32"/>
        <v/>
      </c>
      <c r="CF669" s="1070" t="str">
        <f t="shared" si="33"/>
        <v/>
      </c>
      <c r="CG669" s="1070" t="str">
        <f t="shared" si="34"/>
        <v/>
      </c>
      <c r="CH669" s="1070" t="str">
        <f t="shared" si="35"/>
        <v/>
      </c>
      <c r="CI669" s="1070" t="str">
        <f t="shared" si="36"/>
        <v/>
      </c>
      <c r="CJ669" s="1070" t="str">
        <f t="shared" si="37"/>
        <v/>
      </c>
      <c r="CK669" s="1070" t="str">
        <f t="shared" si="38"/>
        <v/>
      </c>
      <c r="CL669" s="1070" t="str">
        <f t="shared" si="39"/>
        <v/>
      </c>
      <c r="CM669" s="1070" t="str">
        <f t="shared" si="40"/>
        <v/>
      </c>
      <c r="CN669" s="1070" t="str">
        <f t="shared" si="41"/>
        <v/>
      </c>
      <c r="CO669" s="1070" t="str">
        <f t="shared" si="42"/>
        <v/>
      </c>
      <c r="CP669" s="1070" t="str">
        <f t="shared" si="43"/>
        <v/>
      </c>
      <c r="CQ669" s="1070" t="str">
        <f t="shared" si="44"/>
        <v/>
      </c>
      <c r="CR669" s="1070" t="str">
        <f t="shared" si="45"/>
        <v/>
      </c>
      <c r="CS669" s="1070" t="str">
        <f t="shared" si="46"/>
        <v/>
      </c>
      <c r="CT669" s="1070" t="str">
        <f t="shared" si="47"/>
        <v/>
      </c>
      <c r="CU669" s="1070" t="str">
        <f t="shared" si="48"/>
        <v/>
      </c>
      <c r="CV669" s="1070" t="str">
        <f t="shared" si="49"/>
        <v/>
      </c>
      <c r="CW669" s="1070" t="str">
        <f t="shared" si="50"/>
        <v/>
      </c>
      <c r="CX669" s="1070" t="str">
        <f t="shared" si="51"/>
        <v/>
      </c>
      <c r="CY669" s="1070" t="str">
        <f t="shared" si="52"/>
        <v/>
      </c>
      <c r="CZ669" s="1070" t="str">
        <f t="shared" si="53"/>
        <v/>
      </c>
      <c r="DA669" s="1070" t="str">
        <f t="shared" si="54"/>
        <v/>
      </c>
      <c r="DB669" s="1070" t="str">
        <f t="shared" si="55"/>
        <v/>
      </c>
      <c r="DC669" s="1070" t="str">
        <f t="shared" si="56"/>
        <v/>
      </c>
      <c r="DD669" s="1070" t="str">
        <f t="shared" si="57"/>
        <v/>
      </c>
      <c r="DE669" s="1070" t="str">
        <f t="shared" si="58"/>
        <v/>
      </c>
      <c r="DF669" s="1070" t="str">
        <f t="shared" si="59"/>
        <v/>
      </c>
      <c r="DG669" s="1070" t="str">
        <f t="shared" si="60"/>
        <v/>
      </c>
      <c r="DH669" s="1070" t="str">
        <f t="shared" si="61"/>
        <v/>
      </c>
      <c r="DI669" s="1070" t="str">
        <f t="shared" si="62"/>
        <v/>
      </c>
      <c r="DJ669" s="1070" t="str">
        <f t="shared" si="63"/>
        <v/>
      </c>
      <c r="DK669" s="1070" t="str">
        <f t="shared" si="64"/>
        <v/>
      </c>
      <c r="DL669" s="1070" t="str">
        <f t="shared" si="65"/>
        <v/>
      </c>
      <c r="DM669" s="1070" t="str">
        <f t="shared" si="66"/>
        <v/>
      </c>
      <c r="DN669" s="1070" t="str">
        <f t="shared" si="67"/>
        <v/>
      </c>
      <c r="DO669" s="1070" t="str">
        <f t="shared" si="68"/>
        <v/>
      </c>
      <c r="DP669" s="1070" t="str">
        <f t="shared" si="69"/>
        <v/>
      </c>
      <c r="DQ669" s="1070" t="str">
        <f t="shared" si="70"/>
        <v/>
      </c>
      <c r="DR669" s="1070" t="str">
        <f t="shared" si="71"/>
        <v/>
      </c>
      <c r="DS669" s="1070" t="str">
        <f t="shared" si="72"/>
        <v/>
      </c>
      <c r="DT669" s="1070" t="str">
        <f t="shared" si="73"/>
        <v/>
      </c>
      <c r="DU669" s="1070" t="str">
        <f t="shared" si="74"/>
        <v/>
      </c>
      <c r="DV669" s="1070" t="str">
        <f t="shared" si="75"/>
        <v/>
      </c>
      <c r="DW669" s="1070" t="str">
        <f t="shared" si="76"/>
        <v/>
      </c>
      <c r="DX669" s="1070" t="str">
        <f t="shared" si="77"/>
        <v/>
      </c>
      <c r="DY669" s="1070" t="str">
        <f t="shared" si="78"/>
        <v/>
      </c>
      <c r="DZ669" s="1070" t="str">
        <f t="shared" si="79"/>
        <v/>
      </c>
      <c r="EA669" s="1070" t="str">
        <f t="shared" si="80"/>
        <v/>
      </c>
      <c r="EB669" s="1070" t="str">
        <f t="shared" si="81"/>
        <v/>
      </c>
      <c r="EC669" s="1070" t="str">
        <f t="shared" si="82"/>
        <v/>
      </c>
      <c r="ED669" s="1070" t="str">
        <f t="shared" si="83"/>
        <v/>
      </c>
      <c r="EE669" s="1070" t="str">
        <f t="shared" si="84"/>
        <v/>
      </c>
      <c r="EF669" s="1070" t="str">
        <f t="shared" si="85"/>
        <v/>
      </c>
      <c r="EG669" s="1070" t="str">
        <f t="shared" si="86"/>
        <v/>
      </c>
      <c r="EH669" s="1070" t="str">
        <f t="shared" si="87"/>
        <v/>
      </c>
      <c r="EI669" s="1070" t="str">
        <f t="shared" si="88"/>
        <v/>
      </c>
      <c r="EJ669" s="1070" t="str">
        <f t="shared" si="89"/>
        <v/>
      </c>
      <c r="EK669" s="1070" t="str">
        <f t="shared" si="90"/>
        <v/>
      </c>
      <c r="EL669" s="1070" t="str">
        <f t="shared" si="91"/>
        <v/>
      </c>
      <c r="EM669" s="1070" t="str">
        <f t="shared" si="92"/>
        <v/>
      </c>
      <c r="EN669" s="1070" t="str">
        <f t="shared" si="93"/>
        <v/>
      </c>
      <c r="EO669" s="1070" t="str">
        <f t="shared" si="94"/>
        <v/>
      </c>
      <c r="EP669" s="1070" t="str">
        <f t="shared" si="95"/>
        <v/>
      </c>
      <c r="EQ669" s="1070" t="str">
        <f t="shared" si="96"/>
        <v/>
      </c>
      <c r="ER669" s="1070" t="str">
        <f t="shared" si="97"/>
        <v/>
      </c>
      <c r="ES669" s="1070" t="str">
        <f t="shared" si="98"/>
        <v/>
      </c>
      <c r="ET669" s="1070" t="str">
        <f t="shared" si="99"/>
        <v/>
      </c>
      <c r="EU669" s="1070" t="str">
        <f t="shared" si="100"/>
        <v/>
      </c>
      <c r="EV669" s="831" t="str">
        <f t="shared" si="101"/>
        <v/>
      </c>
      <c r="EW669" s="831" t="str">
        <f t="shared" si="102"/>
        <v/>
      </c>
      <c r="EX669" s="831" t="str">
        <f t="shared" si="103"/>
        <v/>
      </c>
      <c r="EY669" s="831" t="str">
        <f t="shared" si="104"/>
        <v/>
      </c>
      <c r="EZ669" s="831" t="str">
        <f t="shared" si="105"/>
        <v/>
      </c>
      <c r="FA669" s="831" t="str">
        <f t="shared" si="106"/>
        <v/>
      </c>
      <c r="FB669" s="831" t="str">
        <f t="shared" si="107"/>
        <v/>
      </c>
      <c r="FC669" s="831" t="str">
        <f t="shared" si="108"/>
        <v/>
      </c>
      <c r="FD669" s="831" t="str">
        <f t="shared" si="109"/>
        <v/>
      </c>
      <c r="FE669" s="831" t="str">
        <f t="shared" si="110"/>
        <v/>
      </c>
      <c r="FF669" s="831" t="str">
        <f t="shared" si="111"/>
        <v/>
      </c>
      <c r="FG669" s="831" t="str">
        <f t="shared" si="112"/>
        <v/>
      </c>
      <c r="FH669" s="831" t="str">
        <f t="shared" si="113"/>
        <v/>
      </c>
      <c r="FI669" s="831" t="str">
        <f t="shared" si="114"/>
        <v/>
      </c>
      <c r="FJ669" s="831" t="str">
        <f t="shared" si="115"/>
        <v/>
      </c>
      <c r="FK669" s="831" t="str">
        <f t="shared" si="116"/>
        <v/>
      </c>
      <c r="FL669" s="831" t="str">
        <f t="shared" si="117"/>
        <v/>
      </c>
      <c r="FM669" s="831" t="str">
        <f t="shared" si="118"/>
        <v/>
      </c>
      <c r="FN669" s="831" t="str">
        <f t="shared" si="119"/>
        <v/>
      </c>
      <c r="FO669" s="831" t="str">
        <f t="shared" si="120"/>
        <v/>
      </c>
      <c r="FP669" s="831" t="str">
        <f t="shared" si="121"/>
        <v/>
      </c>
      <c r="FQ669" s="831" t="str">
        <f t="shared" si="122"/>
        <v/>
      </c>
      <c r="FR669" s="831" t="str">
        <f t="shared" si="123"/>
        <v/>
      </c>
      <c r="FS669" s="831" t="str">
        <f t="shared" si="124"/>
        <v/>
      </c>
      <c r="FT669" s="831" t="str">
        <f t="shared" si="125"/>
        <v/>
      </c>
      <c r="FU669" s="831" t="str">
        <f t="shared" si="126"/>
        <v/>
      </c>
      <c r="FV669" s="831" t="str">
        <f t="shared" si="127"/>
        <v/>
      </c>
      <c r="FW669" s="831" t="str">
        <f t="shared" si="128"/>
        <v/>
      </c>
      <c r="FX669" s="831" t="str">
        <f t="shared" si="129"/>
        <v/>
      </c>
      <c r="FY669" s="831" t="str">
        <f t="shared" si="130"/>
        <v/>
      </c>
      <c r="FZ669" s="831" t="str">
        <f t="shared" si="131"/>
        <v/>
      </c>
      <c r="GA669" s="831" t="str">
        <f t="shared" si="132"/>
        <v/>
      </c>
      <c r="GB669" s="831" t="str">
        <f t="shared" si="133"/>
        <v/>
      </c>
      <c r="GC669" s="831" t="str">
        <f t="shared" si="134"/>
        <v/>
      </c>
      <c r="GD669" s="831" t="str">
        <f t="shared" si="135"/>
        <v/>
      </c>
      <c r="GE669" s="831" t="str">
        <f t="shared" si="136"/>
        <v/>
      </c>
      <c r="GF669" s="831" t="str">
        <f t="shared" si="137"/>
        <v/>
      </c>
      <c r="GG669" s="831" t="str">
        <f t="shared" si="138"/>
        <v/>
      </c>
      <c r="GH669" s="831" t="str">
        <f t="shared" si="139"/>
        <v/>
      </c>
      <c r="GI669" s="831" t="str">
        <f t="shared" si="140"/>
        <v/>
      </c>
      <c r="GJ669" s="831" t="str">
        <f t="shared" si="141"/>
        <v/>
      </c>
      <c r="GK669" s="831" t="str">
        <f t="shared" si="142"/>
        <v/>
      </c>
      <c r="GL669" s="831" t="str">
        <f t="shared" si="143"/>
        <v/>
      </c>
      <c r="GM669" s="831" t="str">
        <f t="shared" si="144"/>
        <v/>
      </c>
      <c r="GN669" s="831" t="str">
        <f t="shared" si="145"/>
        <v/>
      </c>
      <c r="GO669" s="1113" t="str">
        <f t="shared" si="146"/>
        <v/>
      </c>
      <c r="GP669" s="1113" t="str">
        <f t="shared" si="147"/>
        <v/>
      </c>
      <c r="GQ669" s="1113" t="str">
        <f t="shared" si="148"/>
        <v/>
      </c>
      <c r="GR669" s="1113" t="str">
        <f t="shared" si="149"/>
        <v/>
      </c>
      <c r="GS669" s="1113" t="str">
        <f t="shared" si="150"/>
        <v/>
      </c>
      <c r="GT669" s="1070" t="str">
        <f t="shared" si="151"/>
        <v/>
      </c>
      <c r="GU669" s="1070" t="str">
        <f t="shared" si="152"/>
        <v/>
      </c>
      <c r="GV669" s="1070" t="str">
        <f t="shared" si="153"/>
        <v/>
      </c>
      <c r="GW669" s="1070" t="str">
        <f t="shared" si="154"/>
        <v/>
      </c>
      <c r="GX669" s="1070" t="str">
        <f t="shared" si="155"/>
        <v/>
      </c>
      <c r="GY669" s="1070" t="str">
        <f t="shared" si="156"/>
        <v/>
      </c>
      <c r="GZ669" s="1070" t="str">
        <f t="shared" si="157"/>
        <v/>
      </c>
      <c r="HA669" s="1070" t="str">
        <f t="shared" si="158"/>
        <v/>
      </c>
      <c r="HB669" s="1070" t="str">
        <f t="shared" si="159"/>
        <v/>
      </c>
      <c r="HC669" s="1070" t="str">
        <f t="shared" si="160"/>
        <v/>
      </c>
      <c r="HD669" s="1070" t="str">
        <f t="shared" si="161"/>
        <v/>
      </c>
      <c r="HE669" s="1070" t="str">
        <f t="shared" si="162"/>
        <v/>
      </c>
      <c r="HF669" s="1070" t="str">
        <f t="shared" si="163"/>
        <v/>
      </c>
      <c r="HG669" s="1070" t="str">
        <f t="shared" si="164"/>
        <v/>
      </c>
      <c r="HH669" s="1070" t="str">
        <f t="shared" si="165"/>
        <v/>
      </c>
      <c r="HI669" s="1070" t="str">
        <f t="shared" si="166"/>
        <v/>
      </c>
      <c r="HJ669" s="1070" t="str">
        <f t="shared" si="167"/>
        <v/>
      </c>
      <c r="HK669" s="1070" t="str">
        <f t="shared" si="168"/>
        <v/>
      </c>
      <c r="HL669" s="1070" t="str">
        <f t="shared" si="169"/>
        <v/>
      </c>
      <c r="HM669" s="1070" t="str">
        <f t="shared" si="170"/>
        <v/>
      </c>
    </row>
    <row r="670" spans="1:221" ht="13.15" customHeight="1">
      <c r="A670" s="1082" t="str">
        <f t="shared" si="171"/>
        <v/>
      </c>
      <c r="B670" s="1035" t="str">
        <f>'Part VI-Revenues &amp; Expenses'!B36</f>
        <v>&lt;&lt;Select&gt;&gt;</v>
      </c>
      <c r="C670" s="1036">
        <f>'Part VI-Revenues &amp; Expenses'!C36</f>
        <v>0</v>
      </c>
      <c r="D670" s="1037">
        <f>'Part VI-Revenues &amp; Expenses'!D36</f>
        <v>0</v>
      </c>
      <c r="E670" s="1038">
        <f>'Part VI-Revenues &amp; Expenses'!E36</f>
        <v>0</v>
      </c>
      <c r="F670" s="1038">
        <f>'Part VI-Revenues &amp; Expenses'!F36</f>
        <v>0</v>
      </c>
      <c r="G670" s="1038">
        <f>'Part VI-Revenues &amp; Expenses'!G36</f>
        <v>0</v>
      </c>
      <c r="H670" s="1038">
        <f>'Part VI-Revenues &amp; Expenses'!H36</f>
        <v>0</v>
      </c>
      <c r="I670" s="1038">
        <f>'Part VI-Revenues &amp; Expenses'!I36</f>
        <v>0</v>
      </c>
      <c r="J670" s="1101">
        <f>'Part VI-Revenues &amp; Expenses'!J36</f>
        <v>0</v>
      </c>
      <c r="K670" s="906">
        <f t="shared" si="204"/>
        <v>0</v>
      </c>
      <c r="L670" s="906">
        <f t="shared" si="0"/>
        <v>0</v>
      </c>
      <c r="M670" s="829">
        <f>'Part VI-Revenues &amp; Expenses'!M36</f>
        <v>0</v>
      </c>
      <c r="N670" s="829">
        <f>'Part VI-Revenues &amp; Expenses'!N36</f>
        <v>0</v>
      </c>
      <c r="O670" s="829">
        <f>'Part VI-Revenues &amp; Expenses'!O36</f>
        <v>0</v>
      </c>
      <c r="P670" s="907">
        <f t="shared" si="203"/>
        <v>0</v>
      </c>
      <c r="Q670" s="908" t="str">
        <f>'Part VI-Revenues &amp; Expenses'!Q36</f>
        <v/>
      </c>
      <c r="R670" s="907"/>
      <c r="S670" s="908"/>
      <c r="T670" s="1575"/>
      <c r="U670" s="1575"/>
      <c r="V670" s="1070" t="str">
        <f t="shared" si="1"/>
        <v/>
      </c>
      <c r="W670" s="1070" t="str">
        <f t="shared" si="2"/>
        <v/>
      </c>
      <c r="X670" s="1070" t="str">
        <f t="shared" si="3"/>
        <v/>
      </c>
      <c r="Y670" s="1070" t="str">
        <f t="shared" si="4"/>
        <v/>
      </c>
      <c r="Z670" s="1070" t="str">
        <f t="shared" si="5"/>
        <v/>
      </c>
      <c r="AA670" s="1070" t="str">
        <f t="shared" si="6"/>
        <v/>
      </c>
      <c r="AB670" s="1070" t="str">
        <f t="shared" si="7"/>
        <v/>
      </c>
      <c r="AC670" s="1070" t="str">
        <f t="shared" si="8"/>
        <v/>
      </c>
      <c r="AD670" s="1070" t="str">
        <f t="shared" si="9"/>
        <v/>
      </c>
      <c r="AE670" s="1070" t="str">
        <f t="shared" si="10"/>
        <v/>
      </c>
      <c r="AF670" s="1070" t="str">
        <f t="shared" si="11"/>
        <v/>
      </c>
      <c r="AG670" s="1070" t="str">
        <f t="shared" si="12"/>
        <v/>
      </c>
      <c r="AH670" s="1070" t="str">
        <f t="shared" si="13"/>
        <v/>
      </c>
      <c r="AI670" s="1070" t="str">
        <f t="shared" si="14"/>
        <v/>
      </c>
      <c r="AJ670" s="1070" t="str">
        <f t="shared" si="15"/>
        <v/>
      </c>
      <c r="AK670" s="1070" t="str">
        <f t="shared" si="16"/>
        <v/>
      </c>
      <c r="AL670" s="1070" t="str">
        <f t="shared" si="17"/>
        <v/>
      </c>
      <c r="AM670" s="1070" t="str">
        <f t="shared" si="18"/>
        <v/>
      </c>
      <c r="AN670" s="1070" t="str">
        <f t="shared" si="19"/>
        <v/>
      </c>
      <c r="AO670" s="1070" t="str">
        <f t="shared" si="20"/>
        <v/>
      </c>
      <c r="AP670" s="1070" t="str">
        <f t="shared" si="173"/>
        <v/>
      </c>
      <c r="AQ670" s="1070" t="str">
        <f t="shared" si="174"/>
        <v/>
      </c>
      <c r="AR670" s="1070" t="str">
        <f t="shared" si="175"/>
        <v/>
      </c>
      <c r="AS670" s="1070" t="str">
        <f t="shared" si="176"/>
        <v/>
      </c>
      <c r="AT670" s="1070" t="str">
        <f t="shared" si="177"/>
        <v/>
      </c>
      <c r="AU670" s="1070" t="str">
        <f t="shared" si="178"/>
        <v/>
      </c>
      <c r="AV670" s="1070" t="str">
        <f t="shared" si="179"/>
        <v/>
      </c>
      <c r="AW670" s="1070" t="str">
        <f t="shared" si="180"/>
        <v/>
      </c>
      <c r="AX670" s="1070" t="str">
        <f t="shared" si="181"/>
        <v/>
      </c>
      <c r="AY670" s="1070" t="str">
        <f t="shared" si="182"/>
        <v/>
      </c>
      <c r="AZ670" s="1070" t="str">
        <f t="shared" si="183"/>
        <v/>
      </c>
      <c r="BA670" s="1070" t="str">
        <f t="shared" si="184"/>
        <v/>
      </c>
      <c r="BB670" s="1070" t="str">
        <f t="shared" si="185"/>
        <v/>
      </c>
      <c r="BC670" s="1070" t="str">
        <f t="shared" si="186"/>
        <v/>
      </c>
      <c r="BD670" s="1070" t="str">
        <f t="shared" si="187"/>
        <v/>
      </c>
      <c r="BE670" s="1070" t="str">
        <f t="shared" si="188"/>
        <v/>
      </c>
      <c r="BF670" s="1070" t="str">
        <f t="shared" si="189"/>
        <v/>
      </c>
      <c r="BG670" s="1070" t="str">
        <f t="shared" si="190"/>
        <v/>
      </c>
      <c r="BH670" s="1070" t="str">
        <f t="shared" si="191"/>
        <v/>
      </c>
      <c r="BI670" s="1070" t="str">
        <f t="shared" si="192"/>
        <v/>
      </c>
      <c r="BJ670" s="1070" t="str">
        <f t="shared" si="193"/>
        <v/>
      </c>
      <c r="BK670" s="1070" t="str">
        <f t="shared" si="194"/>
        <v/>
      </c>
      <c r="BL670" s="1070" t="str">
        <f t="shared" si="195"/>
        <v/>
      </c>
      <c r="BM670" s="1070" t="str">
        <f t="shared" si="196"/>
        <v/>
      </c>
      <c r="BN670" s="1070" t="str">
        <f t="shared" si="197"/>
        <v/>
      </c>
      <c r="BO670" s="1070" t="str">
        <f t="shared" si="198"/>
        <v/>
      </c>
      <c r="BP670" s="1070" t="str">
        <f t="shared" si="199"/>
        <v/>
      </c>
      <c r="BQ670" s="1070" t="str">
        <f t="shared" si="200"/>
        <v/>
      </c>
      <c r="BR670" s="1070" t="str">
        <f t="shared" si="201"/>
        <v/>
      </c>
      <c r="BS670" s="1070" t="str">
        <f t="shared" si="202"/>
        <v/>
      </c>
      <c r="BT670" s="1070" t="str">
        <f t="shared" si="21"/>
        <v/>
      </c>
      <c r="BU670" s="1070" t="str">
        <f t="shared" si="22"/>
        <v/>
      </c>
      <c r="BV670" s="1070" t="str">
        <f t="shared" si="23"/>
        <v/>
      </c>
      <c r="BW670" s="1070" t="str">
        <f t="shared" si="24"/>
        <v/>
      </c>
      <c r="BX670" s="1070" t="str">
        <f t="shared" si="25"/>
        <v/>
      </c>
      <c r="BY670" s="1070" t="str">
        <f t="shared" si="26"/>
        <v/>
      </c>
      <c r="BZ670" s="1070" t="str">
        <f t="shared" si="27"/>
        <v/>
      </c>
      <c r="CA670" s="1070" t="str">
        <f t="shared" si="28"/>
        <v/>
      </c>
      <c r="CB670" s="1070" t="str">
        <f t="shared" si="29"/>
        <v/>
      </c>
      <c r="CC670" s="1070" t="str">
        <f t="shared" si="30"/>
        <v/>
      </c>
      <c r="CD670" s="1070" t="str">
        <f t="shared" si="31"/>
        <v/>
      </c>
      <c r="CE670" s="1070" t="str">
        <f t="shared" si="32"/>
        <v/>
      </c>
      <c r="CF670" s="1070" t="str">
        <f t="shared" si="33"/>
        <v/>
      </c>
      <c r="CG670" s="1070" t="str">
        <f t="shared" si="34"/>
        <v/>
      </c>
      <c r="CH670" s="1070" t="str">
        <f t="shared" si="35"/>
        <v/>
      </c>
      <c r="CI670" s="1070" t="str">
        <f t="shared" si="36"/>
        <v/>
      </c>
      <c r="CJ670" s="1070" t="str">
        <f t="shared" si="37"/>
        <v/>
      </c>
      <c r="CK670" s="1070" t="str">
        <f t="shared" si="38"/>
        <v/>
      </c>
      <c r="CL670" s="1070" t="str">
        <f t="shared" si="39"/>
        <v/>
      </c>
      <c r="CM670" s="1070" t="str">
        <f t="shared" si="40"/>
        <v/>
      </c>
      <c r="CN670" s="1070" t="str">
        <f t="shared" si="41"/>
        <v/>
      </c>
      <c r="CO670" s="1070" t="str">
        <f t="shared" si="42"/>
        <v/>
      </c>
      <c r="CP670" s="1070" t="str">
        <f t="shared" si="43"/>
        <v/>
      </c>
      <c r="CQ670" s="1070" t="str">
        <f t="shared" si="44"/>
        <v/>
      </c>
      <c r="CR670" s="1070" t="str">
        <f t="shared" si="45"/>
        <v/>
      </c>
      <c r="CS670" s="1070" t="str">
        <f t="shared" si="46"/>
        <v/>
      </c>
      <c r="CT670" s="1070" t="str">
        <f t="shared" si="47"/>
        <v/>
      </c>
      <c r="CU670" s="1070" t="str">
        <f t="shared" si="48"/>
        <v/>
      </c>
      <c r="CV670" s="1070" t="str">
        <f t="shared" si="49"/>
        <v/>
      </c>
      <c r="CW670" s="1070" t="str">
        <f t="shared" si="50"/>
        <v/>
      </c>
      <c r="CX670" s="1070" t="str">
        <f t="shared" si="51"/>
        <v/>
      </c>
      <c r="CY670" s="1070" t="str">
        <f t="shared" si="52"/>
        <v/>
      </c>
      <c r="CZ670" s="1070" t="str">
        <f t="shared" si="53"/>
        <v/>
      </c>
      <c r="DA670" s="1070" t="str">
        <f t="shared" si="54"/>
        <v/>
      </c>
      <c r="DB670" s="1070" t="str">
        <f t="shared" si="55"/>
        <v/>
      </c>
      <c r="DC670" s="1070" t="str">
        <f t="shared" si="56"/>
        <v/>
      </c>
      <c r="DD670" s="1070" t="str">
        <f t="shared" si="57"/>
        <v/>
      </c>
      <c r="DE670" s="1070" t="str">
        <f t="shared" si="58"/>
        <v/>
      </c>
      <c r="DF670" s="1070" t="str">
        <f t="shared" si="59"/>
        <v/>
      </c>
      <c r="DG670" s="1070" t="str">
        <f t="shared" si="60"/>
        <v/>
      </c>
      <c r="DH670" s="1070" t="str">
        <f t="shared" si="61"/>
        <v/>
      </c>
      <c r="DI670" s="1070" t="str">
        <f t="shared" si="62"/>
        <v/>
      </c>
      <c r="DJ670" s="1070" t="str">
        <f t="shared" si="63"/>
        <v/>
      </c>
      <c r="DK670" s="1070" t="str">
        <f t="shared" si="64"/>
        <v/>
      </c>
      <c r="DL670" s="1070" t="str">
        <f t="shared" si="65"/>
        <v/>
      </c>
      <c r="DM670" s="1070" t="str">
        <f t="shared" si="66"/>
        <v/>
      </c>
      <c r="DN670" s="1070" t="str">
        <f t="shared" si="67"/>
        <v/>
      </c>
      <c r="DO670" s="1070" t="str">
        <f t="shared" si="68"/>
        <v/>
      </c>
      <c r="DP670" s="1070" t="str">
        <f t="shared" si="69"/>
        <v/>
      </c>
      <c r="DQ670" s="1070" t="str">
        <f t="shared" si="70"/>
        <v/>
      </c>
      <c r="DR670" s="1070" t="str">
        <f t="shared" si="71"/>
        <v/>
      </c>
      <c r="DS670" s="1070" t="str">
        <f t="shared" si="72"/>
        <v/>
      </c>
      <c r="DT670" s="1070" t="str">
        <f t="shared" si="73"/>
        <v/>
      </c>
      <c r="DU670" s="1070" t="str">
        <f t="shared" si="74"/>
        <v/>
      </c>
      <c r="DV670" s="1070" t="str">
        <f t="shared" si="75"/>
        <v/>
      </c>
      <c r="DW670" s="1070" t="str">
        <f t="shared" si="76"/>
        <v/>
      </c>
      <c r="DX670" s="1070" t="str">
        <f t="shared" si="77"/>
        <v/>
      </c>
      <c r="DY670" s="1070" t="str">
        <f t="shared" si="78"/>
        <v/>
      </c>
      <c r="DZ670" s="1070" t="str">
        <f t="shared" si="79"/>
        <v/>
      </c>
      <c r="EA670" s="1070" t="str">
        <f t="shared" si="80"/>
        <v/>
      </c>
      <c r="EB670" s="1070" t="str">
        <f t="shared" si="81"/>
        <v/>
      </c>
      <c r="EC670" s="1070" t="str">
        <f t="shared" si="82"/>
        <v/>
      </c>
      <c r="ED670" s="1070" t="str">
        <f t="shared" si="83"/>
        <v/>
      </c>
      <c r="EE670" s="1070" t="str">
        <f t="shared" si="84"/>
        <v/>
      </c>
      <c r="EF670" s="1070" t="str">
        <f t="shared" si="85"/>
        <v/>
      </c>
      <c r="EG670" s="1070" t="str">
        <f t="shared" si="86"/>
        <v/>
      </c>
      <c r="EH670" s="1070" t="str">
        <f t="shared" si="87"/>
        <v/>
      </c>
      <c r="EI670" s="1070" t="str">
        <f t="shared" si="88"/>
        <v/>
      </c>
      <c r="EJ670" s="1070" t="str">
        <f t="shared" si="89"/>
        <v/>
      </c>
      <c r="EK670" s="1070" t="str">
        <f t="shared" si="90"/>
        <v/>
      </c>
      <c r="EL670" s="1070" t="str">
        <f t="shared" si="91"/>
        <v/>
      </c>
      <c r="EM670" s="1070" t="str">
        <f t="shared" si="92"/>
        <v/>
      </c>
      <c r="EN670" s="1070" t="str">
        <f t="shared" si="93"/>
        <v/>
      </c>
      <c r="EO670" s="1070" t="str">
        <f t="shared" si="94"/>
        <v/>
      </c>
      <c r="EP670" s="1070" t="str">
        <f t="shared" si="95"/>
        <v/>
      </c>
      <c r="EQ670" s="1070" t="str">
        <f t="shared" si="96"/>
        <v/>
      </c>
      <c r="ER670" s="1070" t="str">
        <f t="shared" si="97"/>
        <v/>
      </c>
      <c r="ES670" s="1070" t="str">
        <f t="shared" si="98"/>
        <v/>
      </c>
      <c r="ET670" s="1070" t="str">
        <f t="shared" si="99"/>
        <v/>
      </c>
      <c r="EU670" s="1070" t="str">
        <f t="shared" si="100"/>
        <v/>
      </c>
      <c r="EV670" s="831" t="str">
        <f t="shared" si="101"/>
        <v/>
      </c>
      <c r="EW670" s="831" t="str">
        <f t="shared" si="102"/>
        <v/>
      </c>
      <c r="EX670" s="831" t="str">
        <f t="shared" si="103"/>
        <v/>
      </c>
      <c r="EY670" s="831" t="str">
        <f t="shared" si="104"/>
        <v/>
      </c>
      <c r="EZ670" s="831" t="str">
        <f t="shared" si="105"/>
        <v/>
      </c>
      <c r="FA670" s="831" t="str">
        <f t="shared" si="106"/>
        <v/>
      </c>
      <c r="FB670" s="831" t="str">
        <f t="shared" si="107"/>
        <v/>
      </c>
      <c r="FC670" s="831" t="str">
        <f t="shared" si="108"/>
        <v/>
      </c>
      <c r="FD670" s="831" t="str">
        <f t="shared" si="109"/>
        <v/>
      </c>
      <c r="FE670" s="831" t="str">
        <f t="shared" si="110"/>
        <v/>
      </c>
      <c r="FF670" s="831" t="str">
        <f t="shared" si="111"/>
        <v/>
      </c>
      <c r="FG670" s="831" t="str">
        <f t="shared" si="112"/>
        <v/>
      </c>
      <c r="FH670" s="831" t="str">
        <f t="shared" si="113"/>
        <v/>
      </c>
      <c r="FI670" s="831" t="str">
        <f t="shared" si="114"/>
        <v/>
      </c>
      <c r="FJ670" s="831" t="str">
        <f t="shared" si="115"/>
        <v/>
      </c>
      <c r="FK670" s="831" t="str">
        <f t="shared" si="116"/>
        <v/>
      </c>
      <c r="FL670" s="831" t="str">
        <f t="shared" si="117"/>
        <v/>
      </c>
      <c r="FM670" s="831" t="str">
        <f t="shared" si="118"/>
        <v/>
      </c>
      <c r="FN670" s="831" t="str">
        <f t="shared" si="119"/>
        <v/>
      </c>
      <c r="FO670" s="831" t="str">
        <f t="shared" si="120"/>
        <v/>
      </c>
      <c r="FP670" s="831" t="str">
        <f t="shared" si="121"/>
        <v/>
      </c>
      <c r="FQ670" s="831" t="str">
        <f t="shared" si="122"/>
        <v/>
      </c>
      <c r="FR670" s="831" t="str">
        <f t="shared" si="123"/>
        <v/>
      </c>
      <c r="FS670" s="831" t="str">
        <f t="shared" si="124"/>
        <v/>
      </c>
      <c r="FT670" s="831" t="str">
        <f t="shared" si="125"/>
        <v/>
      </c>
      <c r="FU670" s="831" t="str">
        <f t="shared" si="126"/>
        <v/>
      </c>
      <c r="FV670" s="831" t="str">
        <f t="shared" si="127"/>
        <v/>
      </c>
      <c r="FW670" s="831" t="str">
        <f t="shared" si="128"/>
        <v/>
      </c>
      <c r="FX670" s="831" t="str">
        <f t="shared" si="129"/>
        <v/>
      </c>
      <c r="FY670" s="831" t="str">
        <f t="shared" si="130"/>
        <v/>
      </c>
      <c r="FZ670" s="831" t="str">
        <f t="shared" si="131"/>
        <v/>
      </c>
      <c r="GA670" s="831" t="str">
        <f t="shared" si="132"/>
        <v/>
      </c>
      <c r="GB670" s="831" t="str">
        <f t="shared" si="133"/>
        <v/>
      </c>
      <c r="GC670" s="831" t="str">
        <f t="shared" si="134"/>
        <v/>
      </c>
      <c r="GD670" s="831" t="str">
        <f t="shared" si="135"/>
        <v/>
      </c>
      <c r="GE670" s="831" t="str">
        <f t="shared" si="136"/>
        <v/>
      </c>
      <c r="GF670" s="831" t="str">
        <f t="shared" si="137"/>
        <v/>
      </c>
      <c r="GG670" s="831" t="str">
        <f t="shared" si="138"/>
        <v/>
      </c>
      <c r="GH670" s="831" t="str">
        <f t="shared" si="139"/>
        <v/>
      </c>
      <c r="GI670" s="831" t="str">
        <f t="shared" si="140"/>
        <v/>
      </c>
      <c r="GJ670" s="831" t="str">
        <f t="shared" si="141"/>
        <v/>
      </c>
      <c r="GK670" s="831" t="str">
        <f t="shared" si="142"/>
        <v/>
      </c>
      <c r="GL670" s="831" t="str">
        <f t="shared" si="143"/>
        <v/>
      </c>
      <c r="GM670" s="831" t="str">
        <f t="shared" si="144"/>
        <v/>
      </c>
      <c r="GN670" s="831" t="str">
        <f t="shared" si="145"/>
        <v/>
      </c>
      <c r="GO670" s="1113" t="str">
        <f t="shared" si="146"/>
        <v/>
      </c>
      <c r="GP670" s="1113" t="str">
        <f t="shared" si="147"/>
        <v/>
      </c>
      <c r="GQ670" s="1113" t="str">
        <f t="shared" si="148"/>
        <v/>
      </c>
      <c r="GR670" s="1113" t="str">
        <f t="shared" si="149"/>
        <v/>
      </c>
      <c r="GS670" s="1113" t="str">
        <f t="shared" si="150"/>
        <v/>
      </c>
      <c r="GT670" s="1070" t="str">
        <f t="shared" si="151"/>
        <v/>
      </c>
      <c r="GU670" s="1070" t="str">
        <f t="shared" si="152"/>
        <v/>
      </c>
      <c r="GV670" s="1070" t="str">
        <f t="shared" si="153"/>
        <v/>
      </c>
      <c r="GW670" s="1070" t="str">
        <f t="shared" si="154"/>
        <v/>
      </c>
      <c r="GX670" s="1070" t="str">
        <f t="shared" si="155"/>
        <v/>
      </c>
      <c r="GY670" s="1070" t="str">
        <f t="shared" si="156"/>
        <v/>
      </c>
      <c r="GZ670" s="1070" t="str">
        <f t="shared" si="157"/>
        <v/>
      </c>
      <c r="HA670" s="1070" t="str">
        <f t="shared" si="158"/>
        <v/>
      </c>
      <c r="HB670" s="1070" t="str">
        <f t="shared" si="159"/>
        <v/>
      </c>
      <c r="HC670" s="1070" t="str">
        <f t="shared" si="160"/>
        <v/>
      </c>
      <c r="HD670" s="1070" t="str">
        <f t="shared" si="161"/>
        <v/>
      </c>
      <c r="HE670" s="1070" t="str">
        <f t="shared" si="162"/>
        <v/>
      </c>
      <c r="HF670" s="1070" t="str">
        <f t="shared" si="163"/>
        <v/>
      </c>
      <c r="HG670" s="1070" t="str">
        <f t="shared" si="164"/>
        <v/>
      </c>
      <c r="HH670" s="1070" t="str">
        <f t="shared" si="165"/>
        <v/>
      </c>
      <c r="HI670" s="1070" t="str">
        <f t="shared" si="166"/>
        <v/>
      </c>
      <c r="HJ670" s="1070" t="str">
        <f t="shared" si="167"/>
        <v/>
      </c>
      <c r="HK670" s="1070" t="str">
        <f t="shared" si="168"/>
        <v/>
      </c>
      <c r="HL670" s="1070" t="str">
        <f t="shared" si="169"/>
        <v/>
      </c>
      <c r="HM670" s="1070" t="str">
        <f t="shared" si="170"/>
        <v/>
      </c>
    </row>
    <row r="671" spans="1:221" ht="13.15" customHeight="1">
      <c r="A671" s="1082" t="str">
        <f t="shared" si="171"/>
        <v/>
      </c>
      <c r="B671" s="1035" t="str">
        <f>'Part VI-Revenues &amp; Expenses'!B37</f>
        <v>&lt;&lt;Select&gt;&gt;</v>
      </c>
      <c r="C671" s="1036">
        <f>'Part VI-Revenues &amp; Expenses'!C37</f>
        <v>0</v>
      </c>
      <c r="D671" s="1037">
        <f>'Part VI-Revenues &amp; Expenses'!D37</f>
        <v>0</v>
      </c>
      <c r="E671" s="1038">
        <f>'Part VI-Revenues &amp; Expenses'!E37</f>
        <v>0</v>
      </c>
      <c r="F671" s="1038">
        <f>'Part VI-Revenues &amp; Expenses'!F37</f>
        <v>0</v>
      </c>
      <c r="G671" s="1038">
        <f>'Part VI-Revenues &amp; Expenses'!G37</f>
        <v>0</v>
      </c>
      <c r="H671" s="1038">
        <f>'Part VI-Revenues &amp; Expenses'!H37</f>
        <v>0</v>
      </c>
      <c r="I671" s="1038">
        <f>'Part VI-Revenues &amp; Expenses'!I37</f>
        <v>0</v>
      </c>
      <c r="J671" s="1101">
        <f>'Part VI-Revenues &amp; Expenses'!J37</f>
        <v>0</v>
      </c>
      <c r="K671" s="906">
        <f t="shared" si="204"/>
        <v>0</v>
      </c>
      <c r="L671" s="906">
        <f t="shared" si="0"/>
        <v>0</v>
      </c>
      <c r="M671" s="829">
        <f>'Part VI-Revenues &amp; Expenses'!M37</f>
        <v>0</v>
      </c>
      <c r="N671" s="829">
        <f>'Part VI-Revenues &amp; Expenses'!N37</f>
        <v>0</v>
      </c>
      <c r="O671" s="829">
        <f>'Part VI-Revenues &amp; Expenses'!O37</f>
        <v>0</v>
      </c>
      <c r="P671" s="907">
        <f t="shared" si="203"/>
        <v>0</v>
      </c>
      <c r="Q671" s="908" t="str">
        <f>'Part VI-Revenues &amp; Expenses'!Q37</f>
        <v/>
      </c>
      <c r="R671" s="907"/>
      <c r="S671" s="908"/>
      <c r="T671" s="1575"/>
      <c r="U671" s="1575"/>
      <c r="V671" s="1070" t="str">
        <f t="shared" si="1"/>
        <v/>
      </c>
      <c r="W671" s="1070" t="str">
        <f t="shared" si="2"/>
        <v/>
      </c>
      <c r="X671" s="1070" t="str">
        <f t="shared" si="3"/>
        <v/>
      </c>
      <c r="Y671" s="1070" t="str">
        <f t="shared" si="4"/>
        <v/>
      </c>
      <c r="Z671" s="1070" t="str">
        <f t="shared" si="5"/>
        <v/>
      </c>
      <c r="AA671" s="1070" t="str">
        <f t="shared" si="6"/>
        <v/>
      </c>
      <c r="AB671" s="1070" t="str">
        <f t="shared" si="7"/>
        <v/>
      </c>
      <c r="AC671" s="1070" t="str">
        <f t="shared" si="8"/>
        <v/>
      </c>
      <c r="AD671" s="1070" t="str">
        <f t="shared" si="9"/>
        <v/>
      </c>
      <c r="AE671" s="1070" t="str">
        <f t="shared" si="10"/>
        <v/>
      </c>
      <c r="AF671" s="1070" t="str">
        <f t="shared" si="11"/>
        <v/>
      </c>
      <c r="AG671" s="1070" t="str">
        <f t="shared" si="12"/>
        <v/>
      </c>
      <c r="AH671" s="1070" t="str">
        <f t="shared" si="13"/>
        <v/>
      </c>
      <c r="AI671" s="1070" t="str">
        <f t="shared" si="14"/>
        <v/>
      </c>
      <c r="AJ671" s="1070" t="str">
        <f t="shared" si="15"/>
        <v/>
      </c>
      <c r="AK671" s="1070" t="str">
        <f t="shared" si="16"/>
        <v/>
      </c>
      <c r="AL671" s="1070" t="str">
        <f t="shared" si="17"/>
        <v/>
      </c>
      <c r="AM671" s="1070" t="str">
        <f t="shared" si="18"/>
        <v/>
      </c>
      <c r="AN671" s="1070" t="str">
        <f t="shared" si="19"/>
        <v/>
      </c>
      <c r="AO671" s="1070" t="str">
        <f t="shared" si="20"/>
        <v/>
      </c>
      <c r="AP671" s="1070" t="str">
        <f t="shared" si="173"/>
        <v/>
      </c>
      <c r="AQ671" s="1070" t="str">
        <f t="shared" si="174"/>
        <v/>
      </c>
      <c r="AR671" s="1070" t="str">
        <f t="shared" si="175"/>
        <v/>
      </c>
      <c r="AS671" s="1070" t="str">
        <f t="shared" si="176"/>
        <v/>
      </c>
      <c r="AT671" s="1070" t="str">
        <f t="shared" si="177"/>
        <v/>
      </c>
      <c r="AU671" s="1070" t="str">
        <f t="shared" si="178"/>
        <v/>
      </c>
      <c r="AV671" s="1070" t="str">
        <f t="shared" si="179"/>
        <v/>
      </c>
      <c r="AW671" s="1070" t="str">
        <f t="shared" si="180"/>
        <v/>
      </c>
      <c r="AX671" s="1070" t="str">
        <f t="shared" si="181"/>
        <v/>
      </c>
      <c r="AY671" s="1070" t="str">
        <f t="shared" si="182"/>
        <v/>
      </c>
      <c r="AZ671" s="1070" t="str">
        <f t="shared" si="183"/>
        <v/>
      </c>
      <c r="BA671" s="1070" t="str">
        <f t="shared" si="184"/>
        <v/>
      </c>
      <c r="BB671" s="1070" t="str">
        <f t="shared" si="185"/>
        <v/>
      </c>
      <c r="BC671" s="1070" t="str">
        <f t="shared" si="186"/>
        <v/>
      </c>
      <c r="BD671" s="1070" t="str">
        <f t="shared" si="187"/>
        <v/>
      </c>
      <c r="BE671" s="1070" t="str">
        <f t="shared" si="188"/>
        <v/>
      </c>
      <c r="BF671" s="1070" t="str">
        <f t="shared" si="189"/>
        <v/>
      </c>
      <c r="BG671" s="1070" t="str">
        <f t="shared" si="190"/>
        <v/>
      </c>
      <c r="BH671" s="1070" t="str">
        <f t="shared" si="191"/>
        <v/>
      </c>
      <c r="BI671" s="1070" t="str">
        <f t="shared" si="192"/>
        <v/>
      </c>
      <c r="BJ671" s="1070" t="str">
        <f t="shared" si="193"/>
        <v/>
      </c>
      <c r="BK671" s="1070" t="str">
        <f t="shared" si="194"/>
        <v/>
      </c>
      <c r="BL671" s="1070" t="str">
        <f t="shared" si="195"/>
        <v/>
      </c>
      <c r="BM671" s="1070" t="str">
        <f t="shared" si="196"/>
        <v/>
      </c>
      <c r="BN671" s="1070" t="str">
        <f t="shared" si="197"/>
        <v/>
      </c>
      <c r="BO671" s="1070" t="str">
        <f t="shared" si="198"/>
        <v/>
      </c>
      <c r="BP671" s="1070" t="str">
        <f t="shared" si="199"/>
        <v/>
      </c>
      <c r="BQ671" s="1070" t="str">
        <f t="shared" si="200"/>
        <v/>
      </c>
      <c r="BR671" s="1070" t="str">
        <f t="shared" si="201"/>
        <v/>
      </c>
      <c r="BS671" s="1070" t="str">
        <f t="shared" si="202"/>
        <v/>
      </c>
      <c r="BT671" s="1070" t="str">
        <f t="shared" si="21"/>
        <v/>
      </c>
      <c r="BU671" s="1070" t="str">
        <f t="shared" si="22"/>
        <v/>
      </c>
      <c r="BV671" s="1070" t="str">
        <f t="shared" si="23"/>
        <v/>
      </c>
      <c r="BW671" s="1070" t="str">
        <f t="shared" si="24"/>
        <v/>
      </c>
      <c r="BX671" s="1070" t="str">
        <f t="shared" si="25"/>
        <v/>
      </c>
      <c r="BY671" s="1070" t="str">
        <f t="shared" si="26"/>
        <v/>
      </c>
      <c r="BZ671" s="1070" t="str">
        <f t="shared" si="27"/>
        <v/>
      </c>
      <c r="CA671" s="1070" t="str">
        <f t="shared" si="28"/>
        <v/>
      </c>
      <c r="CB671" s="1070" t="str">
        <f t="shared" si="29"/>
        <v/>
      </c>
      <c r="CC671" s="1070" t="str">
        <f t="shared" si="30"/>
        <v/>
      </c>
      <c r="CD671" s="1070" t="str">
        <f t="shared" si="31"/>
        <v/>
      </c>
      <c r="CE671" s="1070" t="str">
        <f t="shared" si="32"/>
        <v/>
      </c>
      <c r="CF671" s="1070" t="str">
        <f t="shared" si="33"/>
        <v/>
      </c>
      <c r="CG671" s="1070" t="str">
        <f t="shared" si="34"/>
        <v/>
      </c>
      <c r="CH671" s="1070" t="str">
        <f t="shared" si="35"/>
        <v/>
      </c>
      <c r="CI671" s="1070" t="str">
        <f t="shared" si="36"/>
        <v/>
      </c>
      <c r="CJ671" s="1070" t="str">
        <f t="shared" si="37"/>
        <v/>
      </c>
      <c r="CK671" s="1070" t="str">
        <f t="shared" si="38"/>
        <v/>
      </c>
      <c r="CL671" s="1070" t="str">
        <f t="shared" si="39"/>
        <v/>
      </c>
      <c r="CM671" s="1070" t="str">
        <f t="shared" si="40"/>
        <v/>
      </c>
      <c r="CN671" s="1070" t="str">
        <f t="shared" si="41"/>
        <v/>
      </c>
      <c r="CO671" s="1070" t="str">
        <f t="shared" si="42"/>
        <v/>
      </c>
      <c r="CP671" s="1070" t="str">
        <f t="shared" si="43"/>
        <v/>
      </c>
      <c r="CQ671" s="1070" t="str">
        <f t="shared" si="44"/>
        <v/>
      </c>
      <c r="CR671" s="1070" t="str">
        <f t="shared" si="45"/>
        <v/>
      </c>
      <c r="CS671" s="1070" t="str">
        <f t="shared" si="46"/>
        <v/>
      </c>
      <c r="CT671" s="1070" t="str">
        <f t="shared" si="47"/>
        <v/>
      </c>
      <c r="CU671" s="1070" t="str">
        <f t="shared" si="48"/>
        <v/>
      </c>
      <c r="CV671" s="1070" t="str">
        <f t="shared" si="49"/>
        <v/>
      </c>
      <c r="CW671" s="1070" t="str">
        <f t="shared" si="50"/>
        <v/>
      </c>
      <c r="CX671" s="1070" t="str">
        <f t="shared" si="51"/>
        <v/>
      </c>
      <c r="CY671" s="1070" t="str">
        <f t="shared" si="52"/>
        <v/>
      </c>
      <c r="CZ671" s="1070" t="str">
        <f t="shared" si="53"/>
        <v/>
      </c>
      <c r="DA671" s="1070" t="str">
        <f t="shared" si="54"/>
        <v/>
      </c>
      <c r="DB671" s="1070" t="str">
        <f t="shared" si="55"/>
        <v/>
      </c>
      <c r="DC671" s="1070" t="str">
        <f t="shared" si="56"/>
        <v/>
      </c>
      <c r="DD671" s="1070" t="str">
        <f t="shared" si="57"/>
        <v/>
      </c>
      <c r="DE671" s="1070" t="str">
        <f t="shared" si="58"/>
        <v/>
      </c>
      <c r="DF671" s="1070" t="str">
        <f t="shared" si="59"/>
        <v/>
      </c>
      <c r="DG671" s="1070" t="str">
        <f t="shared" si="60"/>
        <v/>
      </c>
      <c r="DH671" s="1070" t="str">
        <f t="shared" si="61"/>
        <v/>
      </c>
      <c r="DI671" s="1070" t="str">
        <f t="shared" si="62"/>
        <v/>
      </c>
      <c r="DJ671" s="1070" t="str">
        <f t="shared" si="63"/>
        <v/>
      </c>
      <c r="DK671" s="1070" t="str">
        <f t="shared" si="64"/>
        <v/>
      </c>
      <c r="DL671" s="1070" t="str">
        <f t="shared" si="65"/>
        <v/>
      </c>
      <c r="DM671" s="1070" t="str">
        <f t="shared" si="66"/>
        <v/>
      </c>
      <c r="DN671" s="1070" t="str">
        <f t="shared" si="67"/>
        <v/>
      </c>
      <c r="DO671" s="1070" t="str">
        <f t="shared" si="68"/>
        <v/>
      </c>
      <c r="DP671" s="1070" t="str">
        <f t="shared" si="69"/>
        <v/>
      </c>
      <c r="DQ671" s="1070" t="str">
        <f t="shared" si="70"/>
        <v/>
      </c>
      <c r="DR671" s="1070" t="str">
        <f t="shared" si="71"/>
        <v/>
      </c>
      <c r="DS671" s="1070" t="str">
        <f t="shared" si="72"/>
        <v/>
      </c>
      <c r="DT671" s="1070" t="str">
        <f t="shared" si="73"/>
        <v/>
      </c>
      <c r="DU671" s="1070" t="str">
        <f t="shared" si="74"/>
        <v/>
      </c>
      <c r="DV671" s="1070" t="str">
        <f t="shared" si="75"/>
        <v/>
      </c>
      <c r="DW671" s="1070" t="str">
        <f t="shared" si="76"/>
        <v/>
      </c>
      <c r="DX671" s="1070" t="str">
        <f t="shared" si="77"/>
        <v/>
      </c>
      <c r="DY671" s="1070" t="str">
        <f t="shared" si="78"/>
        <v/>
      </c>
      <c r="DZ671" s="1070" t="str">
        <f t="shared" si="79"/>
        <v/>
      </c>
      <c r="EA671" s="1070" t="str">
        <f t="shared" si="80"/>
        <v/>
      </c>
      <c r="EB671" s="1070" t="str">
        <f t="shared" si="81"/>
        <v/>
      </c>
      <c r="EC671" s="1070" t="str">
        <f t="shared" si="82"/>
        <v/>
      </c>
      <c r="ED671" s="1070" t="str">
        <f t="shared" si="83"/>
        <v/>
      </c>
      <c r="EE671" s="1070" t="str">
        <f t="shared" si="84"/>
        <v/>
      </c>
      <c r="EF671" s="1070" t="str">
        <f t="shared" si="85"/>
        <v/>
      </c>
      <c r="EG671" s="1070" t="str">
        <f t="shared" si="86"/>
        <v/>
      </c>
      <c r="EH671" s="1070" t="str">
        <f t="shared" si="87"/>
        <v/>
      </c>
      <c r="EI671" s="1070" t="str">
        <f t="shared" si="88"/>
        <v/>
      </c>
      <c r="EJ671" s="1070" t="str">
        <f t="shared" si="89"/>
        <v/>
      </c>
      <c r="EK671" s="1070" t="str">
        <f t="shared" si="90"/>
        <v/>
      </c>
      <c r="EL671" s="1070" t="str">
        <f t="shared" si="91"/>
        <v/>
      </c>
      <c r="EM671" s="1070" t="str">
        <f t="shared" si="92"/>
        <v/>
      </c>
      <c r="EN671" s="1070" t="str">
        <f t="shared" si="93"/>
        <v/>
      </c>
      <c r="EO671" s="1070" t="str">
        <f t="shared" si="94"/>
        <v/>
      </c>
      <c r="EP671" s="1070" t="str">
        <f t="shared" si="95"/>
        <v/>
      </c>
      <c r="EQ671" s="1070" t="str">
        <f t="shared" si="96"/>
        <v/>
      </c>
      <c r="ER671" s="1070" t="str">
        <f t="shared" si="97"/>
        <v/>
      </c>
      <c r="ES671" s="1070" t="str">
        <f t="shared" si="98"/>
        <v/>
      </c>
      <c r="ET671" s="1070" t="str">
        <f t="shared" si="99"/>
        <v/>
      </c>
      <c r="EU671" s="1070" t="str">
        <f t="shared" si="100"/>
        <v/>
      </c>
      <c r="EV671" s="831" t="str">
        <f t="shared" si="101"/>
        <v/>
      </c>
      <c r="EW671" s="831" t="str">
        <f t="shared" si="102"/>
        <v/>
      </c>
      <c r="EX671" s="831" t="str">
        <f t="shared" si="103"/>
        <v/>
      </c>
      <c r="EY671" s="831" t="str">
        <f t="shared" si="104"/>
        <v/>
      </c>
      <c r="EZ671" s="831" t="str">
        <f t="shared" si="105"/>
        <v/>
      </c>
      <c r="FA671" s="831" t="str">
        <f t="shared" si="106"/>
        <v/>
      </c>
      <c r="FB671" s="831" t="str">
        <f t="shared" si="107"/>
        <v/>
      </c>
      <c r="FC671" s="831" t="str">
        <f t="shared" si="108"/>
        <v/>
      </c>
      <c r="FD671" s="831" t="str">
        <f t="shared" si="109"/>
        <v/>
      </c>
      <c r="FE671" s="831" t="str">
        <f t="shared" si="110"/>
        <v/>
      </c>
      <c r="FF671" s="831" t="str">
        <f t="shared" si="111"/>
        <v/>
      </c>
      <c r="FG671" s="831" t="str">
        <f t="shared" si="112"/>
        <v/>
      </c>
      <c r="FH671" s="831" t="str">
        <f t="shared" si="113"/>
        <v/>
      </c>
      <c r="FI671" s="831" t="str">
        <f t="shared" si="114"/>
        <v/>
      </c>
      <c r="FJ671" s="831" t="str">
        <f t="shared" si="115"/>
        <v/>
      </c>
      <c r="FK671" s="831" t="str">
        <f t="shared" si="116"/>
        <v/>
      </c>
      <c r="FL671" s="831" t="str">
        <f t="shared" si="117"/>
        <v/>
      </c>
      <c r="FM671" s="831" t="str">
        <f t="shared" si="118"/>
        <v/>
      </c>
      <c r="FN671" s="831" t="str">
        <f t="shared" si="119"/>
        <v/>
      </c>
      <c r="FO671" s="831" t="str">
        <f t="shared" si="120"/>
        <v/>
      </c>
      <c r="FP671" s="831" t="str">
        <f t="shared" si="121"/>
        <v/>
      </c>
      <c r="FQ671" s="831" t="str">
        <f t="shared" si="122"/>
        <v/>
      </c>
      <c r="FR671" s="831" t="str">
        <f t="shared" si="123"/>
        <v/>
      </c>
      <c r="FS671" s="831" t="str">
        <f t="shared" si="124"/>
        <v/>
      </c>
      <c r="FT671" s="831" t="str">
        <f t="shared" si="125"/>
        <v/>
      </c>
      <c r="FU671" s="831" t="str">
        <f t="shared" si="126"/>
        <v/>
      </c>
      <c r="FV671" s="831" t="str">
        <f t="shared" si="127"/>
        <v/>
      </c>
      <c r="FW671" s="831" t="str">
        <f t="shared" si="128"/>
        <v/>
      </c>
      <c r="FX671" s="831" t="str">
        <f t="shared" si="129"/>
        <v/>
      </c>
      <c r="FY671" s="831" t="str">
        <f t="shared" si="130"/>
        <v/>
      </c>
      <c r="FZ671" s="831" t="str">
        <f t="shared" si="131"/>
        <v/>
      </c>
      <c r="GA671" s="831" t="str">
        <f t="shared" si="132"/>
        <v/>
      </c>
      <c r="GB671" s="831" t="str">
        <f t="shared" si="133"/>
        <v/>
      </c>
      <c r="GC671" s="831" t="str">
        <f t="shared" si="134"/>
        <v/>
      </c>
      <c r="GD671" s="831" t="str">
        <f t="shared" si="135"/>
        <v/>
      </c>
      <c r="GE671" s="831" t="str">
        <f t="shared" si="136"/>
        <v/>
      </c>
      <c r="GF671" s="831" t="str">
        <f t="shared" si="137"/>
        <v/>
      </c>
      <c r="GG671" s="831" t="str">
        <f t="shared" si="138"/>
        <v/>
      </c>
      <c r="GH671" s="831" t="str">
        <f t="shared" si="139"/>
        <v/>
      </c>
      <c r="GI671" s="831" t="str">
        <f t="shared" si="140"/>
        <v/>
      </c>
      <c r="GJ671" s="831" t="str">
        <f t="shared" si="141"/>
        <v/>
      </c>
      <c r="GK671" s="831" t="str">
        <f t="shared" si="142"/>
        <v/>
      </c>
      <c r="GL671" s="831" t="str">
        <f t="shared" si="143"/>
        <v/>
      </c>
      <c r="GM671" s="831" t="str">
        <f t="shared" si="144"/>
        <v/>
      </c>
      <c r="GN671" s="831" t="str">
        <f t="shared" si="145"/>
        <v/>
      </c>
      <c r="GO671" s="1113" t="str">
        <f t="shared" si="146"/>
        <v/>
      </c>
      <c r="GP671" s="1113" t="str">
        <f t="shared" si="147"/>
        <v/>
      </c>
      <c r="GQ671" s="1113" t="str">
        <f t="shared" si="148"/>
        <v/>
      </c>
      <c r="GR671" s="1113" t="str">
        <f t="shared" si="149"/>
        <v/>
      </c>
      <c r="GS671" s="1113" t="str">
        <f t="shared" si="150"/>
        <v/>
      </c>
      <c r="GT671" s="1070" t="str">
        <f t="shared" si="151"/>
        <v/>
      </c>
      <c r="GU671" s="1070" t="str">
        <f t="shared" si="152"/>
        <v/>
      </c>
      <c r="GV671" s="1070" t="str">
        <f t="shared" si="153"/>
        <v/>
      </c>
      <c r="GW671" s="1070" t="str">
        <f t="shared" si="154"/>
        <v/>
      </c>
      <c r="GX671" s="1070" t="str">
        <f t="shared" si="155"/>
        <v/>
      </c>
      <c r="GY671" s="1070" t="str">
        <f t="shared" si="156"/>
        <v/>
      </c>
      <c r="GZ671" s="1070" t="str">
        <f t="shared" si="157"/>
        <v/>
      </c>
      <c r="HA671" s="1070" t="str">
        <f t="shared" si="158"/>
        <v/>
      </c>
      <c r="HB671" s="1070" t="str">
        <f t="shared" si="159"/>
        <v/>
      </c>
      <c r="HC671" s="1070" t="str">
        <f t="shared" si="160"/>
        <v/>
      </c>
      <c r="HD671" s="1070" t="str">
        <f t="shared" si="161"/>
        <v/>
      </c>
      <c r="HE671" s="1070" t="str">
        <f t="shared" si="162"/>
        <v/>
      </c>
      <c r="HF671" s="1070" t="str">
        <f t="shared" si="163"/>
        <v/>
      </c>
      <c r="HG671" s="1070" t="str">
        <f t="shared" si="164"/>
        <v/>
      </c>
      <c r="HH671" s="1070" t="str">
        <f t="shared" si="165"/>
        <v/>
      </c>
      <c r="HI671" s="1070" t="str">
        <f t="shared" si="166"/>
        <v/>
      </c>
      <c r="HJ671" s="1070" t="str">
        <f t="shared" si="167"/>
        <v/>
      </c>
      <c r="HK671" s="1070" t="str">
        <f t="shared" si="168"/>
        <v/>
      </c>
      <c r="HL671" s="1070" t="str">
        <f t="shared" si="169"/>
        <v/>
      </c>
      <c r="HM671" s="1070" t="str">
        <f t="shared" si="170"/>
        <v/>
      </c>
    </row>
    <row r="672" spans="1:221" ht="13.15" customHeight="1">
      <c r="A672" s="1082" t="str">
        <f t="shared" si="171"/>
        <v/>
      </c>
      <c r="B672" s="1035" t="str">
        <f>'Part VI-Revenues &amp; Expenses'!B38</f>
        <v>&lt;&lt;Select&gt;&gt;</v>
      </c>
      <c r="C672" s="1036">
        <f>'Part VI-Revenues &amp; Expenses'!C38</f>
        <v>0</v>
      </c>
      <c r="D672" s="1037">
        <f>'Part VI-Revenues &amp; Expenses'!D38</f>
        <v>0</v>
      </c>
      <c r="E672" s="1038">
        <f>'Part VI-Revenues &amp; Expenses'!E38</f>
        <v>0</v>
      </c>
      <c r="F672" s="1038">
        <f>'Part VI-Revenues &amp; Expenses'!F38</f>
        <v>0</v>
      </c>
      <c r="G672" s="1038">
        <f>'Part VI-Revenues &amp; Expenses'!G38</f>
        <v>0</v>
      </c>
      <c r="H672" s="1038">
        <f>'Part VI-Revenues &amp; Expenses'!H38</f>
        <v>0</v>
      </c>
      <c r="I672" s="1038">
        <f>'Part VI-Revenues &amp; Expenses'!I38</f>
        <v>0</v>
      </c>
      <c r="J672" s="1101">
        <f>'Part VI-Revenues &amp; Expenses'!J38</f>
        <v>0</v>
      </c>
      <c r="K672" s="906">
        <f>MAX(0,H672-I672)</f>
        <v>0</v>
      </c>
      <c r="L672" s="906">
        <f t="shared" si="0"/>
        <v>0</v>
      </c>
      <c r="M672" s="829">
        <f>'Part VI-Revenues &amp; Expenses'!M38</f>
        <v>0</v>
      </c>
      <c r="N672" s="829">
        <f>'Part VI-Revenues &amp; Expenses'!N38</f>
        <v>0</v>
      </c>
      <c r="O672" s="829">
        <f>'Part VI-Revenues &amp; Expenses'!O38</f>
        <v>0</v>
      </c>
      <c r="P672" s="907">
        <f t="shared" si="203"/>
        <v>0</v>
      </c>
      <c r="Q672" s="908" t="str">
        <f>'Part VI-Revenues &amp; Expenses'!Q38</f>
        <v/>
      </c>
      <c r="R672" s="907"/>
      <c r="S672" s="908"/>
      <c r="T672" s="1575"/>
      <c r="U672" s="1575"/>
      <c r="V672" s="1070" t="str">
        <f t="shared" si="1"/>
        <v/>
      </c>
      <c r="W672" s="1070" t="str">
        <f t="shared" si="2"/>
        <v/>
      </c>
      <c r="X672" s="1070" t="str">
        <f t="shared" si="3"/>
        <v/>
      </c>
      <c r="Y672" s="1070" t="str">
        <f t="shared" si="4"/>
        <v/>
      </c>
      <c r="Z672" s="1070" t="str">
        <f t="shared" si="5"/>
        <v/>
      </c>
      <c r="AA672" s="1070" t="str">
        <f t="shared" si="6"/>
        <v/>
      </c>
      <c r="AB672" s="1070" t="str">
        <f t="shared" si="7"/>
        <v/>
      </c>
      <c r="AC672" s="1070" t="str">
        <f t="shared" si="8"/>
        <v/>
      </c>
      <c r="AD672" s="1070" t="str">
        <f t="shared" si="9"/>
        <v/>
      </c>
      <c r="AE672" s="1070" t="str">
        <f t="shared" si="10"/>
        <v/>
      </c>
      <c r="AF672" s="1070" t="str">
        <f t="shared" si="11"/>
        <v/>
      </c>
      <c r="AG672" s="1070" t="str">
        <f t="shared" si="12"/>
        <v/>
      </c>
      <c r="AH672" s="1070" t="str">
        <f t="shared" si="13"/>
        <v/>
      </c>
      <c r="AI672" s="1070" t="str">
        <f t="shared" si="14"/>
        <v/>
      </c>
      <c r="AJ672" s="1070" t="str">
        <f t="shared" si="15"/>
        <v/>
      </c>
      <c r="AK672" s="1070" t="str">
        <f t="shared" si="16"/>
        <v/>
      </c>
      <c r="AL672" s="1070" t="str">
        <f t="shared" si="17"/>
        <v/>
      </c>
      <c r="AM672" s="1070" t="str">
        <f t="shared" si="18"/>
        <v/>
      </c>
      <c r="AN672" s="1070" t="str">
        <f t="shared" si="19"/>
        <v/>
      </c>
      <c r="AO672" s="1070" t="str">
        <f t="shared" si="20"/>
        <v/>
      </c>
      <c r="AP672" s="1070" t="str">
        <f t="shared" si="173"/>
        <v/>
      </c>
      <c r="AQ672" s="1070" t="str">
        <f t="shared" si="174"/>
        <v/>
      </c>
      <c r="AR672" s="1070" t="str">
        <f t="shared" si="175"/>
        <v/>
      </c>
      <c r="AS672" s="1070" t="str">
        <f t="shared" si="176"/>
        <v/>
      </c>
      <c r="AT672" s="1070" t="str">
        <f t="shared" si="177"/>
        <v/>
      </c>
      <c r="AU672" s="1070" t="str">
        <f t="shared" si="178"/>
        <v/>
      </c>
      <c r="AV672" s="1070" t="str">
        <f t="shared" si="179"/>
        <v/>
      </c>
      <c r="AW672" s="1070" t="str">
        <f t="shared" si="180"/>
        <v/>
      </c>
      <c r="AX672" s="1070" t="str">
        <f t="shared" si="181"/>
        <v/>
      </c>
      <c r="AY672" s="1070" t="str">
        <f t="shared" si="182"/>
        <v/>
      </c>
      <c r="AZ672" s="1070" t="str">
        <f t="shared" si="183"/>
        <v/>
      </c>
      <c r="BA672" s="1070" t="str">
        <f t="shared" si="184"/>
        <v/>
      </c>
      <c r="BB672" s="1070" t="str">
        <f t="shared" si="185"/>
        <v/>
      </c>
      <c r="BC672" s="1070" t="str">
        <f t="shared" si="186"/>
        <v/>
      </c>
      <c r="BD672" s="1070" t="str">
        <f t="shared" si="187"/>
        <v/>
      </c>
      <c r="BE672" s="1070" t="str">
        <f t="shared" si="188"/>
        <v/>
      </c>
      <c r="BF672" s="1070" t="str">
        <f t="shared" si="189"/>
        <v/>
      </c>
      <c r="BG672" s="1070" t="str">
        <f t="shared" si="190"/>
        <v/>
      </c>
      <c r="BH672" s="1070" t="str">
        <f t="shared" si="191"/>
        <v/>
      </c>
      <c r="BI672" s="1070" t="str">
        <f t="shared" si="192"/>
        <v/>
      </c>
      <c r="BJ672" s="1070" t="str">
        <f t="shared" si="193"/>
        <v/>
      </c>
      <c r="BK672" s="1070" t="str">
        <f t="shared" si="194"/>
        <v/>
      </c>
      <c r="BL672" s="1070" t="str">
        <f t="shared" si="195"/>
        <v/>
      </c>
      <c r="BM672" s="1070" t="str">
        <f t="shared" si="196"/>
        <v/>
      </c>
      <c r="BN672" s="1070" t="str">
        <f t="shared" si="197"/>
        <v/>
      </c>
      <c r="BO672" s="1070" t="str">
        <f t="shared" si="198"/>
        <v/>
      </c>
      <c r="BP672" s="1070" t="str">
        <f t="shared" si="199"/>
        <v/>
      </c>
      <c r="BQ672" s="1070" t="str">
        <f t="shared" si="200"/>
        <v/>
      </c>
      <c r="BR672" s="1070" t="str">
        <f t="shared" si="201"/>
        <v/>
      </c>
      <c r="BS672" s="1070" t="str">
        <f t="shared" si="202"/>
        <v/>
      </c>
      <c r="BT672" s="1070" t="str">
        <f t="shared" si="21"/>
        <v/>
      </c>
      <c r="BU672" s="1070" t="str">
        <f t="shared" si="22"/>
        <v/>
      </c>
      <c r="BV672" s="1070" t="str">
        <f t="shared" si="23"/>
        <v/>
      </c>
      <c r="BW672" s="1070" t="str">
        <f t="shared" si="24"/>
        <v/>
      </c>
      <c r="BX672" s="1070" t="str">
        <f t="shared" si="25"/>
        <v/>
      </c>
      <c r="BY672" s="1070" t="str">
        <f t="shared" si="26"/>
        <v/>
      </c>
      <c r="BZ672" s="1070" t="str">
        <f t="shared" si="27"/>
        <v/>
      </c>
      <c r="CA672" s="1070" t="str">
        <f t="shared" si="28"/>
        <v/>
      </c>
      <c r="CB672" s="1070" t="str">
        <f t="shared" si="29"/>
        <v/>
      </c>
      <c r="CC672" s="1070" t="str">
        <f t="shared" si="30"/>
        <v/>
      </c>
      <c r="CD672" s="1070" t="str">
        <f t="shared" si="31"/>
        <v/>
      </c>
      <c r="CE672" s="1070" t="str">
        <f t="shared" si="32"/>
        <v/>
      </c>
      <c r="CF672" s="1070" t="str">
        <f t="shared" si="33"/>
        <v/>
      </c>
      <c r="CG672" s="1070" t="str">
        <f t="shared" si="34"/>
        <v/>
      </c>
      <c r="CH672" s="1070" t="str">
        <f t="shared" si="35"/>
        <v/>
      </c>
      <c r="CI672" s="1070" t="str">
        <f t="shared" si="36"/>
        <v/>
      </c>
      <c r="CJ672" s="1070" t="str">
        <f t="shared" si="37"/>
        <v/>
      </c>
      <c r="CK672" s="1070" t="str">
        <f t="shared" si="38"/>
        <v/>
      </c>
      <c r="CL672" s="1070" t="str">
        <f t="shared" si="39"/>
        <v/>
      </c>
      <c r="CM672" s="1070" t="str">
        <f t="shared" si="40"/>
        <v/>
      </c>
      <c r="CN672" s="1070" t="str">
        <f t="shared" si="41"/>
        <v/>
      </c>
      <c r="CO672" s="1070" t="str">
        <f t="shared" si="42"/>
        <v/>
      </c>
      <c r="CP672" s="1070" t="str">
        <f t="shared" si="43"/>
        <v/>
      </c>
      <c r="CQ672" s="1070" t="str">
        <f t="shared" si="44"/>
        <v/>
      </c>
      <c r="CR672" s="1070" t="str">
        <f t="shared" si="45"/>
        <v/>
      </c>
      <c r="CS672" s="1070" t="str">
        <f t="shared" si="46"/>
        <v/>
      </c>
      <c r="CT672" s="1070" t="str">
        <f t="shared" si="47"/>
        <v/>
      </c>
      <c r="CU672" s="1070" t="str">
        <f t="shared" si="48"/>
        <v/>
      </c>
      <c r="CV672" s="1070" t="str">
        <f t="shared" si="49"/>
        <v/>
      </c>
      <c r="CW672" s="1070" t="str">
        <f t="shared" si="50"/>
        <v/>
      </c>
      <c r="CX672" s="1070" t="str">
        <f t="shared" si="51"/>
        <v/>
      </c>
      <c r="CY672" s="1070" t="str">
        <f t="shared" si="52"/>
        <v/>
      </c>
      <c r="CZ672" s="1070" t="str">
        <f t="shared" si="53"/>
        <v/>
      </c>
      <c r="DA672" s="1070" t="str">
        <f t="shared" si="54"/>
        <v/>
      </c>
      <c r="DB672" s="1070" t="str">
        <f t="shared" si="55"/>
        <v/>
      </c>
      <c r="DC672" s="1070" t="str">
        <f t="shared" si="56"/>
        <v/>
      </c>
      <c r="DD672" s="1070" t="str">
        <f t="shared" si="57"/>
        <v/>
      </c>
      <c r="DE672" s="1070" t="str">
        <f t="shared" si="58"/>
        <v/>
      </c>
      <c r="DF672" s="1070" t="str">
        <f t="shared" si="59"/>
        <v/>
      </c>
      <c r="DG672" s="1070" t="str">
        <f t="shared" si="60"/>
        <v/>
      </c>
      <c r="DH672" s="1070" t="str">
        <f t="shared" si="61"/>
        <v/>
      </c>
      <c r="DI672" s="1070" t="str">
        <f t="shared" si="62"/>
        <v/>
      </c>
      <c r="DJ672" s="1070" t="str">
        <f t="shared" si="63"/>
        <v/>
      </c>
      <c r="DK672" s="1070" t="str">
        <f t="shared" si="64"/>
        <v/>
      </c>
      <c r="DL672" s="1070" t="str">
        <f t="shared" si="65"/>
        <v/>
      </c>
      <c r="DM672" s="1070" t="str">
        <f t="shared" si="66"/>
        <v/>
      </c>
      <c r="DN672" s="1070" t="str">
        <f t="shared" si="67"/>
        <v/>
      </c>
      <c r="DO672" s="1070" t="str">
        <f t="shared" si="68"/>
        <v/>
      </c>
      <c r="DP672" s="1070" t="str">
        <f t="shared" si="69"/>
        <v/>
      </c>
      <c r="DQ672" s="1070" t="str">
        <f t="shared" si="70"/>
        <v/>
      </c>
      <c r="DR672" s="1070" t="str">
        <f t="shared" si="71"/>
        <v/>
      </c>
      <c r="DS672" s="1070" t="str">
        <f t="shared" si="72"/>
        <v/>
      </c>
      <c r="DT672" s="1070" t="str">
        <f t="shared" si="73"/>
        <v/>
      </c>
      <c r="DU672" s="1070" t="str">
        <f t="shared" si="74"/>
        <v/>
      </c>
      <c r="DV672" s="1070" t="str">
        <f t="shared" si="75"/>
        <v/>
      </c>
      <c r="DW672" s="1070" t="str">
        <f t="shared" si="76"/>
        <v/>
      </c>
      <c r="DX672" s="1070" t="str">
        <f t="shared" si="77"/>
        <v/>
      </c>
      <c r="DY672" s="1070" t="str">
        <f t="shared" si="78"/>
        <v/>
      </c>
      <c r="DZ672" s="1070" t="str">
        <f t="shared" si="79"/>
        <v/>
      </c>
      <c r="EA672" s="1070" t="str">
        <f t="shared" si="80"/>
        <v/>
      </c>
      <c r="EB672" s="1070" t="str">
        <f t="shared" si="81"/>
        <v/>
      </c>
      <c r="EC672" s="1070" t="str">
        <f t="shared" si="82"/>
        <v/>
      </c>
      <c r="ED672" s="1070" t="str">
        <f t="shared" si="83"/>
        <v/>
      </c>
      <c r="EE672" s="1070" t="str">
        <f t="shared" si="84"/>
        <v/>
      </c>
      <c r="EF672" s="1070" t="str">
        <f t="shared" si="85"/>
        <v/>
      </c>
      <c r="EG672" s="1070" t="str">
        <f t="shared" si="86"/>
        <v/>
      </c>
      <c r="EH672" s="1070" t="str">
        <f t="shared" si="87"/>
        <v/>
      </c>
      <c r="EI672" s="1070" t="str">
        <f t="shared" si="88"/>
        <v/>
      </c>
      <c r="EJ672" s="1070" t="str">
        <f t="shared" si="89"/>
        <v/>
      </c>
      <c r="EK672" s="1070" t="str">
        <f t="shared" si="90"/>
        <v/>
      </c>
      <c r="EL672" s="1070" t="str">
        <f t="shared" si="91"/>
        <v/>
      </c>
      <c r="EM672" s="1070" t="str">
        <f t="shared" si="92"/>
        <v/>
      </c>
      <c r="EN672" s="1070" t="str">
        <f t="shared" si="93"/>
        <v/>
      </c>
      <c r="EO672" s="1070" t="str">
        <f t="shared" si="94"/>
        <v/>
      </c>
      <c r="EP672" s="1070" t="str">
        <f t="shared" si="95"/>
        <v/>
      </c>
      <c r="EQ672" s="1070" t="str">
        <f t="shared" si="96"/>
        <v/>
      </c>
      <c r="ER672" s="1070" t="str">
        <f t="shared" si="97"/>
        <v/>
      </c>
      <c r="ES672" s="1070" t="str">
        <f t="shared" si="98"/>
        <v/>
      </c>
      <c r="ET672" s="1070" t="str">
        <f t="shared" si="99"/>
        <v/>
      </c>
      <c r="EU672" s="1070" t="str">
        <f t="shared" si="100"/>
        <v/>
      </c>
      <c r="EV672" s="831" t="str">
        <f t="shared" si="101"/>
        <v/>
      </c>
      <c r="EW672" s="831" t="str">
        <f t="shared" si="102"/>
        <v/>
      </c>
      <c r="EX672" s="831" t="str">
        <f t="shared" si="103"/>
        <v/>
      </c>
      <c r="EY672" s="831" t="str">
        <f t="shared" si="104"/>
        <v/>
      </c>
      <c r="EZ672" s="831" t="str">
        <f t="shared" si="105"/>
        <v/>
      </c>
      <c r="FA672" s="831" t="str">
        <f t="shared" si="106"/>
        <v/>
      </c>
      <c r="FB672" s="831" t="str">
        <f t="shared" si="107"/>
        <v/>
      </c>
      <c r="FC672" s="831" t="str">
        <f t="shared" si="108"/>
        <v/>
      </c>
      <c r="FD672" s="831" t="str">
        <f t="shared" si="109"/>
        <v/>
      </c>
      <c r="FE672" s="831" t="str">
        <f t="shared" si="110"/>
        <v/>
      </c>
      <c r="FF672" s="831" t="str">
        <f t="shared" si="111"/>
        <v/>
      </c>
      <c r="FG672" s="831" t="str">
        <f t="shared" si="112"/>
        <v/>
      </c>
      <c r="FH672" s="831" t="str">
        <f t="shared" si="113"/>
        <v/>
      </c>
      <c r="FI672" s="831" t="str">
        <f t="shared" si="114"/>
        <v/>
      </c>
      <c r="FJ672" s="831" t="str">
        <f t="shared" si="115"/>
        <v/>
      </c>
      <c r="FK672" s="831" t="str">
        <f t="shared" si="116"/>
        <v/>
      </c>
      <c r="FL672" s="831" t="str">
        <f t="shared" si="117"/>
        <v/>
      </c>
      <c r="FM672" s="831" t="str">
        <f t="shared" si="118"/>
        <v/>
      </c>
      <c r="FN672" s="831" t="str">
        <f t="shared" si="119"/>
        <v/>
      </c>
      <c r="FO672" s="831" t="str">
        <f t="shared" si="120"/>
        <v/>
      </c>
      <c r="FP672" s="831" t="str">
        <f t="shared" si="121"/>
        <v/>
      </c>
      <c r="FQ672" s="831" t="str">
        <f t="shared" si="122"/>
        <v/>
      </c>
      <c r="FR672" s="831" t="str">
        <f t="shared" si="123"/>
        <v/>
      </c>
      <c r="FS672" s="831" t="str">
        <f t="shared" si="124"/>
        <v/>
      </c>
      <c r="FT672" s="831" t="str">
        <f t="shared" si="125"/>
        <v/>
      </c>
      <c r="FU672" s="831" t="str">
        <f t="shared" si="126"/>
        <v/>
      </c>
      <c r="FV672" s="831" t="str">
        <f t="shared" si="127"/>
        <v/>
      </c>
      <c r="FW672" s="831" t="str">
        <f t="shared" si="128"/>
        <v/>
      </c>
      <c r="FX672" s="831" t="str">
        <f t="shared" si="129"/>
        <v/>
      </c>
      <c r="FY672" s="831" t="str">
        <f t="shared" si="130"/>
        <v/>
      </c>
      <c r="FZ672" s="831" t="str">
        <f t="shared" si="131"/>
        <v/>
      </c>
      <c r="GA672" s="831" t="str">
        <f t="shared" si="132"/>
        <v/>
      </c>
      <c r="GB672" s="831" t="str">
        <f t="shared" si="133"/>
        <v/>
      </c>
      <c r="GC672" s="831" t="str">
        <f t="shared" si="134"/>
        <v/>
      </c>
      <c r="GD672" s="831" t="str">
        <f t="shared" si="135"/>
        <v/>
      </c>
      <c r="GE672" s="831" t="str">
        <f t="shared" si="136"/>
        <v/>
      </c>
      <c r="GF672" s="831" t="str">
        <f t="shared" si="137"/>
        <v/>
      </c>
      <c r="GG672" s="831" t="str">
        <f t="shared" si="138"/>
        <v/>
      </c>
      <c r="GH672" s="831" t="str">
        <f t="shared" si="139"/>
        <v/>
      </c>
      <c r="GI672" s="831" t="str">
        <f t="shared" si="140"/>
        <v/>
      </c>
      <c r="GJ672" s="831" t="str">
        <f t="shared" si="141"/>
        <v/>
      </c>
      <c r="GK672" s="831" t="str">
        <f t="shared" si="142"/>
        <v/>
      </c>
      <c r="GL672" s="831" t="str">
        <f t="shared" si="143"/>
        <v/>
      </c>
      <c r="GM672" s="831" t="str">
        <f t="shared" si="144"/>
        <v/>
      </c>
      <c r="GN672" s="831" t="str">
        <f t="shared" si="145"/>
        <v/>
      </c>
      <c r="GO672" s="1113" t="str">
        <f t="shared" si="146"/>
        <v/>
      </c>
      <c r="GP672" s="1113" t="str">
        <f t="shared" si="147"/>
        <v/>
      </c>
      <c r="GQ672" s="1113" t="str">
        <f t="shared" si="148"/>
        <v/>
      </c>
      <c r="GR672" s="1113" t="str">
        <f t="shared" si="149"/>
        <v/>
      </c>
      <c r="GS672" s="1113" t="str">
        <f t="shared" si="150"/>
        <v/>
      </c>
      <c r="GT672" s="1070" t="str">
        <f t="shared" si="151"/>
        <v/>
      </c>
      <c r="GU672" s="1070" t="str">
        <f t="shared" si="152"/>
        <v/>
      </c>
      <c r="GV672" s="1070" t="str">
        <f t="shared" si="153"/>
        <v/>
      </c>
      <c r="GW672" s="1070" t="str">
        <f t="shared" si="154"/>
        <v/>
      </c>
      <c r="GX672" s="1070" t="str">
        <f t="shared" si="155"/>
        <v/>
      </c>
      <c r="GY672" s="1070" t="str">
        <f t="shared" si="156"/>
        <v/>
      </c>
      <c r="GZ672" s="1070" t="str">
        <f t="shared" si="157"/>
        <v/>
      </c>
      <c r="HA672" s="1070" t="str">
        <f t="shared" si="158"/>
        <v/>
      </c>
      <c r="HB672" s="1070" t="str">
        <f t="shared" si="159"/>
        <v/>
      </c>
      <c r="HC672" s="1070" t="str">
        <f t="shared" si="160"/>
        <v/>
      </c>
      <c r="HD672" s="1070" t="str">
        <f t="shared" si="161"/>
        <v/>
      </c>
      <c r="HE672" s="1070" t="str">
        <f t="shared" si="162"/>
        <v/>
      </c>
      <c r="HF672" s="1070" t="str">
        <f t="shared" si="163"/>
        <v/>
      </c>
      <c r="HG672" s="1070" t="str">
        <f t="shared" si="164"/>
        <v/>
      </c>
      <c r="HH672" s="1070" t="str">
        <f t="shared" si="165"/>
        <v/>
      </c>
      <c r="HI672" s="1070" t="str">
        <f t="shared" si="166"/>
        <v/>
      </c>
      <c r="HJ672" s="1070" t="str">
        <f t="shared" si="167"/>
        <v/>
      </c>
      <c r="HK672" s="1070" t="str">
        <f t="shared" si="168"/>
        <v/>
      </c>
      <c r="HL672" s="1070" t="str">
        <f t="shared" si="169"/>
        <v/>
      </c>
      <c r="HM672" s="1070" t="str">
        <f t="shared" si="170"/>
        <v/>
      </c>
    </row>
    <row r="673" spans="1:221" ht="13.15" customHeight="1">
      <c r="A673" s="1082" t="str">
        <f t="shared" si="171"/>
        <v/>
      </c>
      <c r="B673" s="1035" t="str">
        <f>'Part VI-Revenues &amp; Expenses'!B39</f>
        <v>&lt;&lt;Select&gt;&gt;</v>
      </c>
      <c r="C673" s="1036">
        <f>'Part VI-Revenues &amp; Expenses'!C39</f>
        <v>0</v>
      </c>
      <c r="D673" s="1037">
        <f>'Part VI-Revenues &amp; Expenses'!D39</f>
        <v>0</v>
      </c>
      <c r="E673" s="1038">
        <f>'Part VI-Revenues &amp; Expenses'!E39</f>
        <v>0</v>
      </c>
      <c r="F673" s="1038">
        <f>'Part VI-Revenues &amp; Expenses'!F39</f>
        <v>0</v>
      </c>
      <c r="G673" s="1038">
        <f>'Part VI-Revenues &amp; Expenses'!G39</f>
        <v>0</v>
      </c>
      <c r="H673" s="1038">
        <f>'Part VI-Revenues &amp; Expenses'!H39</f>
        <v>0</v>
      </c>
      <c r="I673" s="1038">
        <f>'Part VI-Revenues &amp; Expenses'!I39</f>
        <v>0</v>
      </c>
      <c r="J673" s="1101">
        <f>'Part VI-Revenues &amp; Expenses'!J39</f>
        <v>0</v>
      </c>
      <c r="K673" s="906">
        <f t="shared" ref="K673:K680" si="205">MAX(0,H673-I673)</f>
        <v>0</v>
      </c>
      <c r="L673" s="906">
        <f t="shared" si="0"/>
        <v>0</v>
      </c>
      <c r="M673" s="829">
        <f>'Part VI-Revenues &amp; Expenses'!M39</f>
        <v>0</v>
      </c>
      <c r="N673" s="829">
        <f>'Part VI-Revenues &amp; Expenses'!N39</f>
        <v>0</v>
      </c>
      <c r="O673" s="829">
        <f>'Part VI-Revenues &amp; Expenses'!O39</f>
        <v>0</v>
      </c>
      <c r="P673" s="907">
        <f t="shared" si="203"/>
        <v>0</v>
      </c>
      <c r="Q673" s="908" t="str">
        <f>'Part VI-Revenues &amp; Expenses'!Q39</f>
        <v/>
      </c>
      <c r="R673" s="907"/>
      <c r="S673" s="908"/>
      <c r="T673" s="1575"/>
      <c r="U673" s="1575"/>
      <c r="V673" s="1070" t="str">
        <f t="shared" si="1"/>
        <v/>
      </c>
      <c r="W673" s="1070" t="str">
        <f t="shared" si="2"/>
        <v/>
      </c>
      <c r="X673" s="1070" t="str">
        <f t="shared" si="3"/>
        <v/>
      </c>
      <c r="Y673" s="1070" t="str">
        <f t="shared" si="4"/>
        <v/>
      </c>
      <c r="Z673" s="1070" t="str">
        <f t="shared" si="5"/>
        <v/>
      </c>
      <c r="AA673" s="1070" t="str">
        <f t="shared" si="6"/>
        <v/>
      </c>
      <c r="AB673" s="1070" t="str">
        <f t="shared" si="7"/>
        <v/>
      </c>
      <c r="AC673" s="1070" t="str">
        <f t="shared" si="8"/>
        <v/>
      </c>
      <c r="AD673" s="1070" t="str">
        <f t="shared" si="9"/>
        <v/>
      </c>
      <c r="AE673" s="1070" t="str">
        <f t="shared" si="10"/>
        <v/>
      </c>
      <c r="AF673" s="1070" t="str">
        <f t="shared" si="11"/>
        <v/>
      </c>
      <c r="AG673" s="1070" t="str">
        <f t="shared" si="12"/>
        <v/>
      </c>
      <c r="AH673" s="1070" t="str">
        <f t="shared" si="13"/>
        <v/>
      </c>
      <c r="AI673" s="1070" t="str">
        <f t="shared" si="14"/>
        <v/>
      </c>
      <c r="AJ673" s="1070" t="str">
        <f t="shared" si="15"/>
        <v/>
      </c>
      <c r="AK673" s="1070" t="str">
        <f t="shared" si="16"/>
        <v/>
      </c>
      <c r="AL673" s="1070" t="str">
        <f t="shared" si="17"/>
        <v/>
      </c>
      <c r="AM673" s="1070" t="str">
        <f t="shared" si="18"/>
        <v/>
      </c>
      <c r="AN673" s="1070" t="str">
        <f t="shared" si="19"/>
        <v/>
      </c>
      <c r="AO673" s="1070" t="str">
        <f t="shared" si="20"/>
        <v/>
      </c>
      <c r="AP673" s="1070" t="str">
        <f t="shared" si="173"/>
        <v/>
      </c>
      <c r="AQ673" s="1070" t="str">
        <f t="shared" si="174"/>
        <v/>
      </c>
      <c r="AR673" s="1070" t="str">
        <f t="shared" si="175"/>
        <v/>
      </c>
      <c r="AS673" s="1070" t="str">
        <f t="shared" si="176"/>
        <v/>
      </c>
      <c r="AT673" s="1070" t="str">
        <f t="shared" si="177"/>
        <v/>
      </c>
      <c r="AU673" s="1070" t="str">
        <f t="shared" si="178"/>
        <v/>
      </c>
      <c r="AV673" s="1070" t="str">
        <f t="shared" si="179"/>
        <v/>
      </c>
      <c r="AW673" s="1070" t="str">
        <f t="shared" si="180"/>
        <v/>
      </c>
      <c r="AX673" s="1070" t="str">
        <f t="shared" si="181"/>
        <v/>
      </c>
      <c r="AY673" s="1070" t="str">
        <f t="shared" si="182"/>
        <v/>
      </c>
      <c r="AZ673" s="1070" t="str">
        <f t="shared" si="183"/>
        <v/>
      </c>
      <c r="BA673" s="1070" t="str">
        <f t="shared" si="184"/>
        <v/>
      </c>
      <c r="BB673" s="1070" t="str">
        <f t="shared" si="185"/>
        <v/>
      </c>
      <c r="BC673" s="1070" t="str">
        <f t="shared" si="186"/>
        <v/>
      </c>
      <c r="BD673" s="1070" t="str">
        <f t="shared" si="187"/>
        <v/>
      </c>
      <c r="BE673" s="1070" t="str">
        <f t="shared" si="188"/>
        <v/>
      </c>
      <c r="BF673" s="1070" t="str">
        <f t="shared" si="189"/>
        <v/>
      </c>
      <c r="BG673" s="1070" t="str">
        <f t="shared" si="190"/>
        <v/>
      </c>
      <c r="BH673" s="1070" t="str">
        <f t="shared" si="191"/>
        <v/>
      </c>
      <c r="BI673" s="1070" t="str">
        <f t="shared" si="192"/>
        <v/>
      </c>
      <c r="BJ673" s="1070" t="str">
        <f t="shared" si="193"/>
        <v/>
      </c>
      <c r="BK673" s="1070" t="str">
        <f t="shared" si="194"/>
        <v/>
      </c>
      <c r="BL673" s="1070" t="str">
        <f t="shared" si="195"/>
        <v/>
      </c>
      <c r="BM673" s="1070" t="str">
        <f t="shared" si="196"/>
        <v/>
      </c>
      <c r="BN673" s="1070" t="str">
        <f t="shared" si="197"/>
        <v/>
      </c>
      <c r="BO673" s="1070" t="str">
        <f t="shared" si="198"/>
        <v/>
      </c>
      <c r="BP673" s="1070" t="str">
        <f t="shared" si="199"/>
        <v/>
      </c>
      <c r="BQ673" s="1070" t="str">
        <f t="shared" si="200"/>
        <v/>
      </c>
      <c r="BR673" s="1070" t="str">
        <f t="shared" si="201"/>
        <v/>
      </c>
      <c r="BS673" s="1070" t="str">
        <f t="shared" si="202"/>
        <v/>
      </c>
      <c r="BT673" s="1070" t="str">
        <f t="shared" si="21"/>
        <v/>
      </c>
      <c r="BU673" s="1070" t="str">
        <f t="shared" si="22"/>
        <v/>
      </c>
      <c r="BV673" s="1070" t="str">
        <f t="shared" si="23"/>
        <v/>
      </c>
      <c r="BW673" s="1070" t="str">
        <f t="shared" si="24"/>
        <v/>
      </c>
      <c r="BX673" s="1070" t="str">
        <f t="shared" si="25"/>
        <v/>
      </c>
      <c r="BY673" s="1070" t="str">
        <f t="shared" si="26"/>
        <v/>
      </c>
      <c r="BZ673" s="1070" t="str">
        <f t="shared" si="27"/>
        <v/>
      </c>
      <c r="CA673" s="1070" t="str">
        <f t="shared" si="28"/>
        <v/>
      </c>
      <c r="CB673" s="1070" t="str">
        <f t="shared" si="29"/>
        <v/>
      </c>
      <c r="CC673" s="1070" t="str">
        <f t="shared" si="30"/>
        <v/>
      </c>
      <c r="CD673" s="1070" t="str">
        <f t="shared" si="31"/>
        <v/>
      </c>
      <c r="CE673" s="1070" t="str">
        <f t="shared" si="32"/>
        <v/>
      </c>
      <c r="CF673" s="1070" t="str">
        <f t="shared" si="33"/>
        <v/>
      </c>
      <c r="CG673" s="1070" t="str">
        <f t="shared" si="34"/>
        <v/>
      </c>
      <c r="CH673" s="1070" t="str">
        <f t="shared" si="35"/>
        <v/>
      </c>
      <c r="CI673" s="1070" t="str">
        <f t="shared" si="36"/>
        <v/>
      </c>
      <c r="CJ673" s="1070" t="str">
        <f t="shared" si="37"/>
        <v/>
      </c>
      <c r="CK673" s="1070" t="str">
        <f t="shared" si="38"/>
        <v/>
      </c>
      <c r="CL673" s="1070" t="str">
        <f t="shared" si="39"/>
        <v/>
      </c>
      <c r="CM673" s="1070" t="str">
        <f t="shared" si="40"/>
        <v/>
      </c>
      <c r="CN673" s="1070" t="str">
        <f t="shared" si="41"/>
        <v/>
      </c>
      <c r="CO673" s="1070" t="str">
        <f t="shared" si="42"/>
        <v/>
      </c>
      <c r="CP673" s="1070" t="str">
        <f t="shared" si="43"/>
        <v/>
      </c>
      <c r="CQ673" s="1070" t="str">
        <f t="shared" si="44"/>
        <v/>
      </c>
      <c r="CR673" s="1070" t="str">
        <f t="shared" si="45"/>
        <v/>
      </c>
      <c r="CS673" s="1070" t="str">
        <f t="shared" si="46"/>
        <v/>
      </c>
      <c r="CT673" s="1070" t="str">
        <f t="shared" si="47"/>
        <v/>
      </c>
      <c r="CU673" s="1070" t="str">
        <f t="shared" si="48"/>
        <v/>
      </c>
      <c r="CV673" s="1070" t="str">
        <f t="shared" si="49"/>
        <v/>
      </c>
      <c r="CW673" s="1070" t="str">
        <f t="shared" si="50"/>
        <v/>
      </c>
      <c r="CX673" s="1070" t="str">
        <f t="shared" si="51"/>
        <v/>
      </c>
      <c r="CY673" s="1070" t="str">
        <f t="shared" si="52"/>
        <v/>
      </c>
      <c r="CZ673" s="1070" t="str">
        <f t="shared" si="53"/>
        <v/>
      </c>
      <c r="DA673" s="1070" t="str">
        <f t="shared" si="54"/>
        <v/>
      </c>
      <c r="DB673" s="1070" t="str">
        <f t="shared" si="55"/>
        <v/>
      </c>
      <c r="DC673" s="1070" t="str">
        <f t="shared" si="56"/>
        <v/>
      </c>
      <c r="DD673" s="1070" t="str">
        <f t="shared" si="57"/>
        <v/>
      </c>
      <c r="DE673" s="1070" t="str">
        <f t="shared" si="58"/>
        <v/>
      </c>
      <c r="DF673" s="1070" t="str">
        <f t="shared" si="59"/>
        <v/>
      </c>
      <c r="DG673" s="1070" t="str">
        <f t="shared" si="60"/>
        <v/>
      </c>
      <c r="DH673" s="1070" t="str">
        <f t="shared" si="61"/>
        <v/>
      </c>
      <c r="DI673" s="1070" t="str">
        <f t="shared" si="62"/>
        <v/>
      </c>
      <c r="DJ673" s="1070" t="str">
        <f t="shared" si="63"/>
        <v/>
      </c>
      <c r="DK673" s="1070" t="str">
        <f t="shared" si="64"/>
        <v/>
      </c>
      <c r="DL673" s="1070" t="str">
        <f t="shared" si="65"/>
        <v/>
      </c>
      <c r="DM673" s="1070" t="str">
        <f t="shared" si="66"/>
        <v/>
      </c>
      <c r="DN673" s="1070" t="str">
        <f t="shared" si="67"/>
        <v/>
      </c>
      <c r="DO673" s="1070" t="str">
        <f t="shared" si="68"/>
        <v/>
      </c>
      <c r="DP673" s="1070" t="str">
        <f t="shared" si="69"/>
        <v/>
      </c>
      <c r="DQ673" s="1070" t="str">
        <f t="shared" si="70"/>
        <v/>
      </c>
      <c r="DR673" s="1070" t="str">
        <f t="shared" si="71"/>
        <v/>
      </c>
      <c r="DS673" s="1070" t="str">
        <f t="shared" si="72"/>
        <v/>
      </c>
      <c r="DT673" s="1070" t="str">
        <f t="shared" si="73"/>
        <v/>
      </c>
      <c r="DU673" s="1070" t="str">
        <f t="shared" si="74"/>
        <v/>
      </c>
      <c r="DV673" s="1070" t="str">
        <f t="shared" si="75"/>
        <v/>
      </c>
      <c r="DW673" s="1070" t="str">
        <f t="shared" si="76"/>
        <v/>
      </c>
      <c r="DX673" s="1070" t="str">
        <f t="shared" si="77"/>
        <v/>
      </c>
      <c r="DY673" s="1070" t="str">
        <f t="shared" si="78"/>
        <v/>
      </c>
      <c r="DZ673" s="1070" t="str">
        <f t="shared" si="79"/>
        <v/>
      </c>
      <c r="EA673" s="1070" t="str">
        <f t="shared" si="80"/>
        <v/>
      </c>
      <c r="EB673" s="1070" t="str">
        <f t="shared" si="81"/>
        <v/>
      </c>
      <c r="EC673" s="1070" t="str">
        <f t="shared" si="82"/>
        <v/>
      </c>
      <c r="ED673" s="1070" t="str">
        <f t="shared" si="83"/>
        <v/>
      </c>
      <c r="EE673" s="1070" t="str">
        <f t="shared" si="84"/>
        <v/>
      </c>
      <c r="EF673" s="1070" t="str">
        <f t="shared" si="85"/>
        <v/>
      </c>
      <c r="EG673" s="1070" t="str">
        <f t="shared" si="86"/>
        <v/>
      </c>
      <c r="EH673" s="1070" t="str">
        <f t="shared" si="87"/>
        <v/>
      </c>
      <c r="EI673" s="1070" t="str">
        <f t="shared" si="88"/>
        <v/>
      </c>
      <c r="EJ673" s="1070" t="str">
        <f t="shared" si="89"/>
        <v/>
      </c>
      <c r="EK673" s="1070" t="str">
        <f t="shared" si="90"/>
        <v/>
      </c>
      <c r="EL673" s="1070" t="str">
        <f t="shared" si="91"/>
        <v/>
      </c>
      <c r="EM673" s="1070" t="str">
        <f t="shared" si="92"/>
        <v/>
      </c>
      <c r="EN673" s="1070" t="str">
        <f t="shared" si="93"/>
        <v/>
      </c>
      <c r="EO673" s="1070" t="str">
        <f t="shared" si="94"/>
        <v/>
      </c>
      <c r="EP673" s="1070" t="str">
        <f t="shared" si="95"/>
        <v/>
      </c>
      <c r="EQ673" s="1070" t="str">
        <f t="shared" si="96"/>
        <v/>
      </c>
      <c r="ER673" s="1070" t="str">
        <f t="shared" si="97"/>
        <v/>
      </c>
      <c r="ES673" s="1070" t="str">
        <f t="shared" si="98"/>
        <v/>
      </c>
      <c r="ET673" s="1070" t="str">
        <f t="shared" si="99"/>
        <v/>
      </c>
      <c r="EU673" s="1070" t="str">
        <f t="shared" si="100"/>
        <v/>
      </c>
      <c r="EV673" s="831" t="str">
        <f t="shared" si="101"/>
        <v/>
      </c>
      <c r="EW673" s="831" t="str">
        <f t="shared" si="102"/>
        <v/>
      </c>
      <c r="EX673" s="831" t="str">
        <f t="shared" si="103"/>
        <v/>
      </c>
      <c r="EY673" s="831" t="str">
        <f t="shared" si="104"/>
        <v/>
      </c>
      <c r="EZ673" s="831" t="str">
        <f t="shared" si="105"/>
        <v/>
      </c>
      <c r="FA673" s="831" t="str">
        <f t="shared" si="106"/>
        <v/>
      </c>
      <c r="FB673" s="831" t="str">
        <f t="shared" si="107"/>
        <v/>
      </c>
      <c r="FC673" s="831" t="str">
        <f t="shared" si="108"/>
        <v/>
      </c>
      <c r="FD673" s="831" t="str">
        <f t="shared" si="109"/>
        <v/>
      </c>
      <c r="FE673" s="831" t="str">
        <f t="shared" si="110"/>
        <v/>
      </c>
      <c r="FF673" s="831" t="str">
        <f t="shared" si="111"/>
        <v/>
      </c>
      <c r="FG673" s="831" t="str">
        <f t="shared" si="112"/>
        <v/>
      </c>
      <c r="FH673" s="831" t="str">
        <f t="shared" si="113"/>
        <v/>
      </c>
      <c r="FI673" s="831" t="str">
        <f t="shared" si="114"/>
        <v/>
      </c>
      <c r="FJ673" s="831" t="str">
        <f t="shared" si="115"/>
        <v/>
      </c>
      <c r="FK673" s="831" t="str">
        <f t="shared" si="116"/>
        <v/>
      </c>
      <c r="FL673" s="831" t="str">
        <f t="shared" si="117"/>
        <v/>
      </c>
      <c r="FM673" s="831" t="str">
        <f t="shared" si="118"/>
        <v/>
      </c>
      <c r="FN673" s="831" t="str">
        <f t="shared" si="119"/>
        <v/>
      </c>
      <c r="FO673" s="831" t="str">
        <f t="shared" si="120"/>
        <v/>
      </c>
      <c r="FP673" s="831" t="str">
        <f t="shared" si="121"/>
        <v/>
      </c>
      <c r="FQ673" s="831" t="str">
        <f t="shared" si="122"/>
        <v/>
      </c>
      <c r="FR673" s="831" t="str">
        <f t="shared" si="123"/>
        <v/>
      </c>
      <c r="FS673" s="831" t="str">
        <f t="shared" si="124"/>
        <v/>
      </c>
      <c r="FT673" s="831" t="str">
        <f t="shared" si="125"/>
        <v/>
      </c>
      <c r="FU673" s="831" t="str">
        <f t="shared" si="126"/>
        <v/>
      </c>
      <c r="FV673" s="831" t="str">
        <f t="shared" si="127"/>
        <v/>
      </c>
      <c r="FW673" s="831" t="str">
        <f t="shared" si="128"/>
        <v/>
      </c>
      <c r="FX673" s="831" t="str">
        <f t="shared" si="129"/>
        <v/>
      </c>
      <c r="FY673" s="831" t="str">
        <f t="shared" si="130"/>
        <v/>
      </c>
      <c r="FZ673" s="831" t="str">
        <f t="shared" si="131"/>
        <v/>
      </c>
      <c r="GA673" s="831" t="str">
        <f t="shared" si="132"/>
        <v/>
      </c>
      <c r="GB673" s="831" t="str">
        <f t="shared" si="133"/>
        <v/>
      </c>
      <c r="GC673" s="831" t="str">
        <f t="shared" si="134"/>
        <v/>
      </c>
      <c r="GD673" s="831" t="str">
        <f t="shared" si="135"/>
        <v/>
      </c>
      <c r="GE673" s="831" t="str">
        <f t="shared" si="136"/>
        <v/>
      </c>
      <c r="GF673" s="831" t="str">
        <f t="shared" si="137"/>
        <v/>
      </c>
      <c r="GG673" s="831" t="str">
        <f t="shared" si="138"/>
        <v/>
      </c>
      <c r="GH673" s="831" t="str">
        <f t="shared" si="139"/>
        <v/>
      </c>
      <c r="GI673" s="831" t="str">
        <f t="shared" si="140"/>
        <v/>
      </c>
      <c r="GJ673" s="831" t="str">
        <f t="shared" si="141"/>
        <v/>
      </c>
      <c r="GK673" s="831" t="str">
        <f t="shared" si="142"/>
        <v/>
      </c>
      <c r="GL673" s="831" t="str">
        <f t="shared" si="143"/>
        <v/>
      </c>
      <c r="GM673" s="831" t="str">
        <f t="shared" si="144"/>
        <v/>
      </c>
      <c r="GN673" s="831" t="str">
        <f t="shared" si="145"/>
        <v/>
      </c>
      <c r="GO673" s="1113" t="str">
        <f t="shared" si="146"/>
        <v/>
      </c>
      <c r="GP673" s="1113" t="str">
        <f t="shared" si="147"/>
        <v/>
      </c>
      <c r="GQ673" s="1113" t="str">
        <f t="shared" si="148"/>
        <v/>
      </c>
      <c r="GR673" s="1113" t="str">
        <f t="shared" si="149"/>
        <v/>
      </c>
      <c r="GS673" s="1113" t="str">
        <f t="shared" si="150"/>
        <v/>
      </c>
      <c r="GT673" s="1070" t="str">
        <f t="shared" si="151"/>
        <v/>
      </c>
      <c r="GU673" s="1070" t="str">
        <f t="shared" si="152"/>
        <v/>
      </c>
      <c r="GV673" s="1070" t="str">
        <f t="shared" si="153"/>
        <v/>
      </c>
      <c r="GW673" s="1070" t="str">
        <f t="shared" si="154"/>
        <v/>
      </c>
      <c r="GX673" s="1070" t="str">
        <f t="shared" si="155"/>
        <v/>
      </c>
      <c r="GY673" s="1070" t="str">
        <f t="shared" si="156"/>
        <v/>
      </c>
      <c r="GZ673" s="1070" t="str">
        <f t="shared" si="157"/>
        <v/>
      </c>
      <c r="HA673" s="1070" t="str">
        <f t="shared" si="158"/>
        <v/>
      </c>
      <c r="HB673" s="1070" t="str">
        <f t="shared" si="159"/>
        <v/>
      </c>
      <c r="HC673" s="1070" t="str">
        <f t="shared" si="160"/>
        <v/>
      </c>
      <c r="HD673" s="1070" t="str">
        <f t="shared" si="161"/>
        <v/>
      </c>
      <c r="HE673" s="1070" t="str">
        <f t="shared" si="162"/>
        <v/>
      </c>
      <c r="HF673" s="1070" t="str">
        <f t="shared" si="163"/>
        <v/>
      </c>
      <c r="HG673" s="1070" t="str">
        <f t="shared" si="164"/>
        <v/>
      </c>
      <c r="HH673" s="1070" t="str">
        <f t="shared" si="165"/>
        <v/>
      </c>
      <c r="HI673" s="1070" t="str">
        <f t="shared" si="166"/>
        <v/>
      </c>
      <c r="HJ673" s="1070" t="str">
        <f t="shared" si="167"/>
        <v/>
      </c>
      <c r="HK673" s="1070" t="str">
        <f t="shared" si="168"/>
        <v/>
      </c>
      <c r="HL673" s="1070" t="str">
        <f t="shared" si="169"/>
        <v/>
      </c>
      <c r="HM673" s="1070" t="str">
        <f t="shared" si="170"/>
        <v/>
      </c>
    </row>
    <row r="674" spans="1:221" ht="13.15" customHeight="1">
      <c r="A674" s="1082" t="str">
        <f t="shared" si="171"/>
        <v/>
      </c>
      <c r="B674" s="1035" t="str">
        <f>'Part VI-Revenues &amp; Expenses'!B40</f>
        <v>&lt;&lt;Select&gt;&gt;</v>
      </c>
      <c r="C674" s="1036">
        <f>'Part VI-Revenues &amp; Expenses'!C40</f>
        <v>0</v>
      </c>
      <c r="D674" s="1037">
        <f>'Part VI-Revenues &amp; Expenses'!D40</f>
        <v>0</v>
      </c>
      <c r="E674" s="1038">
        <f>'Part VI-Revenues &amp; Expenses'!E40</f>
        <v>0</v>
      </c>
      <c r="F674" s="1038">
        <f>'Part VI-Revenues &amp; Expenses'!F40</f>
        <v>0</v>
      </c>
      <c r="G674" s="1038">
        <f>'Part VI-Revenues &amp; Expenses'!G40</f>
        <v>0</v>
      </c>
      <c r="H674" s="1038">
        <f>'Part VI-Revenues &amp; Expenses'!H40</f>
        <v>0</v>
      </c>
      <c r="I674" s="1038">
        <f>'Part VI-Revenues &amp; Expenses'!I40</f>
        <v>0</v>
      </c>
      <c r="J674" s="1101">
        <f>'Part VI-Revenues &amp; Expenses'!J40</f>
        <v>0</v>
      </c>
      <c r="K674" s="906">
        <f t="shared" si="205"/>
        <v>0</v>
      </c>
      <c r="L674" s="906">
        <f t="shared" si="0"/>
        <v>0</v>
      </c>
      <c r="M674" s="829">
        <f>'Part VI-Revenues &amp; Expenses'!M40</f>
        <v>0</v>
      </c>
      <c r="N674" s="829">
        <f>'Part VI-Revenues &amp; Expenses'!N40</f>
        <v>0</v>
      </c>
      <c r="O674" s="829">
        <f>'Part VI-Revenues &amp; Expenses'!O40</f>
        <v>0</v>
      </c>
      <c r="P674" s="907">
        <f t="shared" si="203"/>
        <v>0</v>
      </c>
      <c r="Q674" s="908" t="str">
        <f>'Part VI-Revenues &amp; Expenses'!Q40</f>
        <v/>
      </c>
      <c r="R674" s="907"/>
      <c r="S674" s="908"/>
      <c r="T674" s="1575"/>
      <c r="U674" s="1575"/>
      <c r="V674" s="1070" t="str">
        <f t="shared" si="1"/>
        <v/>
      </c>
      <c r="W674" s="1070" t="str">
        <f t="shared" si="2"/>
        <v/>
      </c>
      <c r="X674" s="1070" t="str">
        <f t="shared" si="3"/>
        <v/>
      </c>
      <c r="Y674" s="1070" t="str">
        <f t="shared" si="4"/>
        <v/>
      </c>
      <c r="Z674" s="1070" t="str">
        <f t="shared" si="5"/>
        <v/>
      </c>
      <c r="AA674" s="1070" t="str">
        <f t="shared" si="6"/>
        <v/>
      </c>
      <c r="AB674" s="1070" t="str">
        <f t="shared" si="7"/>
        <v/>
      </c>
      <c r="AC674" s="1070" t="str">
        <f t="shared" si="8"/>
        <v/>
      </c>
      <c r="AD674" s="1070" t="str">
        <f t="shared" si="9"/>
        <v/>
      </c>
      <c r="AE674" s="1070" t="str">
        <f t="shared" si="10"/>
        <v/>
      </c>
      <c r="AF674" s="1070" t="str">
        <f t="shared" si="11"/>
        <v/>
      </c>
      <c r="AG674" s="1070" t="str">
        <f t="shared" si="12"/>
        <v/>
      </c>
      <c r="AH674" s="1070" t="str">
        <f t="shared" si="13"/>
        <v/>
      </c>
      <c r="AI674" s="1070" t="str">
        <f t="shared" si="14"/>
        <v/>
      </c>
      <c r="AJ674" s="1070" t="str">
        <f t="shared" si="15"/>
        <v/>
      </c>
      <c r="AK674" s="1070" t="str">
        <f t="shared" si="16"/>
        <v/>
      </c>
      <c r="AL674" s="1070" t="str">
        <f t="shared" si="17"/>
        <v/>
      </c>
      <c r="AM674" s="1070" t="str">
        <f t="shared" si="18"/>
        <v/>
      </c>
      <c r="AN674" s="1070" t="str">
        <f t="shared" si="19"/>
        <v/>
      </c>
      <c r="AO674" s="1070" t="str">
        <f t="shared" si="20"/>
        <v/>
      </c>
      <c r="AP674" s="1070" t="str">
        <f t="shared" si="173"/>
        <v/>
      </c>
      <c r="AQ674" s="1070" t="str">
        <f t="shared" si="174"/>
        <v/>
      </c>
      <c r="AR674" s="1070" t="str">
        <f t="shared" si="175"/>
        <v/>
      </c>
      <c r="AS674" s="1070" t="str">
        <f t="shared" si="176"/>
        <v/>
      </c>
      <c r="AT674" s="1070" t="str">
        <f t="shared" si="177"/>
        <v/>
      </c>
      <c r="AU674" s="1070" t="str">
        <f t="shared" si="178"/>
        <v/>
      </c>
      <c r="AV674" s="1070" t="str">
        <f t="shared" si="179"/>
        <v/>
      </c>
      <c r="AW674" s="1070" t="str">
        <f t="shared" si="180"/>
        <v/>
      </c>
      <c r="AX674" s="1070" t="str">
        <f t="shared" si="181"/>
        <v/>
      </c>
      <c r="AY674" s="1070" t="str">
        <f t="shared" si="182"/>
        <v/>
      </c>
      <c r="AZ674" s="1070" t="str">
        <f t="shared" si="183"/>
        <v/>
      </c>
      <c r="BA674" s="1070" t="str">
        <f t="shared" si="184"/>
        <v/>
      </c>
      <c r="BB674" s="1070" t="str">
        <f t="shared" si="185"/>
        <v/>
      </c>
      <c r="BC674" s="1070" t="str">
        <f t="shared" si="186"/>
        <v/>
      </c>
      <c r="BD674" s="1070" t="str">
        <f t="shared" si="187"/>
        <v/>
      </c>
      <c r="BE674" s="1070" t="str">
        <f t="shared" si="188"/>
        <v/>
      </c>
      <c r="BF674" s="1070" t="str">
        <f t="shared" si="189"/>
        <v/>
      </c>
      <c r="BG674" s="1070" t="str">
        <f t="shared" si="190"/>
        <v/>
      </c>
      <c r="BH674" s="1070" t="str">
        <f t="shared" si="191"/>
        <v/>
      </c>
      <c r="BI674" s="1070" t="str">
        <f t="shared" si="192"/>
        <v/>
      </c>
      <c r="BJ674" s="1070" t="str">
        <f t="shared" si="193"/>
        <v/>
      </c>
      <c r="BK674" s="1070" t="str">
        <f t="shared" si="194"/>
        <v/>
      </c>
      <c r="BL674" s="1070" t="str">
        <f t="shared" si="195"/>
        <v/>
      </c>
      <c r="BM674" s="1070" t="str">
        <f t="shared" si="196"/>
        <v/>
      </c>
      <c r="BN674" s="1070" t="str">
        <f t="shared" si="197"/>
        <v/>
      </c>
      <c r="BO674" s="1070" t="str">
        <f t="shared" si="198"/>
        <v/>
      </c>
      <c r="BP674" s="1070" t="str">
        <f t="shared" si="199"/>
        <v/>
      </c>
      <c r="BQ674" s="1070" t="str">
        <f t="shared" si="200"/>
        <v/>
      </c>
      <c r="BR674" s="1070" t="str">
        <f t="shared" si="201"/>
        <v/>
      </c>
      <c r="BS674" s="1070" t="str">
        <f t="shared" si="202"/>
        <v/>
      </c>
      <c r="BT674" s="1070" t="str">
        <f t="shared" si="21"/>
        <v/>
      </c>
      <c r="BU674" s="1070" t="str">
        <f t="shared" si="22"/>
        <v/>
      </c>
      <c r="BV674" s="1070" t="str">
        <f t="shared" si="23"/>
        <v/>
      </c>
      <c r="BW674" s="1070" t="str">
        <f t="shared" si="24"/>
        <v/>
      </c>
      <c r="BX674" s="1070" t="str">
        <f t="shared" si="25"/>
        <v/>
      </c>
      <c r="BY674" s="1070" t="str">
        <f t="shared" si="26"/>
        <v/>
      </c>
      <c r="BZ674" s="1070" t="str">
        <f t="shared" si="27"/>
        <v/>
      </c>
      <c r="CA674" s="1070" t="str">
        <f t="shared" si="28"/>
        <v/>
      </c>
      <c r="CB674" s="1070" t="str">
        <f t="shared" si="29"/>
        <v/>
      </c>
      <c r="CC674" s="1070" t="str">
        <f t="shared" si="30"/>
        <v/>
      </c>
      <c r="CD674" s="1070" t="str">
        <f t="shared" si="31"/>
        <v/>
      </c>
      <c r="CE674" s="1070" t="str">
        <f t="shared" si="32"/>
        <v/>
      </c>
      <c r="CF674" s="1070" t="str">
        <f t="shared" si="33"/>
        <v/>
      </c>
      <c r="CG674" s="1070" t="str">
        <f t="shared" si="34"/>
        <v/>
      </c>
      <c r="CH674" s="1070" t="str">
        <f t="shared" si="35"/>
        <v/>
      </c>
      <c r="CI674" s="1070" t="str">
        <f t="shared" si="36"/>
        <v/>
      </c>
      <c r="CJ674" s="1070" t="str">
        <f t="shared" si="37"/>
        <v/>
      </c>
      <c r="CK674" s="1070" t="str">
        <f t="shared" si="38"/>
        <v/>
      </c>
      <c r="CL674" s="1070" t="str">
        <f t="shared" si="39"/>
        <v/>
      </c>
      <c r="CM674" s="1070" t="str">
        <f t="shared" si="40"/>
        <v/>
      </c>
      <c r="CN674" s="1070" t="str">
        <f t="shared" si="41"/>
        <v/>
      </c>
      <c r="CO674" s="1070" t="str">
        <f t="shared" si="42"/>
        <v/>
      </c>
      <c r="CP674" s="1070" t="str">
        <f t="shared" si="43"/>
        <v/>
      </c>
      <c r="CQ674" s="1070" t="str">
        <f t="shared" si="44"/>
        <v/>
      </c>
      <c r="CR674" s="1070" t="str">
        <f t="shared" si="45"/>
        <v/>
      </c>
      <c r="CS674" s="1070" t="str">
        <f t="shared" si="46"/>
        <v/>
      </c>
      <c r="CT674" s="1070" t="str">
        <f t="shared" si="47"/>
        <v/>
      </c>
      <c r="CU674" s="1070" t="str">
        <f t="shared" si="48"/>
        <v/>
      </c>
      <c r="CV674" s="1070" t="str">
        <f t="shared" si="49"/>
        <v/>
      </c>
      <c r="CW674" s="1070" t="str">
        <f t="shared" si="50"/>
        <v/>
      </c>
      <c r="CX674" s="1070" t="str">
        <f t="shared" si="51"/>
        <v/>
      </c>
      <c r="CY674" s="1070" t="str">
        <f t="shared" si="52"/>
        <v/>
      </c>
      <c r="CZ674" s="1070" t="str">
        <f t="shared" si="53"/>
        <v/>
      </c>
      <c r="DA674" s="1070" t="str">
        <f t="shared" si="54"/>
        <v/>
      </c>
      <c r="DB674" s="1070" t="str">
        <f t="shared" si="55"/>
        <v/>
      </c>
      <c r="DC674" s="1070" t="str">
        <f t="shared" si="56"/>
        <v/>
      </c>
      <c r="DD674" s="1070" t="str">
        <f t="shared" si="57"/>
        <v/>
      </c>
      <c r="DE674" s="1070" t="str">
        <f t="shared" si="58"/>
        <v/>
      </c>
      <c r="DF674" s="1070" t="str">
        <f t="shared" si="59"/>
        <v/>
      </c>
      <c r="DG674" s="1070" t="str">
        <f t="shared" si="60"/>
        <v/>
      </c>
      <c r="DH674" s="1070" t="str">
        <f t="shared" si="61"/>
        <v/>
      </c>
      <c r="DI674" s="1070" t="str">
        <f t="shared" si="62"/>
        <v/>
      </c>
      <c r="DJ674" s="1070" t="str">
        <f t="shared" si="63"/>
        <v/>
      </c>
      <c r="DK674" s="1070" t="str">
        <f t="shared" si="64"/>
        <v/>
      </c>
      <c r="DL674" s="1070" t="str">
        <f t="shared" si="65"/>
        <v/>
      </c>
      <c r="DM674" s="1070" t="str">
        <f t="shared" si="66"/>
        <v/>
      </c>
      <c r="DN674" s="1070" t="str">
        <f t="shared" si="67"/>
        <v/>
      </c>
      <c r="DO674" s="1070" t="str">
        <f t="shared" si="68"/>
        <v/>
      </c>
      <c r="DP674" s="1070" t="str">
        <f t="shared" si="69"/>
        <v/>
      </c>
      <c r="DQ674" s="1070" t="str">
        <f t="shared" si="70"/>
        <v/>
      </c>
      <c r="DR674" s="1070" t="str">
        <f t="shared" si="71"/>
        <v/>
      </c>
      <c r="DS674" s="1070" t="str">
        <f t="shared" si="72"/>
        <v/>
      </c>
      <c r="DT674" s="1070" t="str">
        <f t="shared" si="73"/>
        <v/>
      </c>
      <c r="DU674" s="1070" t="str">
        <f t="shared" si="74"/>
        <v/>
      </c>
      <c r="DV674" s="1070" t="str">
        <f t="shared" si="75"/>
        <v/>
      </c>
      <c r="DW674" s="1070" t="str">
        <f t="shared" si="76"/>
        <v/>
      </c>
      <c r="DX674" s="1070" t="str">
        <f t="shared" si="77"/>
        <v/>
      </c>
      <c r="DY674" s="1070" t="str">
        <f t="shared" si="78"/>
        <v/>
      </c>
      <c r="DZ674" s="1070" t="str">
        <f t="shared" si="79"/>
        <v/>
      </c>
      <c r="EA674" s="1070" t="str">
        <f t="shared" si="80"/>
        <v/>
      </c>
      <c r="EB674" s="1070" t="str">
        <f t="shared" si="81"/>
        <v/>
      </c>
      <c r="EC674" s="1070" t="str">
        <f t="shared" si="82"/>
        <v/>
      </c>
      <c r="ED674" s="1070" t="str">
        <f t="shared" si="83"/>
        <v/>
      </c>
      <c r="EE674" s="1070" t="str">
        <f t="shared" si="84"/>
        <v/>
      </c>
      <c r="EF674" s="1070" t="str">
        <f t="shared" si="85"/>
        <v/>
      </c>
      <c r="EG674" s="1070" t="str">
        <f t="shared" si="86"/>
        <v/>
      </c>
      <c r="EH674" s="1070" t="str">
        <f t="shared" si="87"/>
        <v/>
      </c>
      <c r="EI674" s="1070" t="str">
        <f t="shared" si="88"/>
        <v/>
      </c>
      <c r="EJ674" s="1070" t="str">
        <f t="shared" si="89"/>
        <v/>
      </c>
      <c r="EK674" s="1070" t="str">
        <f t="shared" si="90"/>
        <v/>
      </c>
      <c r="EL674" s="1070" t="str">
        <f t="shared" si="91"/>
        <v/>
      </c>
      <c r="EM674" s="1070" t="str">
        <f t="shared" si="92"/>
        <v/>
      </c>
      <c r="EN674" s="1070" t="str">
        <f t="shared" si="93"/>
        <v/>
      </c>
      <c r="EO674" s="1070" t="str">
        <f t="shared" si="94"/>
        <v/>
      </c>
      <c r="EP674" s="1070" t="str">
        <f t="shared" si="95"/>
        <v/>
      </c>
      <c r="EQ674" s="1070" t="str">
        <f t="shared" si="96"/>
        <v/>
      </c>
      <c r="ER674" s="1070" t="str">
        <f t="shared" si="97"/>
        <v/>
      </c>
      <c r="ES674" s="1070" t="str">
        <f t="shared" si="98"/>
        <v/>
      </c>
      <c r="ET674" s="1070" t="str">
        <f t="shared" si="99"/>
        <v/>
      </c>
      <c r="EU674" s="1070" t="str">
        <f t="shared" si="100"/>
        <v/>
      </c>
      <c r="EV674" s="831" t="str">
        <f t="shared" si="101"/>
        <v/>
      </c>
      <c r="EW674" s="831" t="str">
        <f t="shared" si="102"/>
        <v/>
      </c>
      <c r="EX674" s="831" t="str">
        <f t="shared" si="103"/>
        <v/>
      </c>
      <c r="EY674" s="831" t="str">
        <f t="shared" si="104"/>
        <v/>
      </c>
      <c r="EZ674" s="831" t="str">
        <f t="shared" si="105"/>
        <v/>
      </c>
      <c r="FA674" s="831" t="str">
        <f t="shared" si="106"/>
        <v/>
      </c>
      <c r="FB674" s="831" t="str">
        <f t="shared" si="107"/>
        <v/>
      </c>
      <c r="FC674" s="831" t="str">
        <f t="shared" si="108"/>
        <v/>
      </c>
      <c r="FD674" s="831" t="str">
        <f t="shared" si="109"/>
        <v/>
      </c>
      <c r="FE674" s="831" t="str">
        <f t="shared" si="110"/>
        <v/>
      </c>
      <c r="FF674" s="831" t="str">
        <f t="shared" si="111"/>
        <v/>
      </c>
      <c r="FG674" s="831" t="str">
        <f t="shared" si="112"/>
        <v/>
      </c>
      <c r="FH674" s="831" t="str">
        <f t="shared" si="113"/>
        <v/>
      </c>
      <c r="FI674" s="831" t="str">
        <f t="shared" si="114"/>
        <v/>
      </c>
      <c r="FJ674" s="831" t="str">
        <f t="shared" si="115"/>
        <v/>
      </c>
      <c r="FK674" s="831" t="str">
        <f t="shared" si="116"/>
        <v/>
      </c>
      <c r="FL674" s="831" t="str">
        <f t="shared" si="117"/>
        <v/>
      </c>
      <c r="FM674" s="831" t="str">
        <f t="shared" si="118"/>
        <v/>
      </c>
      <c r="FN674" s="831" t="str">
        <f t="shared" si="119"/>
        <v/>
      </c>
      <c r="FO674" s="831" t="str">
        <f t="shared" si="120"/>
        <v/>
      </c>
      <c r="FP674" s="831" t="str">
        <f t="shared" si="121"/>
        <v/>
      </c>
      <c r="FQ674" s="831" t="str">
        <f t="shared" si="122"/>
        <v/>
      </c>
      <c r="FR674" s="831" t="str">
        <f t="shared" si="123"/>
        <v/>
      </c>
      <c r="FS674" s="831" t="str">
        <f t="shared" si="124"/>
        <v/>
      </c>
      <c r="FT674" s="831" t="str">
        <f t="shared" si="125"/>
        <v/>
      </c>
      <c r="FU674" s="831" t="str">
        <f t="shared" si="126"/>
        <v/>
      </c>
      <c r="FV674" s="831" t="str">
        <f t="shared" si="127"/>
        <v/>
      </c>
      <c r="FW674" s="831" t="str">
        <f t="shared" si="128"/>
        <v/>
      </c>
      <c r="FX674" s="831" t="str">
        <f t="shared" si="129"/>
        <v/>
      </c>
      <c r="FY674" s="831" t="str">
        <f t="shared" si="130"/>
        <v/>
      </c>
      <c r="FZ674" s="831" t="str">
        <f t="shared" si="131"/>
        <v/>
      </c>
      <c r="GA674" s="831" t="str">
        <f t="shared" si="132"/>
        <v/>
      </c>
      <c r="GB674" s="831" t="str">
        <f t="shared" si="133"/>
        <v/>
      </c>
      <c r="GC674" s="831" t="str">
        <f t="shared" si="134"/>
        <v/>
      </c>
      <c r="GD674" s="831" t="str">
        <f t="shared" si="135"/>
        <v/>
      </c>
      <c r="GE674" s="831" t="str">
        <f t="shared" si="136"/>
        <v/>
      </c>
      <c r="GF674" s="831" t="str">
        <f t="shared" si="137"/>
        <v/>
      </c>
      <c r="GG674" s="831" t="str">
        <f t="shared" si="138"/>
        <v/>
      </c>
      <c r="GH674" s="831" t="str">
        <f t="shared" si="139"/>
        <v/>
      </c>
      <c r="GI674" s="831" t="str">
        <f t="shared" si="140"/>
        <v/>
      </c>
      <c r="GJ674" s="831" t="str">
        <f t="shared" si="141"/>
        <v/>
      </c>
      <c r="GK674" s="831" t="str">
        <f t="shared" si="142"/>
        <v/>
      </c>
      <c r="GL674" s="831" t="str">
        <f t="shared" si="143"/>
        <v/>
      </c>
      <c r="GM674" s="831" t="str">
        <f t="shared" si="144"/>
        <v/>
      </c>
      <c r="GN674" s="831" t="str">
        <f t="shared" si="145"/>
        <v/>
      </c>
      <c r="GO674" s="1113" t="str">
        <f t="shared" si="146"/>
        <v/>
      </c>
      <c r="GP674" s="1113" t="str">
        <f t="shared" si="147"/>
        <v/>
      </c>
      <c r="GQ674" s="1113" t="str">
        <f t="shared" si="148"/>
        <v/>
      </c>
      <c r="GR674" s="1113" t="str">
        <f t="shared" si="149"/>
        <v/>
      </c>
      <c r="GS674" s="1113" t="str">
        <f t="shared" si="150"/>
        <v/>
      </c>
      <c r="GT674" s="1070" t="str">
        <f t="shared" si="151"/>
        <v/>
      </c>
      <c r="GU674" s="1070" t="str">
        <f t="shared" si="152"/>
        <v/>
      </c>
      <c r="GV674" s="1070" t="str">
        <f t="shared" si="153"/>
        <v/>
      </c>
      <c r="GW674" s="1070" t="str">
        <f t="shared" si="154"/>
        <v/>
      </c>
      <c r="GX674" s="1070" t="str">
        <f t="shared" si="155"/>
        <v/>
      </c>
      <c r="GY674" s="1070" t="str">
        <f t="shared" si="156"/>
        <v/>
      </c>
      <c r="GZ674" s="1070" t="str">
        <f t="shared" si="157"/>
        <v/>
      </c>
      <c r="HA674" s="1070" t="str">
        <f t="shared" si="158"/>
        <v/>
      </c>
      <c r="HB674" s="1070" t="str">
        <f t="shared" si="159"/>
        <v/>
      </c>
      <c r="HC674" s="1070" t="str">
        <f t="shared" si="160"/>
        <v/>
      </c>
      <c r="HD674" s="1070" t="str">
        <f t="shared" si="161"/>
        <v/>
      </c>
      <c r="HE674" s="1070" t="str">
        <f t="shared" si="162"/>
        <v/>
      </c>
      <c r="HF674" s="1070" t="str">
        <f t="shared" si="163"/>
        <v/>
      </c>
      <c r="HG674" s="1070" t="str">
        <f t="shared" si="164"/>
        <v/>
      </c>
      <c r="HH674" s="1070" t="str">
        <f t="shared" si="165"/>
        <v/>
      </c>
      <c r="HI674" s="1070" t="str">
        <f t="shared" si="166"/>
        <v/>
      </c>
      <c r="HJ674" s="1070" t="str">
        <f t="shared" si="167"/>
        <v/>
      </c>
      <c r="HK674" s="1070" t="str">
        <f t="shared" si="168"/>
        <v/>
      </c>
      <c r="HL674" s="1070" t="str">
        <f t="shared" si="169"/>
        <v/>
      </c>
      <c r="HM674" s="1070" t="str">
        <f t="shared" si="170"/>
        <v/>
      </c>
    </row>
    <row r="675" spans="1:221" ht="13.15" customHeight="1">
      <c r="A675" s="1082" t="str">
        <f t="shared" si="171"/>
        <v/>
      </c>
      <c r="B675" s="1035" t="str">
        <f>'Part VI-Revenues &amp; Expenses'!B41</f>
        <v>&lt;&lt;Select&gt;&gt;</v>
      </c>
      <c r="C675" s="1036">
        <f>'Part VI-Revenues &amp; Expenses'!C41</f>
        <v>0</v>
      </c>
      <c r="D675" s="1037">
        <f>'Part VI-Revenues &amp; Expenses'!D41</f>
        <v>0</v>
      </c>
      <c r="E675" s="1038">
        <f>'Part VI-Revenues &amp; Expenses'!E41</f>
        <v>0</v>
      </c>
      <c r="F675" s="1038">
        <f>'Part VI-Revenues &amp; Expenses'!F41</f>
        <v>0</v>
      </c>
      <c r="G675" s="1038">
        <f>'Part VI-Revenues &amp; Expenses'!G41</f>
        <v>0</v>
      </c>
      <c r="H675" s="1038">
        <f>'Part VI-Revenues &amp; Expenses'!H41</f>
        <v>0</v>
      </c>
      <c r="I675" s="1038">
        <f>'Part VI-Revenues &amp; Expenses'!I41</f>
        <v>0</v>
      </c>
      <c r="J675" s="1101">
        <f>'Part VI-Revenues &amp; Expenses'!J41</f>
        <v>0</v>
      </c>
      <c r="K675" s="906">
        <f t="shared" si="205"/>
        <v>0</v>
      </c>
      <c r="L675" s="906">
        <f t="shared" si="0"/>
        <v>0</v>
      </c>
      <c r="M675" s="829">
        <f>'Part VI-Revenues &amp; Expenses'!M41</f>
        <v>0</v>
      </c>
      <c r="N675" s="829">
        <f>'Part VI-Revenues &amp; Expenses'!N41</f>
        <v>0</v>
      </c>
      <c r="O675" s="829">
        <f>'Part VI-Revenues &amp; Expenses'!O41</f>
        <v>0</v>
      </c>
      <c r="P675" s="907">
        <f t="shared" si="203"/>
        <v>0</v>
      </c>
      <c r="Q675" s="908" t="str">
        <f>'Part VI-Revenues &amp; Expenses'!Q41</f>
        <v/>
      </c>
      <c r="R675" s="907"/>
      <c r="S675" s="908"/>
      <c r="T675" s="1575"/>
      <c r="U675" s="1575"/>
      <c r="V675" s="1070" t="str">
        <f t="shared" si="1"/>
        <v/>
      </c>
      <c r="W675" s="1070" t="str">
        <f t="shared" si="2"/>
        <v/>
      </c>
      <c r="X675" s="1070" t="str">
        <f t="shared" si="3"/>
        <v/>
      </c>
      <c r="Y675" s="1070" t="str">
        <f t="shared" si="4"/>
        <v/>
      </c>
      <c r="Z675" s="1070" t="str">
        <f t="shared" si="5"/>
        <v/>
      </c>
      <c r="AA675" s="1070" t="str">
        <f t="shared" si="6"/>
        <v/>
      </c>
      <c r="AB675" s="1070" t="str">
        <f t="shared" si="7"/>
        <v/>
      </c>
      <c r="AC675" s="1070" t="str">
        <f t="shared" si="8"/>
        <v/>
      </c>
      <c r="AD675" s="1070" t="str">
        <f t="shared" si="9"/>
        <v/>
      </c>
      <c r="AE675" s="1070" t="str">
        <f t="shared" si="10"/>
        <v/>
      </c>
      <c r="AF675" s="1070" t="str">
        <f t="shared" si="11"/>
        <v/>
      </c>
      <c r="AG675" s="1070" t="str">
        <f t="shared" si="12"/>
        <v/>
      </c>
      <c r="AH675" s="1070" t="str">
        <f t="shared" si="13"/>
        <v/>
      </c>
      <c r="AI675" s="1070" t="str">
        <f t="shared" si="14"/>
        <v/>
      </c>
      <c r="AJ675" s="1070" t="str">
        <f t="shared" si="15"/>
        <v/>
      </c>
      <c r="AK675" s="1070" t="str">
        <f t="shared" si="16"/>
        <v/>
      </c>
      <c r="AL675" s="1070" t="str">
        <f t="shared" si="17"/>
        <v/>
      </c>
      <c r="AM675" s="1070" t="str">
        <f t="shared" si="18"/>
        <v/>
      </c>
      <c r="AN675" s="1070" t="str">
        <f t="shared" si="19"/>
        <v/>
      </c>
      <c r="AO675" s="1070" t="str">
        <f t="shared" si="20"/>
        <v/>
      </c>
      <c r="AP675" s="1070" t="str">
        <f t="shared" si="173"/>
        <v/>
      </c>
      <c r="AQ675" s="1070" t="str">
        <f t="shared" si="174"/>
        <v/>
      </c>
      <c r="AR675" s="1070" t="str">
        <f t="shared" si="175"/>
        <v/>
      </c>
      <c r="AS675" s="1070" t="str">
        <f t="shared" si="176"/>
        <v/>
      </c>
      <c r="AT675" s="1070" t="str">
        <f t="shared" si="177"/>
        <v/>
      </c>
      <c r="AU675" s="1070" t="str">
        <f t="shared" si="178"/>
        <v/>
      </c>
      <c r="AV675" s="1070" t="str">
        <f t="shared" si="179"/>
        <v/>
      </c>
      <c r="AW675" s="1070" t="str">
        <f t="shared" si="180"/>
        <v/>
      </c>
      <c r="AX675" s="1070" t="str">
        <f t="shared" si="181"/>
        <v/>
      </c>
      <c r="AY675" s="1070" t="str">
        <f t="shared" si="182"/>
        <v/>
      </c>
      <c r="AZ675" s="1070" t="str">
        <f t="shared" si="183"/>
        <v/>
      </c>
      <c r="BA675" s="1070" t="str">
        <f t="shared" si="184"/>
        <v/>
      </c>
      <c r="BB675" s="1070" t="str">
        <f t="shared" si="185"/>
        <v/>
      </c>
      <c r="BC675" s="1070" t="str">
        <f t="shared" si="186"/>
        <v/>
      </c>
      <c r="BD675" s="1070" t="str">
        <f t="shared" si="187"/>
        <v/>
      </c>
      <c r="BE675" s="1070" t="str">
        <f t="shared" si="188"/>
        <v/>
      </c>
      <c r="BF675" s="1070" t="str">
        <f t="shared" si="189"/>
        <v/>
      </c>
      <c r="BG675" s="1070" t="str">
        <f t="shared" si="190"/>
        <v/>
      </c>
      <c r="BH675" s="1070" t="str">
        <f t="shared" si="191"/>
        <v/>
      </c>
      <c r="BI675" s="1070" t="str">
        <f t="shared" si="192"/>
        <v/>
      </c>
      <c r="BJ675" s="1070" t="str">
        <f t="shared" si="193"/>
        <v/>
      </c>
      <c r="BK675" s="1070" t="str">
        <f t="shared" si="194"/>
        <v/>
      </c>
      <c r="BL675" s="1070" t="str">
        <f t="shared" si="195"/>
        <v/>
      </c>
      <c r="BM675" s="1070" t="str">
        <f t="shared" si="196"/>
        <v/>
      </c>
      <c r="BN675" s="1070" t="str">
        <f t="shared" si="197"/>
        <v/>
      </c>
      <c r="BO675" s="1070" t="str">
        <f t="shared" si="198"/>
        <v/>
      </c>
      <c r="BP675" s="1070" t="str">
        <f t="shared" si="199"/>
        <v/>
      </c>
      <c r="BQ675" s="1070" t="str">
        <f t="shared" si="200"/>
        <v/>
      </c>
      <c r="BR675" s="1070" t="str">
        <f t="shared" si="201"/>
        <v/>
      </c>
      <c r="BS675" s="1070" t="str">
        <f t="shared" si="202"/>
        <v/>
      </c>
      <c r="BT675" s="1070" t="str">
        <f t="shared" si="21"/>
        <v/>
      </c>
      <c r="BU675" s="1070" t="str">
        <f t="shared" si="22"/>
        <v/>
      </c>
      <c r="BV675" s="1070" t="str">
        <f t="shared" si="23"/>
        <v/>
      </c>
      <c r="BW675" s="1070" t="str">
        <f t="shared" si="24"/>
        <v/>
      </c>
      <c r="BX675" s="1070" t="str">
        <f t="shared" si="25"/>
        <v/>
      </c>
      <c r="BY675" s="1070" t="str">
        <f t="shared" si="26"/>
        <v/>
      </c>
      <c r="BZ675" s="1070" t="str">
        <f t="shared" si="27"/>
        <v/>
      </c>
      <c r="CA675" s="1070" t="str">
        <f t="shared" si="28"/>
        <v/>
      </c>
      <c r="CB675" s="1070" t="str">
        <f t="shared" si="29"/>
        <v/>
      </c>
      <c r="CC675" s="1070" t="str">
        <f t="shared" si="30"/>
        <v/>
      </c>
      <c r="CD675" s="1070" t="str">
        <f t="shared" si="31"/>
        <v/>
      </c>
      <c r="CE675" s="1070" t="str">
        <f t="shared" si="32"/>
        <v/>
      </c>
      <c r="CF675" s="1070" t="str">
        <f t="shared" si="33"/>
        <v/>
      </c>
      <c r="CG675" s="1070" t="str">
        <f t="shared" si="34"/>
        <v/>
      </c>
      <c r="CH675" s="1070" t="str">
        <f t="shared" si="35"/>
        <v/>
      </c>
      <c r="CI675" s="1070" t="str">
        <f t="shared" si="36"/>
        <v/>
      </c>
      <c r="CJ675" s="1070" t="str">
        <f t="shared" si="37"/>
        <v/>
      </c>
      <c r="CK675" s="1070" t="str">
        <f t="shared" si="38"/>
        <v/>
      </c>
      <c r="CL675" s="1070" t="str">
        <f t="shared" si="39"/>
        <v/>
      </c>
      <c r="CM675" s="1070" t="str">
        <f t="shared" si="40"/>
        <v/>
      </c>
      <c r="CN675" s="1070" t="str">
        <f t="shared" si="41"/>
        <v/>
      </c>
      <c r="CO675" s="1070" t="str">
        <f t="shared" si="42"/>
        <v/>
      </c>
      <c r="CP675" s="1070" t="str">
        <f t="shared" si="43"/>
        <v/>
      </c>
      <c r="CQ675" s="1070" t="str">
        <f t="shared" si="44"/>
        <v/>
      </c>
      <c r="CR675" s="1070" t="str">
        <f t="shared" si="45"/>
        <v/>
      </c>
      <c r="CS675" s="1070" t="str">
        <f t="shared" si="46"/>
        <v/>
      </c>
      <c r="CT675" s="1070" t="str">
        <f t="shared" si="47"/>
        <v/>
      </c>
      <c r="CU675" s="1070" t="str">
        <f t="shared" si="48"/>
        <v/>
      </c>
      <c r="CV675" s="1070" t="str">
        <f t="shared" si="49"/>
        <v/>
      </c>
      <c r="CW675" s="1070" t="str">
        <f t="shared" si="50"/>
        <v/>
      </c>
      <c r="CX675" s="1070" t="str">
        <f t="shared" si="51"/>
        <v/>
      </c>
      <c r="CY675" s="1070" t="str">
        <f t="shared" si="52"/>
        <v/>
      </c>
      <c r="CZ675" s="1070" t="str">
        <f t="shared" si="53"/>
        <v/>
      </c>
      <c r="DA675" s="1070" t="str">
        <f t="shared" si="54"/>
        <v/>
      </c>
      <c r="DB675" s="1070" t="str">
        <f t="shared" si="55"/>
        <v/>
      </c>
      <c r="DC675" s="1070" t="str">
        <f t="shared" si="56"/>
        <v/>
      </c>
      <c r="DD675" s="1070" t="str">
        <f t="shared" si="57"/>
        <v/>
      </c>
      <c r="DE675" s="1070" t="str">
        <f t="shared" si="58"/>
        <v/>
      </c>
      <c r="DF675" s="1070" t="str">
        <f t="shared" si="59"/>
        <v/>
      </c>
      <c r="DG675" s="1070" t="str">
        <f t="shared" si="60"/>
        <v/>
      </c>
      <c r="DH675" s="1070" t="str">
        <f t="shared" si="61"/>
        <v/>
      </c>
      <c r="DI675" s="1070" t="str">
        <f t="shared" si="62"/>
        <v/>
      </c>
      <c r="DJ675" s="1070" t="str">
        <f t="shared" si="63"/>
        <v/>
      </c>
      <c r="DK675" s="1070" t="str">
        <f t="shared" si="64"/>
        <v/>
      </c>
      <c r="DL675" s="1070" t="str">
        <f t="shared" si="65"/>
        <v/>
      </c>
      <c r="DM675" s="1070" t="str">
        <f t="shared" si="66"/>
        <v/>
      </c>
      <c r="DN675" s="1070" t="str">
        <f t="shared" si="67"/>
        <v/>
      </c>
      <c r="DO675" s="1070" t="str">
        <f t="shared" si="68"/>
        <v/>
      </c>
      <c r="DP675" s="1070" t="str">
        <f t="shared" si="69"/>
        <v/>
      </c>
      <c r="DQ675" s="1070" t="str">
        <f t="shared" si="70"/>
        <v/>
      </c>
      <c r="DR675" s="1070" t="str">
        <f t="shared" si="71"/>
        <v/>
      </c>
      <c r="DS675" s="1070" t="str">
        <f t="shared" si="72"/>
        <v/>
      </c>
      <c r="DT675" s="1070" t="str">
        <f t="shared" si="73"/>
        <v/>
      </c>
      <c r="DU675" s="1070" t="str">
        <f t="shared" si="74"/>
        <v/>
      </c>
      <c r="DV675" s="1070" t="str">
        <f t="shared" si="75"/>
        <v/>
      </c>
      <c r="DW675" s="1070" t="str">
        <f t="shared" si="76"/>
        <v/>
      </c>
      <c r="DX675" s="1070" t="str">
        <f t="shared" si="77"/>
        <v/>
      </c>
      <c r="DY675" s="1070" t="str">
        <f t="shared" si="78"/>
        <v/>
      </c>
      <c r="DZ675" s="1070" t="str">
        <f t="shared" si="79"/>
        <v/>
      </c>
      <c r="EA675" s="1070" t="str">
        <f t="shared" si="80"/>
        <v/>
      </c>
      <c r="EB675" s="1070" t="str">
        <f t="shared" si="81"/>
        <v/>
      </c>
      <c r="EC675" s="1070" t="str">
        <f t="shared" si="82"/>
        <v/>
      </c>
      <c r="ED675" s="1070" t="str">
        <f t="shared" si="83"/>
        <v/>
      </c>
      <c r="EE675" s="1070" t="str">
        <f t="shared" si="84"/>
        <v/>
      </c>
      <c r="EF675" s="1070" t="str">
        <f t="shared" si="85"/>
        <v/>
      </c>
      <c r="EG675" s="1070" t="str">
        <f t="shared" si="86"/>
        <v/>
      </c>
      <c r="EH675" s="1070" t="str">
        <f t="shared" si="87"/>
        <v/>
      </c>
      <c r="EI675" s="1070" t="str">
        <f t="shared" si="88"/>
        <v/>
      </c>
      <c r="EJ675" s="1070" t="str">
        <f t="shared" si="89"/>
        <v/>
      </c>
      <c r="EK675" s="1070" t="str">
        <f t="shared" si="90"/>
        <v/>
      </c>
      <c r="EL675" s="1070" t="str">
        <f t="shared" si="91"/>
        <v/>
      </c>
      <c r="EM675" s="1070" t="str">
        <f t="shared" si="92"/>
        <v/>
      </c>
      <c r="EN675" s="1070" t="str">
        <f t="shared" si="93"/>
        <v/>
      </c>
      <c r="EO675" s="1070" t="str">
        <f t="shared" si="94"/>
        <v/>
      </c>
      <c r="EP675" s="1070" t="str">
        <f t="shared" si="95"/>
        <v/>
      </c>
      <c r="EQ675" s="1070" t="str">
        <f t="shared" si="96"/>
        <v/>
      </c>
      <c r="ER675" s="1070" t="str">
        <f t="shared" si="97"/>
        <v/>
      </c>
      <c r="ES675" s="1070" t="str">
        <f t="shared" si="98"/>
        <v/>
      </c>
      <c r="ET675" s="1070" t="str">
        <f t="shared" si="99"/>
        <v/>
      </c>
      <c r="EU675" s="1070" t="str">
        <f t="shared" si="100"/>
        <v/>
      </c>
      <c r="EV675" s="831" t="str">
        <f t="shared" si="101"/>
        <v/>
      </c>
      <c r="EW675" s="831" t="str">
        <f t="shared" si="102"/>
        <v/>
      </c>
      <c r="EX675" s="831" t="str">
        <f t="shared" si="103"/>
        <v/>
      </c>
      <c r="EY675" s="831" t="str">
        <f t="shared" si="104"/>
        <v/>
      </c>
      <c r="EZ675" s="831" t="str">
        <f t="shared" si="105"/>
        <v/>
      </c>
      <c r="FA675" s="831" t="str">
        <f t="shared" si="106"/>
        <v/>
      </c>
      <c r="FB675" s="831" t="str">
        <f t="shared" si="107"/>
        <v/>
      </c>
      <c r="FC675" s="831" t="str">
        <f t="shared" si="108"/>
        <v/>
      </c>
      <c r="FD675" s="831" t="str">
        <f t="shared" si="109"/>
        <v/>
      </c>
      <c r="FE675" s="831" t="str">
        <f t="shared" si="110"/>
        <v/>
      </c>
      <c r="FF675" s="831" t="str">
        <f t="shared" si="111"/>
        <v/>
      </c>
      <c r="FG675" s="831" t="str">
        <f t="shared" si="112"/>
        <v/>
      </c>
      <c r="FH675" s="831" t="str">
        <f t="shared" si="113"/>
        <v/>
      </c>
      <c r="FI675" s="831" t="str">
        <f t="shared" si="114"/>
        <v/>
      </c>
      <c r="FJ675" s="831" t="str">
        <f t="shared" si="115"/>
        <v/>
      </c>
      <c r="FK675" s="831" t="str">
        <f t="shared" si="116"/>
        <v/>
      </c>
      <c r="FL675" s="831" t="str">
        <f t="shared" si="117"/>
        <v/>
      </c>
      <c r="FM675" s="831" t="str">
        <f t="shared" si="118"/>
        <v/>
      </c>
      <c r="FN675" s="831" t="str">
        <f t="shared" si="119"/>
        <v/>
      </c>
      <c r="FO675" s="831" t="str">
        <f t="shared" si="120"/>
        <v/>
      </c>
      <c r="FP675" s="831" t="str">
        <f t="shared" si="121"/>
        <v/>
      </c>
      <c r="FQ675" s="831" t="str">
        <f t="shared" si="122"/>
        <v/>
      </c>
      <c r="FR675" s="831" t="str">
        <f t="shared" si="123"/>
        <v/>
      </c>
      <c r="FS675" s="831" t="str">
        <f t="shared" si="124"/>
        <v/>
      </c>
      <c r="FT675" s="831" t="str">
        <f t="shared" si="125"/>
        <v/>
      </c>
      <c r="FU675" s="831" t="str">
        <f t="shared" si="126"/>
        <v/>
      </c>
      <c r="FV675" s="831" t="str">
        <f t="shared" si="127"/>
        <v/>
      </c>
      <c r="FW675" s="831" t="str">
        <f t="shared" si="128"/>
        <v/>
      </c>
      <c r="FX675" s="831" t="str">
        <f t="shared" si="129"/>
        <v/>
      </c>
      <c r="FY675" s="831" t="str">
        <f t="shared" si="130"/>
        <v/>
      </c>
      <c r="FZ675" s="831" t="str">
        <f t="shared" si="131"/>
        <v/>
      </c>
      <c r="GA675" s="831" t="str">
        <f t="shared" si="132"/>
        <v/>
      </c>
      <c r="GB675" s="831" t="str">
        <f t="shared" si="133"/>
        <v/>
      </c>
      <c r="GC675" s="831" t="str">
        <f t="shared" si="134"/>
        <v/>
      </c>
      <c r="GD675" s="831" t="str">
        <f t="shared" si="135"/>
        <v/>
      </c>
      <c r="GE675" s="831" t="str">
        <f t="shared" si="136"/>
        <v/>
      </c>
      <c r="GF675" s="831" t="str">
        <f t="shared" si="137"/>
        <v/>
      </c>
      <c r="GG675" s="831" t="str">
        <f t="shared" si="138"/>
        <v/>
      </c>
      <c r="GH675" s="831" t="str">
        <f t="shared" si="139"/>
        <v/>
      </c>
      <c r="GI675" s="831" t="str">
        <f t="shared" si="140"/>
        <v/>
      </c>
      <c r="GJ675" s="831" t="str">
        <f t="shared" si="141"/>
        <v/>
      </c>
      <c r="GK675" s="831" t="str">
        <f t="shared" si="142"/>
        <v/>
      </c>
      <c r="GL675" s="831" t="str">
        <f t="shared" si="143"/>
        <v/>
      </c>
      <c r="GM675" s="831" t="str">
        <f t="shared" si="144"/>
        <v/>
      </c>
      <c r="GN675" s="831" t="str">
        <f t="shared" si="145"/>
        <v/>
      </c>
      <c r="GO675" s="1113" t="str">
        <f t="shared" si="146"/>
        <v/>
      </c>
      <c r="GP675" s="1113" t="str">
        <f t="shared" si="147"/>
        <v/>
      </c>
      <c r="GQ675" s="1113" t="str">
        <f t="shared" si="148"/>
        <v/>
      </c>
      <c r="GR675" s="1113" t="str">
        <f t="shared" si="149"/>
        <v/>
      </c>
      <c r="GS675" s="1113" t="str">
        <f t="shared" si="150"/>
        <v/>
      </c>
      <c r="GT675" s="1070" t="str">
        <f t="shared" si="151"/>
        <v/>
      </c>
      <c r="GU675" s="1070" t="str">
        <f t="shared" si="152"/>
        <v/>
      </c>
      <c r="GV675" s="1070" t="str">
        <f t="shared" si="153"/>
        <v/>
      </c>
      <c r="GW675" s="1070" t="str">
        <f t="shared" si="154"/>
        <v/>
      </c>
      <c r="GX675" s="1070" t="str">
        <f t="shared" si="155"/>
        <v/>
      </c>
      <c r="GY675" s="1070" t="str">
        <f t="shared" si="156"/>
        <v/>
      </c>
      <c r="GZ675" s="1070" t="str">
        <f t="shared" si="157"/>
        <v/>
      </c>
      <c r="HA675" s="1070" t="str">
        <f t="shared" si="158"/>
        <v/>
      </c>
      <c r="HB675" s="1070" t="str">
        <f t="shared" si="159"/>
        <v/>
      </c>
      <c r="HC675" s="1070" t="str">
        <f t="shared" si="160"/>
        <v/>
      </c>
      <c r="HD675" s="1070" t="str">
        <f t="shared" si="161"/>
        <v/>
      </c>
      <c r="HE675" s="1070" t="str">
        <f t="shared" si="162"/>
        <v/>
      </c>
      <c r="HF675" s="1070" t="str">
        <f t="shared" si="163"/>
        <v/>
      </c>
      <c r="HG675" s="1070" t="str">
        <f t="shared" si="164"/>
        <v/>
      </c>
      <c r="HH675" s="1070" t="str">
        <f t="shared" si="165"/>
        <v/>
      </c>
      <c r="HI675" s="1070" t="str">
        <f t="shared" si="166"/>
        <v/>
      </c>
      <c r="HJ675" s="1070" t="str">
        <f t="shared" si="167"/>
        <v/>
      </c>
      <c r="HK675" s="1070" t="str">
        <f t="shared" si="168"/>
        <v/>
      </c>
      <c r="HL675" s="1070" t="str">
        <f t="shared" si="169"/>
        <v/>
      </c>
      <c r="HM675" s="1070" t="str">
        <f t="shared" si="170"/>
        <v/>
      </c>
    </row>
    <row r="676" spans="1:221" ht="13.15" customHeight="1">
      <c r="A676" s="1082" t="str">
        <f t="shared" si="171"/>
        <v/>
      </c>
      <c r="B676" s="1035" t="str">
        <f>'Part VI-Revenues &amp; Expenses'!B42</f>
        <v>&lt;&lt;Select&gt;&gt;</v>
      </c>
      <c r="C676" s="1036">
        <f>'Part VI-Revenues &amp; Expenses'!C42</f>
        <v>0</v>
      </c>
      <c r="D676" s="1037">
        <f>'Part VI-Revenues &amp; Expenses'!D42</f>
        <v>0</v>
      </c>
      <c r="E676" s="1038">
        <f>'Part VI-Revenues &amp; Expenses'!E42</f>
        <v>0</v>
      </c>
      <c r="F676" s="1038">
        <f>'Part VI-Revenues &amp; Expenses'!F42</f>
        <v>0</v>
      </c>
      <c r="G676" s="1038">
        <f>'Part VI-Revenues &amp; Expenses'!G42</f>
        <v>0</v>
      </c>
      <c r="H676" s="1038">
        <f>'Part VI-Revenues &amp; Expenses'!H42</f>
        <v>0</v>
      </c>
      <c r="I676" s="1038">
        <f>'Part VI-Revenues &amp; Expenses'!I42</f>
        <v>0</v>
      </c>
      <c r="J676" s="1101">
        <f>'Part VI-Revenues &amp; Expenses'!J42</f>
        <v>0</v>
      </c>
      <c r="K676" s="906">
        <f t="shared" si="205"/>
        <v>0</v>
      </c>
      <c r="L676" s="906">
        <f t="shared" si="0"/>
        <v>0</v>
      </c>
      <c r="M676" s="829">
        <f>'Part VI-Revenues &amp; Expenses'!M42</f>
        <v>0</v>
      </c>
      <c r="N676" s="829">
        <f>'Part VI-Revenues &amp; Expenses'!N42</f>
        <v>0</v>
      </c>
      <c r="O676" s="829">
        <f>'Part VI-Revenues &amp; Expenses'!O42</f>
        <v>0</v>
      </c>
      <c r="P676" s="907">
        <f t="shared" si="203"/>
        <v>0</v>
      </c>
      <c r="Q676" s="908" t="str">
        <f>'Part VI-Revenues &amp; Expenses'!Q42</f>
        <v/>
      </c>
      <c r="R676" s="907"/>
      <c r="S676" s="908"/>
      <c r="T676" s="1575"/>
      <c r="U676" s="1575"/>
      <c r="V676" s="1070" t="str">
        <f t="shared" si="1"/>
        <v/>
      </c>
      <c r="W676" s="1070" t="str">
        <f t="shared" si="2"/>
        <v/>
      </c>
      <c r="X676" s="1070" t="str">
        <f t="shared" si="3"/>
        <v/>
      </c>
      <c r="Y676" s="1070" t="str">
        <f t="shared" si="4"/>
        <v/>
      </c>
      <c r="Z676" s="1070" t="str">
        <f t="shared" si="5"/>
        <v/>
      </c>
      <c r="AA676" s="1070" t="str">
        <f t="shared" si="6"/>
        <v/>
      </c>
      <c r="AB676" s="1070" t="str">
        <f t="shared" si="7"/>
        <v/>
      </c>
      <c r="AC676" s="1070" t="str">
        <f t="shared" si="8"/>
        <v/>
      </c>
      <c r="AD676" s="1070" t="str">
        <f t="shared" si="9"/>
        <v/>
      </c>
      <c r="AE676" s="1070" t="str">
        <f t="shared" si="10"/>
        <v/>
      </c>
      <c r="AF676" s="1070" t="str">
        <f t="shared" si="11"/>
        <v/>
      </c>
      <c r="AG676" s="1070" t="str">
        <f t="shared" si="12"/>
        <v/>
      </c>
      <c r="AH676" s="1070" t="str">
        <f t="shared" si="13"/>
        <v/>
      </c>
      <c r="AI676" s="1070" t="str">
        <f t="shared" si="14"/>
        <v/>
      </c>
      <c r="AJ676" s="1070" t="str">
        <f t="shared" si="15"/>
        <v/>
      </c>
      <c r="AK676" s="1070" t="str">
        <f t="shared" si="16"/>
        <v/>
      </c>
      <c r="AL676" s="1070" t="str">
        <f t="shared" si="17"/>
        <v/>
      </c>
      <c r="AM676" s="1070" t="str">
        <f t="shared" si="18"/>
        <v/>
      </c>
      <c r="AN676" s="1070" t="str">
        <f t="shared" si="19"/>
        <v/>
      </c>
      <c r="AO676" s="1070" t="str">
        <f t="shared" si="20"/>
        <v/>
      </c>
      <c r="AP676" s="1070" t="str">
        <f t="shared" si="173"/>
        <v/>
      </c>
      <c r="AQ676" s="1070" t="str">
        <f t="shared" si="174"/>
        <v/>
      </c>
      <c r="AR676" s="1070" t="str">
        <f t="shared" si="175"/>
        <v/>
      </c>
      <c r="AS676" s="1070" t="str">
        <f t="shared" si="176"/>
        <v/>
      </c>
      <c r="AT676" s="1070" t="str">
        <f t="shared" si="177"/>
        <v/>
      </c>
      <c r="AU676" s="1070" t="str">
        <f t="shared" si="178"/>
        <v/>
      </c>
      <c r="AV676" s="1070" t="str">
        <f t="shared" si="179"/>
        <v/>
      </c>
      <c r="AW676" s="1070" t="str">
        <f t="shared" si="180"/>
        <v/>
      </c>
      <c r="AX676" s="1070" t="str">
        <f t="shared" si="181"/>
        <v/>
      </c>
      <c r="AY676" s="1070" t="str">
        <f t="shared" si="182"/>
        <v/>
      </c>
      <c r="AZ676" s="1070" t="str">
        <f t="shared" si="183"/>
        <v/>
      </c>
      <c r="BA676" s="1070" t="str">
        <f t="shared" si="184"/>
        <v/>
      </c>
      <c r="BB676" s="1070" t="str">
        <f t="shared" si="185"/>
        <v/>
      </c>
      <c r="BC676" s="1070" t="str">
        <f t="shared" si="186"/>
        <v/>
      </c>
      <c r="BD676" s="1070" t="str">
        <f t="shared" si="187"/>
        <v/>
      </c>
      <c r="BE676" s="1070" t="str">
        <f t="shared" si="188"/>
        <v/>
      </c>
      <c r="BF676" s="1070" t="str">
        <f t="shared" si="189"/>
        <v/>
      </c>
      <c r="BG676" s="1070" t="str">
        <f t="shared" si="190"/>
        <v/>
      </c>
      <c r="BH676" s="1070" t="str">
        <f t="shared" si="191"/>
        <v/>
      </c>
      <c r="BI676" s="1070" t="str">
        <f t="shared" si="192"/>
        <v/>
      </c>
      <c r="BJ676" s="1070" t="str">
        <f t="shared" si="193"/>
        <v/>
      </c>
      <c r="BK676" s="1070" t="str">
        <f t="shared" si="194"/>
        <v/>
      </c>
      <c r="BL676" s="1070" t="str">
        <f t="shared" si="195"/>
        <v/>
      </c>
      <c r="BM676" s="1070" t="str">
        <f t="shared" si="196"/>
        <v/>
      </c>
      <c r="BN676" s="1070" t="str">
        <f t="shared" si="197"/>
        <v/>
      </c>
      <c r="BO676" s="1070" t="str">
        <f t="shared" si="198"/>
        <v/>
      </c>
      <c r="BP676" s="1070" t="str">
        <f t="shared" si="199"/>
        <v/>
      </c>
      <c r="BQ676" s="1070" t="str">
        <f t="shared" si="200"/>
        <v/>
      </c>
      <c r="BR676" s="1070" t="str">
        <f t="shared" si="201"/>
        <v/>
      </c>
      <c r="BS676" s="1070" t="str">
        <f t="shared" si="202"/>
        <v/>
      </c>
      <c r="BT676" s="1070" t="str">
        <f t="shared" si="21"/>
        <v/>
      </c>
      <c r="BU676" s="1070" t="str">
        <f t="shared" si="22"/>
        <v/>
      </c>
      <c r="BV676" s="1070" t="str">
        <f t="shared" si="23"/>
        <v/>
      </c>
      <c r="BW676" s="1070" t="str">
        <f t="shared" si="24"/>
        <v/>
      </c>
      <c r="BX676" s="1070" t="str">
        <f t="shared" si="25"/>
        <v/>
      </c>
      <c r="BY676" s="1070" t="str">
        <f t="shared" si="26"/>
        <v/>
      </c>
      <c r="BZ676" s="1070" t="str">
        <f t="shared" si="27"/>
        <v/>
      </c>
      <c r="CA676" s="1070" t="str">
        <f t="shared" si="28"/>
        <v/>
      </c>
      <c r="CB676" s="1070" t="str">
        <f t="shared" si="29"/>
        <v/>
      </c>
      <c r="CC676" s="1070" t="str">
        <f t="shared" si="30"/>
        <v/>
      </c>
      <c r="CD676" s="1070" t="str">
        <f t="shared" si="31"/>
        <v/>
      </c>
      <c r="CE676" s="1070" t="str">
        <f t="shared" si="32"/>
        <v/>
      </c>
      <c r="CF676" s="1070" t="str">
        <f t="shared" si="33"/>
        <v/>
      </c>
      <c r="CG676" s="1070" t="str">
        <f t="shared" si="34"/>
        <v/>
      </c>
      <c r="CH676" s="1070" t="str">
        <f t="shared" si="35"/>
        <v/>
      </c>
      <c r="CI676" s="1070" t="str">
        <f t="shared" si="36"/>
        <v/>
      </c>
      <c r="CJ676" s="1070" t="str">
        <f t="shared" si="37"/>
        <v/>
      </c>
      <c r="CK676" s="1070" t="str">
        <f t="shared" si="38"/>
        <v/>
      </c>
      <c r="CL676" s="1070" t="str">
        <f t="shared" si="39"/>
        <v/>
      </c>
      <c r="CM676" s="1070" t="str">
        <f t="shared" si="40"/>
        <v/>
      </c>
      <c r="CN676" s="1070" t="str">
        <f t="shared" si="41"/>
        <v/>
      </c>
      <c r="CO676" s="1070" t="str">
        <f t="shared" si="42"/>
        <v/>
      </c>
      <c r="CP676" s="1070" t="str">
        <f t="shared" si="43"/>
        <v/>
      </c>
      <c r="CQ676" s="1070" t="str">
        <f t="shared" si="44"/>
        <v/>
      </c>
      <c r="CR676" s="1070" t="str">
        <f t="shared" si="45"/>
        <v/>
      </c>
      <c r="CS676" s="1070" t="str">
        <f t="shared" si="46"/>
        <v/>
      </c>
      <c r="CT676" s="1070" t="str">
        <f t="shared" si="47"/>
        <v/>
      </c>
      <c r="CU676" s="1070" t="str">
        <f t="shared" si="48"/>
        <v/>
      </c>
      <c r="CV676" s="1070" t="str">
        <f t="shared" si="49"/>
        <v/>
      </c>
      <c r="CW676" s="1070" t="str">
        <f t="shared" si="50"/>
        <v/>
      </c>
      <c r="CX676" s="1070" t="str">
        <f t="shared" si="51"/>
        <v/>
      </c>
      <c r="CY676" s="1070" t="str">
        <f t="shared" si="52"/>
        <v/>
      </c>
      <c r="CZ676" s="1070" t="str">
        <f t="shared" si="53"/>
        <v/>
      </c>
      <c r="DA676" s="1070" t="str">
        <f t="shared" si="54"/>
        <v/>
      </c>
      <c r="DB676" s="1070" t="str">
        <f t="shared" si="55"/>
        <v/>
      </c>
      <c r="DC676" s="1070" t="str">
        <f t="shared" si="56"/>
        <v/>
      </c>
      <c r="DD676" s="1070" t="str">
        <f t="shared" si="57"/>
        <v/>
      </c>
      <c r="DE676" s="1070" t="str">
        <f t="shared" si="58"/>
        <v/>
      </c>
      <c r="DF676" s="1070" t="str">
        <f t="shared" si="59"/>
        <v/>
      </c>
      <c r="DG676" s="1070" t="str">
        <f t="shared" si="60"/>
        <v/>
      </c>
      <c r="DH676" s="1070" t="str">
        <f t="shared" si="61"/>
        <v/>
      </c>
      <c r="DI676" s="1070" t="str">
        <f t="shared" si="62"/>
        <v/>
      </c>
      <c r="DJ676" s="1070" t="str">
        <f t="shared" si="63"/>
        <v/>
      </c>
      <c r="DK676" s="1070" t="str">
        <f t="shared" si="64"/>
        <v/>
      </c>
      <c r="DL676" s="1070" t="str">
        <f t="shared" si="65"/>
        <v/>
      </c>
      <c r="DM676" s="1070" t="str">
        <f t="shared" si="66"/>
        <v/>
      </c>
      <c r="DN676" s="1070" t="str">
        <f t="shared" si="67"/>
        <v/>
      </c>
      <c r="DO676" s="1070" t="str">
        <f t="shared" si="68"/>
        <v/>
      </c>
      <c r="DP676" s="1070" t="str">
        <f t="shared" si="69"/>
        <v/>
      </c>
      <c r="DQ676" s="1070" t="str">
        <f t="shared" si="70"/>
        <v/>
      </c>
      <c r="DR676" s="1070" t="str">
        <f t="shared" si="71"/>
        <v/>
      </c>
      <c r="DS676" s="1070" t="str">
        <f t="shared" si="72"/>
        <v/>
      </c>
      <c r="DT676" s="1070" t="str">
        <f t="shared" si="73"/>
        <v/>
      </c>
      <c r="DU676" s="1070" t="str">
        <f t="shared" si="74"/>
        <v/>
      </c>
      <c r="DV676" s="1070" t="str">
        <f t="shared" si="75"/>
        <v/>
      </c>
      <c r="DW676" s="1070" t="str">
        <f t="shared" si="76"/>
        <v/>
      </c>
      <c r="DX676" s="1070" t="str">
        <f t="shared" si="77"/>
        <v/>
      </c>
      <c r="DY676" s="1070" t="str">
        <f t="shared" si="78"/>
        <v/>
      </c>
      <c r="DZ676" s="1070" t="str">
        <f t="shared" si="79"/>
        <v/>
      </c>
      <c r="EA676" s="1070" t="str">
        <f t="shared" si="80"/>
        <v/>
      </c>
      <c r="EB676" s="1070" t="str">
        <f t="shared" si="81"/>
        <v/>
      </c>
      <c r="EC676" s="1070" t="str">
        <f t="shared" si="82"/>
        <v/>
      </c>
      <c r="ED676" s="1070" t="str">
        <f t="shared" si="83"/>
        <v/>
      </c>
      <c r="EE676" s="1070" t="str">
        <f t="shared" si="84"/>
        <v/>
      </c>
      <c r="EF676" s="1070" t="str">
        <f t="shared" si="85"/>
        <v/>
      </c>
      <c r="EG676" s="1070" t="str">
        <f t="shared" si="86"/>
        <v/>
      </c>
      <c r="EH676" s="1070" t="str">
        <f t="shared" si="87"/>
        <v/>
      </c>
      <c r="EI676" s="1070" t="str">
        <f t="shared" si="88"/>
        <v/>
      </c>
      <c r="EJ676" s="1070" t="str">
        <f t="shared" si="89"/>
        <v/>
      </c>
      <c r="EK676" s="1070" t="str">
        <f t="shared" si="90"/>
        <v/>
      </c>
      <c r="EL676" s="1070" t="str">
        <f t="shared" si="91"/>
        <v/>
      </c>
      <c r="EM676" s="1070" t="str">
        <f t="shared" si="92"/>
        <v/>
      </c>
      <c r="EN676" s="1070" t="str">
        <f t="shared" si="93"/>
        <v/>
      </c>
      <c r="EO676" s="1070" t="str">
        <f t="shared" si="94"/>
        <v/>
      </c>
      <c r="EP676" s="1070" t="str">
        <f t="shared" si="95"/>
        <v/>
      </c>
      <c r="EQ676" s="1070" t="str">
        <f t="shared" si="96"/>
        <v/>
      </c>
      <c r="ER676" s="1070" t="str">
        <f t="shared" si="97"/>
        <v/>
      </c>
      <c r="ES676" s="1070" t="str">
        <f t="shared" si="98"/>
        <v/>
      </c>
      <c r="ET676" s="1070" t="str">
        <f t="shared" si="99"/>
        <v/>
      </c>
      <c r="EU676" s="1070" t="str">
        <f t="shared" si="100"/>
        <v/>
      </c>
      <c r="EV676" s="831" t="str">
        <f t="shared" si="101"/>
        <v/>
      </c>
      <c r="EW676" s="831" t="str">
        <f t="shared" si="102"/>
        <v/>
      </c>
      <c r="EX676" s="831" t="str">
        <f t="shared" si="103"/>
        <v/>
      </c>
      <c r="EY676" s="831" t="str">
        <f t="shared" si="104"/>
        <v/>
      </c>
      <c r="EZ676" s="831" t="str">
        <f t="shared" si="105"/>
        <v/>
      </c>
      <c r="FA676" s="831" t="str">
        <f t="shared" si="106"/>
        <v/>
      </c>
      <c r="FB676" s="831" t="str">
        <f t="shared" si="107"/>
        <v/>
      </c>
      <c r="FC676" s="831" t="str">
        <f t="shared" si="108"/>
        <v/>
      </c>
      <c r="FD676" s="831" t="str">
        <f t="shared" si="109"/>
        <v/>
      </c>
      <c r="FE676" s="831" t="str">
        <f t="shared" si="110"/>
        <v/>
      </c>
      <c r="FF676" s="831" t="str">
        <f t="shared" si="111"/>
        <v/>
      </c>
      <c r="FG676" s="831" t="str">
        <f t="shared" si="112"/>
        <v/>
      </c>
      <c r="FH676" s="831" t="str">
        <f t="shared" si="113"/>
        <v/>
      </c>
      <c r="FI676" s="831" t="str">
        <f t="shared" si="114"/>
        <v/>
      </c>
      <c r="FJ676" s="831" t="str">
        <f t="shared" si="115"/>
        <v/>
      </c>
      <c r="FK676" s="831" t="str">
        <f t="shared" si="116"/>
        <v/>
      </c>
      <c r="FL676" s="831" t="str">
        <f t="shared" si="117"/>
        <v/>
      </c>
      <c r="FM676" s="831" t="str">
        <f t="shared" si="118"/>
        <v/>
      </c>
      <c r="FN676" s="831" t="str">
        <f t="shared" si="119"/>
        <v/>
      </c>
      <c r="FO676" s="831" t="str">
        <f t="shared" si="120"/>
        <v/>
      </c>
      <c r="FP676" s="831" t="str">
        <f t="shared" si="121"/>
        <v/>
      </c>
      <c r="FQ676" s="831" t="str">
        <f t="shared" si="122"/>
        <v/>
      </c>
      <c r="FR676" s="831" t="str">
        <f t="shared" si="123"/>
        <v/>
      </c>
      <c r="FS676" s="831" t="str">
        <f t="shared" si="124"/>
        <v/>
      </c>
      <c r="FT676" s="831" t="str">
        <f t="shared" si="125"/>
        <v/>
      </c>
      <c r="FU676" s="831" t="str">
        <f t="shared" si="126"/>
        <v/>
      </c>
      <c r="FV676" s="831" t="str">
        <f t="shared" si="127"/>
        <v/>
      </c>
      <c r="FW676" s="831" t="str">
        <f t="shared" si="128"/>
        <v/>
      </c>
      <c r="FX676" s="831" t="str">
        <f t="shared" si="129"/>
        <v/>
      </c>
      <c r="FY676" s="831" t="str">
        <f t="shared" si="130"/>
        <v/>
      </c>
      <c r="FZ676" s="831" t="str">
        <f t="shared" si="131"/>
        <v/>
      </c>
      <c r="GA676" s="831" t="str">
        <f t="shared" si="132"/>
        <v/>
      </c>
      <c r="GB676" s="831" t="str">
        <f t="shared" si="133"/>
        <v/>
      </c>
      <c r="GC676" s="831" t="str">
        <f t="shared" si="134"/>
        <v/>
      </c>
      <c r="GD676" s="831" t="str">
        <f t="shared" si="135"/>
        <v/>
      </c>
      <c r="GE676" s="831" t="str">
        <f t="shared" si="136"/>
        <v/>
      </c>
      <c r="GF676" s="831" t="str">
        <f t="shared" si="137"/>
        <v/>
      </c>
      <c r="GG676" s="831" t="str">
        <f t="shared" si="138"/>
        <v/>
      </c>
      <c r="GH676" s="831" t="str">
        <f t="shared" si="139"/>
        <v/>
      </c>
      <c r="GI676" s="831" t="str">
        <f t="shared" si="140"/>
        <v/>
      </c>
      <c r="GJ676" s="831" t="str">
        <f t="shared" si="141"/>
        <v/>
      </c>
      <c r="GK676" s="831" t="str">
        <f t="shared" si="142"/>
        <v/>
      </c>
      <c r="GL676" s="831" t="str">
        <f t="shared" si="143"/>
        <v/>
      </c>
      <c r="GM676" s="831" t="str">
        <f t="shared" si="144"/>
        <v/>
      </c>
      <c r="GN676" s="831" t="str">
        <f t="shared" si="145"/>
        <v/>
      </c>
      <c r="GO676" s="1113" t="str">
        <f t="shared" si="146"/>
        <v/>
      </c>
      <c r="GP676" s="1113" t="str">
        <f t="shared" si="147"/>
        <v/>
      </c>
      <c r="GQ676" s="1113" t="str">
        <f t="shared" si="148"/>
        <v/>
      </c>
      <c r="GR676" s="1113" t="str">
        <f t="shared" si="149"/>
        <v/>
      </c>
      <c r="GS676" s="1113" t="str">
        <f t="shared" si="150"/>
        <v/>
      </c>
      <c r="GT676" s="1070" t="str">
        <f t="shared" si="151"/>
        <v/>
      </c>
      <c r="GU676" s="1070" t="str">
        <f t="shared" si="152"/>
        <v/>
      </c>
      <c r="GV676" s="1070" t="str">
        <f t="shared" si="153"/>
        <v/>
      </c>
      <c r="GW676" s="1070" t="str">
        <f t="shared" si="154"/>
        <v/>
      </c>
      <c r="GX676" s="1070" t="str">
        <f t="shared" si="155"/>
        <v/>
      </c>
      <c r="GY676" s="1070" t="str">
        <f t="shared" si="156"/>
        <v/>
      </c>
      <c r="GZ676" s="1070" t="str">
        <f t="shared" si="157"/>
        <v/>
      </c>
      <c r="HA676" s="1070" t="str">
        <f t="shared" si="158"/>
        <v/>
      </c>
      <c r="HB676" s="1070" t="str">
        <f t="shared" si="159"/>
        <v/>
      </c>
      <c r="HC676" s="1070" t="str">
        <f t="shared" si="160"/>
        <v/>
      </c>
      <c r="HD676" s="1070" t="str">
        <f t="shared" si="161"/>
        <v/>
      </c>
      <c r="HE676" s="1070" t="str">
        <f t="shared" si="162"/>
        <v/>
      </c>
      <c r="HF676" s="1070" t="str">
        <f t="shared" si="163"/>
        <v/>
      </c>
      <c r="HG676" s="1070" t="str">
        <f t="shared" si="164"/>
        <v/>
      </c>
      <c r="HH676" s="1070" t="str">
        <f t="shared" si="165"/>
        <v/>
      </c>
      <c r="HI676" s="1070" t="str">
        <f t="shared" si="166"/>
        <v/>
      </c>
      <c r="HJ676" s="1070" t="str">
        <f t="shared" si="167"/>
        <v/>
      </c>
      <c r="HK676" s="1070" t="str">
        <f t="shared" si="168"/>
        <v/>
      </c>
      <c r="HL676" s="1070" t="str">
        <f t="shared" si="169"/>
        <v/>
      </c>
      <c r="HM676" s="1070" t="str">
        <f t="shared" si="170"/>
        <v/>
      </c>
    </row>
    <row r="677" spans="1:221" ht="13.15" customHeight="1">
      <c r="A677" s="1082" t="str">
        <f t="shared" si="171"/>
        <v/>
      </c>
      <c r="B677" s="1035" t="str">
        <f>'Part VI-Revenues &amp; Expenses'!B43</f>
        <v>&lt;&lt;Select&gt;&gt;</v>
      </c>
      <c r="C677" s="1036">
        <f>'Part VI-Revenues &amp; Expenses'!C43</f>
        <v>0</v>
      </c>
      <c r="D677" s="1037">
        <f>'Part VI-Revenues &amp; Expenses'!D43</f>
        <v>0</v>
      </c>
      <c r="E677" s="1038">
        <f>'Part VI-Revenues &amp; Expenses'!E43</f>
        <v>0</v>
      </c>
      <c r="F677" s="1038">
        <f>'Part VI-Revenues &amp; Expenses'!F43</f>
        <v>0</v>
      </c>
      <c r="G677" s="1038">
        <f>'Part VI-Revenues &amp; Expenses'!G43</f>
        <v>0</v>
      </c>
      <c r="H677" s="1038">
        <f>'Part VI-Revenues &amp; Expenses'!H43</f>
        <v>0</v>
      </c>
      <c r="I677" s="1038">
        <f>'Part VI-Revenues &amp; Expenses'!I43</f>
        <v>0</v>
      </c>
      <c r="J677" s="1101">
        <f>'Part VI-Revenues &amp; Expenses'!J43</f>
        <v>0</v>
      </c>
      <c r="K677" s="906">
        <f t="shared" si="205"/>
        <v>0</v>
      </c>
      <c r="L677" s="906">
        <f t="shared" si="0"/>
        <v>0</v>
      </c>
      <c r="M677" s="829">
        <f>'Part VI-Revenues &amp; Expenses'!M43</f>
        <v>0</v>
      </c>
      <c r="N677" s="829">
        <f>'Part VI-Revenues &amp; Expenses'!N43</f>
        <v>0</v>
      </c>
      <c r="O677" s="829">
        <f>'Part VI-Revenues &amp; Expenses'!O43</f>
        <v>0</v>
      </c>
      <c r="P677" s="907">
        <f t="shared" si="203"/>
        <v>0</v>
      </c>
      <c r="Q677" s="908" t="str">
        <f>'Part VI-Revenues &amp; Expenses'!Q43</f>
        <v/>
      </c>
      <c r="R677" s="907"/>
      <c r="S677" s="908"/>
      <c r="T677" s="1575"/>
      <c r="U677" s="1575"/>
      <c r="V677" s="1070" t="str">
        <f t="shared" si="1"/>
        <v/>
      </c>
      <c r="W677" s="1070" t="str">
        <f t="shared" si="2"/>
        <v/>
      </c>
      <c r="X677" s="1070" t="str">
        <f t="shared" si="3"/>
        <v/>
      </c>
      <c r="Y677" s="1070" t="str">
        <f t="shared" si="4"/>
        <v/>
      </c>
      <c r="Z677" s="1070" t="str">
        <f t="shared" si="5"/>
        <v/>
      </c>
      <c r="AA677" s="1070" t="str">
        <f t="shared" si="6"/>
        <v/>
      </c>
      <c r="AB677" s="1070" t="str">
        <f t="shared" si="7"/>
        <v/>
      </c>
      <c r="AC677" s="1070" t="str">
        <f t="shared" si="8"/>
        <v/>
      </c>
      <c r="AD677" s="1070" t="str">
        <f t="shared" si="9"/>
        <v/>
      </c>
      <c r="AE677" s="1070" t="str">
        <f t="shared" si="10"/>
        <v/>
      </c>
      <c r="AF677" s="1070" t="str">
        <f t="shared" si="11"/>
        <v/>
      </c>
      <c r="AG677" s="1070" t="str">
        <f t="shared" si="12"/>
        <v/>
      </c>
      <c r="AH677" s="1070" t="str">
        <f t="shared" si="13"/>
        <v/>
      </c>
      <c r="AI677" s="1070" t="str">
        <f t="shared" si="14"/>
        <v/>
      </c>
      <c r="AJ677" s="1070" t="str">
        <f t="shared" si="15"/>
        <v/>
      </c>
      <c r="AK677" s="1070" t="str">
        <f t="shared" si="16"/>
        <v/>
      </c>
      <c r="AL677" s="1070" t="str">
        <f t="shared" si="17"/>
        <v/>
      </c>
      <c r="AM677" s="1070" t="str">
        <f t="shared" si="18"/>
        <v/>
      </c>
      <c r="AN677" s="1070" t="str">
        <f t="shared" si="19"/>
        <v/>
      </c>
      <c r="AO677" s="1070" t="str">
        <f t="shared" si="20"/>
        <v/>
      </c>
      <c r="AP677" s="1070" t="str">
        <f t="shared" si="173"/>
        <v/>
      </c>
      <c r="AQ677" s="1070" t="str">
        <f t="shared" si="174"/>
        <v/>
      </c>
      <c r="AR677" s="1070" t="str">
        <f t="shared" si="175"/>
        <v/>
      </c>
      <c r="AS677" s="1070" t="str">
        <f t="shared" si="176"/>
        <v/>
      </c>
      <c r="AT677" s="1070" t="str">
        <f t="shared" si="177"/>
        <v/>
      </c>
      <c r="AU677" s="1070" t="str">
        <f t="shared" si="178"/>
        <v/>
      </c>
      <c r="AV677" s="1070" t="str">
        <f t="shared" si="179"/>
        <v/>
      </c>
      <c r="AW677" s="1070" t="str">
        <f t="shared" si="180"/>
        <v/>
      </c>
      <c r="AX677" s="1070" t="str">
        <f t="shared" si="181"/>
        <v/>
      </c>
      <c r="AY677" s="1070" t="str">
        <f t="shared" si="182"/>
        <v/>
      </c>
      <c r="AZ677" s="1070" t="str">
        <f t="shared" si="183"/>
        <v/>
      </c>
      <c r="BA677" s="1070" t="str">
        <f t="shared" si="184"/>
        <v/>
      </c>
      <c r="BB677" s="1070" t="str">
        <f t="shared" si="185"/>
        <v/>
      </c>
      <c r="BC677" s="1070" t="str">
        <f t="shared" si="186"/>
        <v/>
      </c>
      <c r="BD677" s="1070" t="str">
        <f t="shared" si="187"/>
        <v/>
      </c>
      <c r="BE677" s="1070" t="str">
        <f t="shared" si="188"/>
        <v/>
      </c>
      <c r="BF677" s="1070" t="str">
        <f t="shared" si="189"/>
        <v/>
      </c>
      <c r="BG677" s="1070" t="str">
        <f t="shared" si="190"/>
        <v/>
      </c>
      <c r="BH677" s="1070" t="str">
        <f t="shared" si="191"/>
        <v/>
      </c>
      <c r="BI677" s="1070" t="str">
        <f t="shared" si="192"/>
        <v/>
      </c>
      <c r="BJ677" s="1070" t="str">
        <f t="shared" si="193"/>
        <v/>
      </c>
      <c r="BK677" s="1070" t="str">
        <f t="shared" si="194"/>
        <v/>
      </c>
      <c r="BL677" s="1070" t="str">
        <f t="shared" si="195"/>
        <v/>
      </c>
      <c r="BM677" s="1070" t="str">
        <f t="shared" si="196"/>
        <v/>
      </c>
      <c r="BN677" s="1070" t="str">
        <f t="shared" si="197"/>
        <v/>
      </c>
      <c r="BO677" s="1070" t="str">
        <f t="shared" si="198"/>
        <v/>
      </c>
      <c r="BP677" s="1070" t="str">
        <f t="shared" si="199"/>
        <v/>
      </c>
      <c r="BQ677" s="1070" t="str">
        <f t="shared" si="200"/>
        <v/>
      </c>
      <c r="BR677" s="1070" t="str">
        <f t="shared" si="201"/>
        <v/>
      </c>
      <c r="BS677" s="1070" t="str">
        <f t="shared" si="202"/>
        <v/>
      </c>
      <c r="BT677" s="1070" t="str">
        <f t="shared" si="21"/>
        <v/>
      </c>
      <c r="BU677" s="1070" t="str">
        <f t="shared" si="22"/>
        <v/>
      </c>
      <c r="BV677" s="1070" t="str">
        <f t="shared" si="23"/>
        <v/>
      </c>
      <c r="BW677" s="1070" t="str">
        <f t="shared" si="24"/>
        <v/>
      </c>
      <c r="BX677" s="1070" t="str">
        <f t="shared" si="25"/>
        <v/>
      </c>
      <c r="BY677" s="1070" t="str">
        <f t="shared" si="26"/>
        <v/>
      </c>
      <c r="BZ677" s="1070" t="str">
        <f t="shared" si="27"/>
        <v/>
      </c>
      <c r="CA677" s="1070" t="str">
        <f t="shared" si="28"/>
        <v/>
      </c>
      <c r="CB677" s="1070" t="str">
        <f t="shared" si="29"/>
        <v/>
      </c>
      <c r="CC677" s="1070" t="str">
        <f t="shared" si="30"/>
        <v/>
      </c>
      <c r="CD677" s="1070" t="str">
        <f t="shared" si="31"/>
        <v/>
      </c>
      <c r="CE677" s="1070" t="str">
        <f t="shared" si="32"/>
        <v/>
      </c>
      <c r="CF677" s="1070" t="str">
        <f t="shared" si="33"/>
        <v/>
      </c>
      <c r="CG677" s="1070" t="str">
        <f t="shared" si="34"/>
        <v/>
      </c>
      <c r="CH677" s="1070" t="str">
        <f t="shared" si="35"/>
        <v/>
      </c>
      <c r="CI677" s="1070" t="str">
        <f t="shared" si="36"/>
        <v/>
      </c>
      <c r="CJ677" s="1070" t="str">
        <f t="shared" si="37"/>
        <v/>
      </c>
      <c r="CK677" s="1070" t="str">
        <f t="shared" si="38"/>
        <v/>
      </c>
      <c r="CL677" s="1070" t="str">
        <f t="shared" si="39"/>
        <v/>
      </c>
      <c r="CM677" s="1070" t="str">
        <f t="shared" si="40"/>
        <v/>
      </c>
      <c r="CN677" s="1070" t="str">
        <f t="shared" si="41"/>
        <v/>
      </c>
      <c r="CO677" s="1070" t="str">
        <f t="shared" si="42"/>
        <v/>
      </c>
      <c r="CP677" s="1070" t="str">
        <f t="shared" si="43"/>
        <v/>
      </c>
      <c r="CQ677" s="1070" t="str">
        <f t="shared" si="44"/>
        <v/>
      </c>
      <c r="CR677" s="1070" t="str">
        <f t="shared" si="45"/>
        <v/>
      </c>
      <c r="CS677" s="1070" t="str">
        <f t="shared" si="46"/>
        <v/>
      </c>
      <c r="CT677" s="1070" t="str">
        <f t="shared" si="47"/>
        <v/>
      </c>
      <c r="CU677" s="1070" t="str">
        <f t="shared" si="48"/>
        <v/>
      </c>
      <c r="CV677" s="1070" t="str">
        <f t="shared" si="49"/>
        <v/>
      </c>
      <c r="CW677" s="1070" t="str">
        <f t="shared" si="50"/>
        <v/>
      </c>
      <c r="CX677" s="1070" t="str">
        <f t="shared" si="51"/>
        <v/>
      </c>
      <c r="CY677" s="1070" t="str">
        <f t="shared" si="52"/>
        <v/>
      </c>
      <c r="CZ677" s="1070" t="str">
        <f t="shared" si="53"/>
        <v/>
      </c>
      <c r="DA677" s="1070" t="str">
        <f t="shared" si="54"/>
        <v/>
      </c>
      <c r="DB677" s="1070" t="str">
        <f t="shared" si="55"/>
        <v/>
      </c>
      <c r="DC677" s="1070" t="str">
        <f t="shared" si="56"/>
        <v/>
      </c>
      <c r="DD677" s="1070" t="str">
        <f t="shared" si="57"/>
        <v/>
      </c>
      <c r="DE677" s="1070" t="str">
        <f t="shared" si="58"/>
        <v/>
      </c>
      <c r="DF677" s="1070" t="str">
        <f t="shared" si="59"/>
        <v/>
      </c>
      <c r="DG677" s="1070" t="str">
        <f t="shared" si="60"/>
        <v/>
      </c>
      <c r="DH677" s="1070" t="str">
        <f t="shared" si="61"/>
        <v/>
      </c>
      <c r="DI677" s="1070" t="str">
        <f t="shared" si="62"/>
        <v/>
      </c>
      <c r="DJ677" s="1070" t="str">
        <f t="shared" si="63"/>
        <v/>
      </c>
      <c r="DK677" s="1070" t="str">
        <f t="shared" si="64"/>
        <v/>
      </c>
      <c r="DL677" s="1070" t="str">
        <f t="shared" si="65"/>
        <v/>
      </c>
      <c r="DM677" s="1070" t="str">
        <f t="shared" si="66"/>
        <v/>
      </c>
      <c r="DN677" s="1070" t="str">
        <f t="shared" si="67"/>
        <v/>
      </c>
      <c r="DO677" s="1070" t="str">
        <f t="shared" si="68"/>
        <v/>
      </c>
      <c r="DP677" s="1070" t="str">
        <f t="shared" si="69"/>
        <v/>
      </c>
      <c r="DQ677" s="1070" t="str">
        <f t="shared" si="70"/>
        <v/>
      </c>
      <c r="DR677" s="1070" t="str">
        <f t="shared" si="71"/>
        <v/>
      </c>
      <c r="DS677" s="1070" t="str">
        <f t="shared" si="72"/>
        <v/>
      </c>
      <c r="DT677" s="1070" t="str">
        <f t="shared" si="73"/>
        <v/>
      </c>
      <c r="DU677" s="1070" t="str">
        <f t="shared" si="74"/>
        <v/>
      </c>
      <c r="DV677" s="1070" t="str">
        <f t="shared" si="75"/>
        <v/>
      </c>
      <c r="DW677" s="1070" t="str">
        <f t="shared" si="76"/>
        <v/>
      </c>
      <c r="DX677" s="1070" t="str">
        <f t="shared" si="77"/>
        <v/>
      </c>
      <c r="DY677" s="1070" t="str">
        <f t="shared" si="78"/>
        <v/>
      </c>
      <c r="DZ677" s="1070" t="str">
        <f t="shared" si="79"/>
        <v/>
      </c>
      <c r="EA677" s="1070" t="str">
        <f t="shared" si="80"/>
        <v/>
      </c>
      <c r="EB677" s="1070" t="str">
        <f t="shared" si="81"/>
        <v/>
      </c>
      <c r="EC677" s="1070" t="str">
        <f t="shared" si="82"/>
        <v/>
      </c>
      <c r="ED677" s="1070" t="str">
        <f t="shared" si="83"/>
        <v/>
      </c>
      <c r="EE677" s="1070" t="str">
        <f t="shared" si="84"/>
        <v/>
      </c>
      <c r="EF677" s="1070" t="str">
        <f t="shared" si="85"/>
        <v/>
      </c>
      <c r="EG677" s="1070" t="str">
        <f t="shared" si="86"/>
        <v/>
      </c>
      <c r="EH677" s="1070" t="str">
        <f t="shared" si="87"/>
        <v/>
      </c>
      <c r="EI677" s="1070" t="str">
        <f t="shared" si="88"/>
        <v/>
      </c>
      <c r="EJ677" s="1070" t="str">
        <f t="shared" si="89"/>
        <v/>
      </c>
      <c r="EK677" s="1070" t="str">
        <f t="shared" si="90"/>
        <v/>
      </c>
      <c r="EL677" s="1070" t="str">
        <f t="shared" si="91"/>
        <v/>
      </c>
      <c r="EM677" s="1070" t="str">
        <f t="shared" si="92"/>
        <v/>
      </c>
      <c r="EN677" s="1070" t="str">
        <f t="shared" si="93"/>
        <v/>
      </c>
      <c r="EO677" s="1070" t="str">
        <f t="shared" si="94"/>
        <v/>
      </c>
      <c r="EP677" s="1070" t="str">
        <f t="shared" si="95"/>
        <v/>
      </c>
      <c r="EQ677" s="1070" t="str">
        <f t="shared" si="96"/>
        <v/>
      </c>
      <c r="ER677" s="1070" t="str">
        <f t="shared" si="97"/>
        <v/>
      </c>
      <c r="ES677" s="1070" t="str">
        <f t="shared" si="98"/>
        <v/>
      </c>
      <c r="ET677" s="1070" t="str">
        <f t="shared" si="99"/>
        <v/>
      </c>
      <c r="EU677" s="1070" t="str">
        <f t="shared" si="100"/>
        <v/>
      </c>
      <c r="EV677" s="831" t="str">
        <f t="shared" si="101"/>
        <v/>
      </c>
      <c r="EW677" s="831" t="str">
        <f t="shared" si="102"/>
        <v/>
      </c>
      <c r="EX677" s="831" t="str">
        <f t="shared" si="103"/>
        <v/>
      </c>
      <c r="EY677" s="831" t="str">
        <f t="shared" si="104"/>
        <v/>
      </c>
      <c r="EZ677" s="831" t="str">
        <f t="shared" si="105"/>
        <v/>
      </c>
      <c r="FA677" s="831" t="str">
        <f t="shared" si="106"/>
        <v/>
      </c>
      <c r="FB677" s="831" t="str">
        <f t="shared" si="107"/>
        <v/>
      </c>
      <c r="FC677" s="831" t="str">
        <f t="shared" si="108"/>
        <v/>
      </c>
      <c r="FD677" s="831" t="str">
        <f t="shared" si="109"/>
        <v/>
      </c>
      <c r="FE677" s="831" t="str">
        <f t="shared" si="110"/>
        <v/>
      </c>
      <c r="FF677" s="831" t="str">
        <f t="shared" si="111"/>
        <v/>
      </c>
      <c r="FG677" s="831" t="str">
        <f t="shared" si="112"/>
        <v/>
      </c>
      <c r="FH677" s="831" t="str">
        <f t="shared" si="113"/>
        <v/>
      </c>
      <c r="FI677" s="831" t="str">
        <f t="shared" si="114"/>
        <v/>
      </c>
      <c r="FJ677" s="831" t="str">
        <f t="shared" si="115"/>
        <v/>
      </c>
      <c r="FK677" s="831" t="str">
        <f t="shared" si="116"/>
        <v/>
      </c>
      <c r="FL677" s="831" t="str">
        <f t="shared" si="117"/>
        <v/>
      </c>
      <c r="FM677" s="831" t="str">
        <f t="shared" si="118"/>
        <v/>
      </c>
      <c r="FN677" s="831" t="str">
        <f t="shared" si="119"/>
        <v/>
      </c>
      <c r="FO677" s="831" t="str">
        <f t="shared" si="120"/>
        <v/>
      </c>
      <c r="FP677" s="831" t="str">
        <f t="shared" si="121"/>
        <v/>
      </c>
      <c r="FQ677" s="831" t="str">
        <f t="shared" si="122"/>
        <v/>
      </c>
      <c r="FR677" s="831" t="str">
        <f t="shared" si="123"/>
        <v/>
      </c>
      <c r="FS677" s="831" t="str">
        <f t="shared" si="124"/>
        <v/>
      </c>
      <c r="FT677" s="831" t="str">
        <f t="shared" si="125"/>
        <v/>
      </c>
      <c r="FU677" s="831" t="str">
        <f t="shared" si="126"/>
        <v/>
      </c>
      <c r="FV677" s="831" t="str">
        <f t="shared" si="127"/>
        <v/>
      </c>
      <c r="FW677" s="831" t="str">
        <f t="shared" si="128"/>
        <v/>
      </c>
      <c r="FX677" s="831" t="str">
        <f t="shared" si="129"/>
        <v/>
      </c>
      <c r="FY677" s="831" t="str">
        <f t="shared" si="130"/>
        <v/>
      </c>
      <c r="FZ677" s="831" t="str">
        <f t="shared" si="131"/>
        <v/>
      </c>
      <c r="GA677" s="831" t="str">
        <f t="shared" si="132"/>
        <v/>
      </c>
      <c r="GB677" s="831" t="str">
        <f t="shared" si="133"/>
        <v/>
      </c>
      <c r="GC677" s="831" t="str">
        <f t="shared" si="134"/>
        <v/>
      </c>
      <c r="GD677" s="831" t="str">
        <f t="shared" si="135"/>
        <v/>
      </c>
      <c r="GE677" s="831" t="str">
        <f t="shared" si="136"/>
        <v/>
      </c>
      <c r="GF677" s="831" t="str">
        <f t="shared" si="137"/>
        <v/>
      </c>
      <c r="GG677" s="831" t="str">
        <f t="shared" si="138"/>
        <v/>
      </c>
      <c r="GH677" s="831" t="str">
        <f t="shared" si="139"/>
        <v/>
      </c>
      <c r="GI677" s="831" t="str">
        <f t="shared" si="140"/>
        <v/>
      </c>
      <c r="GJ677" s="831" t="str">
        <f t="shared" si="141"/>
        <v/>
      </c>
      <c r="GK677" s="831" t="str">
        <f t="shared" si="142"/>
        <v/>
      </c>
      <c r="GL677" s="831" t="str">
        <f t="shared" si="143"/>
        <v/>
      </c>
      <c r="GM677" s="831" t="str">
        <f t="shared" si="144"/>
        <v/>
      </c>
      <c r="GN677" s="831" t="str">
        <f t="shared" si="145"/>
        <v/>
      </c>
      <c r="GO677" s="1113" t="str">
        <f t="shared" si="146"/>
        <v/>
      </c>
      <c r="GP677" s="1113" t="str">
        <f t="shared" si="147"/>
        <v/>
      </c>
      <c r="GQ677" s="1113" t="str">
        <f t="shared" si="148"/>
        <v/>
      </c>
      <c r="GR677" s="1113" t="str">
        <f t="shared" si="149"/>
        <v/>
      </c>
      <c r="GS677" s="1113" t="str">
        <f t="shared" si="150"/>
        <v/>
      </c>
      <c r="GT677" s="1070" t="str">
        <f t="shared" si="151"/>
        <v/>
      </c>
      <c r="GU677" s="1070" t="str">
        <f t="shared" si="152"/>
        <v/>
      </c>
      <c r="GV677" s="1070" t="str">
        <f t="shared" si="153"/>
        <v/>
      </c>
      <c r="GW677" s="1070" t="str">
        <f t="shared" si="154"/>
        <v/>
      </c>
      <c r="GX677" s="1070" t="str">
        <f t="shared" si="155"/>
        <v/>
      </c>
      <c r="GY677" s="1070" t="str">
        <f t="shared" si="156"/>
        <v/>
      </c>
      <c r="GZ677" s="1070" t="str">
        <f t="shared" si="157"/>
        <v/>
      </c>
      <c r="HA677" s="1070" t="str">
        <f t="shared" si="158"/>
        <v/>
      </c>
      <c r="HB677" s="1070" t="str">
        <f t="shared" si="159"/>
        <v/>
      </c>
      <c r="HC677" s="1070" t="str">
        <f t="shared" si="160"/>
        <v/>
      </c>
      <c r="HD677" s="1070" t="str">
        <f t="shared" si="161"/>
        <v/>
      </c>
      <c r="HE677" s="1070" t="str">
        <f t="shared" si="162"/>
        <v/>
      </c>
      <c r="HF677" s="1070" t="str">
        <f t="shared" si="163"/>
        <v/>
      </c>
      <c r="HG677" s="1070" t="str">
        <f t="shared" si="164"/>
        <v/>
      </c>
      <c r="HH677" s="1070" t="str">
        <f t="shared" si="165"/>
        <v/>
      </c>
      <c r="HI677" s="1070" t="str">
        <f t="shared" si="166"/>
        <v/>
      </c>
      <c r="HJ677" s="1070" t="str">
        <f t="shared" si="167"/>
        <v/>
      </c>
      <c r="HK677" s="1070" t="str">
        <f t="shared" si="168"/>
        <v/>
      </c>
      <c r="HL677" s="1070" t="str">
        <f t="shared" si="169"/>
        <v/>
      </c>
      <c r="HM677" s="1070" t="str">
        <f t="shared" si="170"/>
        <v/>
      </c>
    </row>
    <row r="678" spans="1:221" ht="13.15" customHeight="1">
      <c r="A678" s="1082" t="str">
        <f t="shared" si="171"/>
        <v/>
      </c>
      <c r="B678" s="1035" t="str">
        <f>'Part VI-Revenues &amp; Expenses'!B44</f>
        <v>&lt;&lt;Select&gt;&gt;</v>
      </c>
      <c r="C678" s="1036">
        <f>'Part VI-Revenues &amp; Expenses'!C44</f>
        <v>0</v>
      </c>
      <c r="D678" s="1037">
        <f>'Part VI-Revenues &amp; Expenses'!D44</f>
        <v>0</v>
      </c>
      <c r="E678" s="1038">
        <f>'Part VI-Revenues &amp; Expenses'!E44</f>
        <v>0</v>
      </c>
      <c r="F678" s="1038">
        <f>'Part VI-Revenues &amp; Expenses'!F44</f>
        <v>0</v>
      </c>
      <c r="G678" s="1038">
        <f>'Part VI-Revenues &amp; Expenses'!G44</f>
        <v>0</v>
      </c>
      <c r="H678" s="1038">
        <f>'Part VI-Revenues &amp; Expenses'!H44</f>
        <v>0</v>
      </c>
      <c r="I678" s="1038">
        <f>'Part VI-Revenues &amp; Expenses'!I44</f>
        <v>0</v>
      </c>
      <c r="J678" s="1101">
        <f>'Part VI-Revenues &amp; Expenses'!J44</f>
        <v>0</v>
      </c>
      <c r="K678" s="906">
        <f t="shared" si="205"/>
        <v>0</v>
      </c>
      <c r="L678" s="906">
        <f t="shared" si="0"/>
        <v>0</v>
      </c>
      <c r="M678" s="829">
        <f>'Part VI-Revenues &amp; Expenses'!M44</f>
        <v>0</v>
      </c>
      <c r="N678" s="829">
        <f>'Part VI-Revenues &amp; Expenses'!N44</f>
        <v>0</v>
      </c>
      <c r="O678" s="829">
        <f>'Part VI-Revenues &amp; Expenses'!O44</f>
        <v>0</v>
      </c>
      <c r="P678" s="907">
        <f t="shared" si="203"/>
        <v>0</v>
      </c>
      <c r="Q678" s="908" t="str">
        <f>'Part VI-Revenues &amp; Expenses'!Q44</f>
        <v/>
      </c>
      <c r="R678" s="907"/>
      <c r="S678" s="908"/>
      <c r="T678" s="1575"/>
      <c r="U678" s="1575"/>
      <c r="V678" s="1070" t="str">
        <f t="shared" si="1"/>
        <v/>
      </c>
      <c r="W678" s="1070" t="str">
        <f t="shared" si="2"/>
        <v/>
      </c>
      <c r="X678" s="1070" t="str">
        <f t="shared" si="3"/>
        <v/>
      </c>
      <c r="Y678" s="1070" t="str">
        <f t="shared" si="4"/>
        <v/>
      </c>
      <c r="Z678" s="1070" t="str">
        <f t="shared" si="5"/>
        <v/>
      </c>
      <c r="AA678" s="1070" t="str">
        <f t="shared" si="6"/>
        <v/>
      </c>
      <c r="AB678" s="1070" t="str">
        <f t="shared" si="7"/>
        <v/>
      </c>
      <c r="AC678" s="1070" t="str">
        <f t="shared" si="8"/>
        <v/>
      </c>
      <c r="AD678" s="1070" t="str">
        <f t="shared" si="9"/>
        <v/>
      </c>
      <c r="AE678" s="1070" t="str">
        <f t="shared" si="10"/>
        <v/>
      </c>
      <c r="AF678" s="1070" t="str">
        <f t="shared" si="11"/>
        <v/>
      </c>
      <c r="AG678" s="1070" t="str">
        <f t="shared" si="12"/>
        <v/>
      </c>
      <c r="AH678" s="1070" t="str">
        <f t="shared" si="13"/>
        <v/>
      </c>
      <c r="AI678" s="1070" t="str">
        <f t="shared" si="14"/>
        <v/>
      </c>
      <c r="AJ678" s="1070" t="str">
        <f t="shared" si="15"/>
        <v/>
      </c>
      <c r="AK678" s="1070" t="str">
        <f t="shared" si="16"/>
        <v/>
      </c>
      <c r="AL678" s="1070" t="str">
        <f t="shared" si="17"/>
        <v/>
      </c>
      <c r="AM678" s="1070" t="str">
        <f t="shared" si="18"/>
        <v/>
      </c>
      <c r="AN678" s="1070" t="str">
        <f t="shared" si="19"/>
        <v/>
      </c>
      <c r="AO678" s="1070" t="str">
        <f t="shared" si="20"/>
        <v/>
      </c>
      <c r="AP678" s="1070" t="str">
        <f t="shared" si="173"/>
        <v/>
      </c>
      <c r="AQ678" s="1070" t="str">
        <f t="shared" si="174"/>
        <v/>
      </c>
      <c r="AR678" s="1070" t="str">
        <f t="shared" si="175"/>
        <v/>
      </c>
      <c r="AS678" s="1070" t="str">
        <f t="shared" si="176"/>
        <v/>
      </c>
      <c r="AT678" s="1070" t="str">
        <f t="shared" si="177"/>
        <v/>
      </c>
      <c r="AU678" s="1070" t="str">
        <f t="shared" si="178"/>
        <v/>
      </c>
      <c r="AV678" s="1070" t="str">
        <f t="shared" si="179"/>
        <v/>
      </c>
      <c r="AW678" s="1070" t="str">
        <f t="shared" si="180"/>
        <v/>
      </c>
      <c r="AX678" s="1070" t="str">
        <f t="shared" si="181"/>
        <v/>
      </c>
      <c r="AY678" s="1070" t="str">
        <f t="shared" si="182"/>
        <v/>
      </c>
      <c r="AZ678" s="1070" t="str">
        <f t="shared" si="183"/>
        <v/>
      </c>
      <c r="BA678" s="1070" t="str">
        <f t="shared" si="184"/>
        <v/>
      </c>
      <c r="BB678" s="1070" t="str">
        <f t="shared" si="185"/>
        <v/>
      </c>
      <c r="BC678" s="1070" t="str">
        <f t="shared" si="186"/>
        <v/>
      </c>
      <c r="BD678" s="1070" t="str">
        <f t="shared" si="187"/>
        <v/>
      </c>
      <c r="BE678" s="1070" t="str">
        <f t="shared" si="188"/>
        <v/>
      </c>
      <c r="BF678" s="1070" t="str">
        <f t="shared" si="189"/>
        <v/>
      </c>
      <c r="BG678" s="1070" t="str">
        <f t="shared" si="190"/>
        <v/>
      </c>
      <c r="BH678" s="1070" t="str">
        <f t="shared" si="191"/>
        <v/>
      </c>
      <c r="BI678" s="1070" t="str">
        <f t="shared" si="192"/>
        <v/>
      </c>
      <c r="BJ678" s="1070" t="str">
        <f t="shared" si="193"/>
        <v/>
      </c>
      <c r="BK678" s="1070" t="str">
        <f t="shared" si="194"/>
        <v/>
      </c>
      <c r="BL678" s="1070" t="str">
        <f t="shared" si="195"/>
        <v/>
      </c>
      <c r="BM678" s="1070" t="str">
        <f t="shared" si="196"/>
        <v/>
      </c>
      <c r="BN678" s="1070" t="str">
        <f t="shared" si="197"/>
        <v/>
      </c>
      <c r="BO678" s="1070" t="str">
        <f t="shared" si="198"/>
        <v/>
      </c>
      <c r="BP678" s="1070" t="str">
        <f t="shared" si="199"/>
        <v/>
      </c>
      <c r="BQ678" s="1070" t="str">
        <f t="shared" si="200"/>
        <v/>
      </c>
      <c r="BR678" s="1070" t="str">
        <f t="shared" si="201"/>
        <v/>
      </c>
      <c r="BS678" s="1070" t="str">
        <f t="shared" si="202"/>
        <v/>
      </c>
      <c r="BT678" s="1070" t="str">
        <f t="shared" si="21"/>
        <v/>
      </c>
      <c r="BU678" s="1070" t="str">
        <f t="shared" si="22"/>
        <v/>
      </c>
      <c r="BV678" s="1070" t="str">
        <f t="shared" si="23"/>
        <v/>
      </c>
      <c r="BW678" s="1070" t="str">
        <f t="shared" si="24"/>
        <v/>
      </c>
      <c r="BX678" s="1070" t="str">
        <f t="shared" si="25"/>
        <v/>
      </c>
      <c r="BY678" s="1070" t="str">
        <f t="shared" si="26"/>
        <v/>
      </c>
      <c r="BZ678" s="1070" t="str">
        <f t="shared" si="27"/>
        <v/>
      </c>
      <c r="CA678" s="1070" t="str">
        <f t="shared" si="28"/>
        <v/>
      </c>
      <c r="CB678" s="1070" t="str">
        <f t="shared" si="29"/>
        <v/>
      </c>
      <c r="CC678" s="1070" t="str">
        <f t="shared" si="30"/>
        <v/>
      </c>
      <c r="CD678" s="1070" t="str">
        <f t="shared" si="31"/>
        <v/>
      </c>
      <c r="CE678" s="1070" t="str">
        <f t="shared" si="32"/>
        <v/>
      </c>
      <c r="CF678" s="1070" t="str">
        <f t="shared" si="33"/>
        <v/>
      </c>
      <c r="CG678" s="1070" t="str">
        <f t="shared" si="34"/>
        <v/>
      </c>
      <c r="CH678" s="1070" t="str">
        <f t="shared" si="35"/>
        <v/>
      </c>
      <c r="CI678" s="1070" t="str">
        <f t="shared" si="36"/>
        <v/>
      </c>
      <c r="CJ678" s="1070" t="str">
        <f t="shared" si="37"/>
        <v/>
      </c>
      <c r="CK678" s="1070" t="str">
        <f t="shared" si="38"/>
        <v/>
      </c>
      <c r="CL678" s="1070" t="str">
        <f t="shared" si="39"/>
        <v/>
      </c>
      <c r="CM678" s="1070" t="str">
        <f t="shared" si="40"/>
        <v/>
      </c>
      <c r="CN678" s="1070" t="str">
        <f t="shared" si="41"/>
        <v/>
      </c>
      <c r="CO678" s="1070" t="str">
        <f t="shared" si="42"/>
        <v/>
      </c>
      <c r="CP678" s="1070" t="str">
        <f t="shared" si="43"/>
        <v/>
      </c>
      <c r="CQ678" s="1070" t="str">
        <f t="shared" si="44"/>
        <v/>
      </c>
      <c r="CR678" s="1070" t="str">
        <f t="shared" si="45"/>
        <v/>
      </c>
      <c r="CS678" s="1070" t="str">
        <f t="shared" si="46"/>
        <v/>
      </c>
      <c r="CT678" s="1070" t="str">
        <f t="shared" si="47"/>
        <v/>
      </c>
      <c r="CU678" s="1070" t="str">
        <f t="shared" si="48"/>
        <v/>
      </c>
      <c r="CV678" s="1070" t="str">
        <f t="shared" si="49"/>
        <v/>
      </c>
      <c r="CW678" s="1070" t="str">
        <f t="shared" si="50"/>
        <v/>
      </c>
      <c r="CX678" s="1070" t="str">
        <f t="shared" si="51"/>
        <v/>
      </c>
      <c r="CY678" s="1070" t="str">
        <f t="shared" si="52"/>
        <v/>
      </c>
      <c r="CZ678" s="1070" t="str">
        <f t="shared" si="53"/>
        <v/>
      </c>
      <c r="DA678" s="1070" t="str">
        <f t="shared" si="54"/>
        <v/>
      </c>
      <c r="DB678" s="1070" t="str">
        <f t="shared" si="55"/>
        <v/>
      </c>
      <c r="DC678" s="1070" t="str">
        <f t="shared" si="56"/>
        <v/>
      </c>
      <c r="DD678" s="1070" t="str">
        <f t="shared" si="57"/>
        <v/>
      </c>
      <c r="DE678" s="1070" t="str">
        <f t="shared" si="58"/>
        <v/>
      </c>
      <c r="DF678" s="1070" t="str">
        <f t="shared" si="59"/>
        <v/>
      </c>
      <c r="DG678" s="1070" t="str">
        <f t="shared" si="60"/>
        <v/>
      </c>
      <c r="DH678" s="1070" t="str">
        <f t="shared" si="61"/>
        <v/>
      </c>
      <c r="DI678" s="1070" t="str">
        <f t="shared" si="62"/>
        <v/>
      </c>
      <c r="DJ678" s="1070" t="str">
        <f t="shared" si="63"/>
        <v/>
      </c>
      <c r="DK678" s="1070" t="str">
        <f t="shared" si="64"/>
        <v/>
      </c>
      <c r="DL678" s="1070" t="str">
        <f t="shared" si="65"/>
        <v/>
      </c>
      <c r="DM678" s="1070" t="str">
        <f t="shared" si="66"/>
        <v/>
      </c>
      <c r="DN678" s="1070" t="str">
        <f t="shared" si="67"/>
        <v/>
      </c>
      <c r="DO678" s="1070" t="str">
        <f t="shared" si="68"/>
        <v/>
      </c>
      <c r="DP678" s="1070" t="str">
        <f t="shared" si="69"/>
        <v/>
      </c>
      <c r="DQ678" s="1070" t="str">
        <f t="shared" si="70"/>
        <v/>
      </c>
      <c r="DR678" s="1070" t="str">
        <f t="shared" si="71"/>
        <v/>
      </c>
      <c r="DS678" s="1070" t="str">
        <f t="shared" si="72"/>
        <v/>
      </c>
      <c r="DT678" s="1070" t="str">
        <f t="shared" si="73"/>
        <v/>
      </c>
      <c r="DU678" s="1070" t="str">
        <f t="shared" si="74"/>
        <v/>
      </c>
      <c r="DV678" s="1070" t="str">
        <f t="shared" si="75"/>
        <v/>
      </c>
      <c r="DW678" s="1070" t="str">
        <f t="shared" si="76"/>
        <v/>
      </c>
      <c r="DX678" s="1070" t="str">
        <f t="shared" si="77"/>
        <v/>
      </c>
      <c r="DY678" s="1070" t="str">
        <f t="shared" si="78"/>
        <v/>
      </c>
      <c r="DZ678" s="1070" t="str">
        <f t="shared" si="79"/>
        <v/>
      </c>
      <c r="EA678" s="1070" t="str">
        <f t="shared" si="80"/>
        <v/>
      </c>
      <c r="EB678" s="1070" t="str">
        <f t="shared" si="81"/>
        <v/>
      </c>
      <c r="EC678" s="1070" t="str">
        <f t="shared" si="82"/>
        <v/>
      </c>
      <c r="ED678" s="1070" t="str">
        <f t="shared" si="83"/>
        <v/>
      </c>
      <c r="EE678" s="1070" t="str">
        <f t="shared" si="84"/>
        <v/>
      </c>
      <c r="EF678" s="1070" t="str">
        <f t="shared" si="85"/>
        <v/>
      </c>
      <c r="EG678" s="1070" t="str">
        <f t="shared" si="86"/>
        <v/>
      </c>
      <c r="EH678" s="1070" t="str">
        <f t="shared" si="87"/>
        <v/>
      </c>
      <c r="EI678" s="1070" t="str">
        <f t="shared" si="88"/>
        <v/>
      </c>
      <c r="EJ678" s="1070" t="str">
        <f t="shared" si="89"/>
        <v/>
      </c>
      <c r="EK678" s="1070" t="str">
        <f t="shared" si="90"/>
        <v/>
      </c>
      <c r="EL678" s="1070" t="str">
        <f t="shared" si="91"/>
        <v/>
      </c>
      <c r="EM678" s="1070" t="str">
        <f t="shared" si="92"/>
        <v/>
      </c>
      <c r="EN678" s="1070" t="str">
        <f t="shared" si="93"/>
        <v/>
      </c>
      <c r="EO678" s="1070" t="str">
        <f t="shared" si="94"/>
        <v/>
      </c>
      <c r="EP678" s="1070" t="str">
        <f t="shared" si="95"/>
        <v/>
      </c>
      <c r="EQ678" s="1070" t="str">
        <f t="shared" si="96"/>
        <v/>
      </c>
      <c r="ER678" s="1070" t="str">
        <f t="shared" si="97"/>
        <v/>
      </c>
      <c r="ES678" s="1070" t="str">
        <f t="shared" si="98"/>
        <v/>
      </c>
      <c r="ET678" s="1070" t="str">
        <f t="shared" si="99"/>
        <v/>
      </c>
      <c r="EU678" s="1070" t="str">
        <f t="shared" si="100"/>
        <v/>
      </c>
      <c r="EV678" s="831" t="str">
        <f t="shared" si="101"/>
        <v/>
      </c>
      <c r="EW678" s="831" t="str">
        <f t="shared" si="102"/>
        <v/>
      </c>
      <c r="EX678" s="831" t="str">
        <f t="shared" si="103"/>
        <v/>
      </c>
      <c r="EY678" s="831" t="str">
        <f t="shared" si="104"/>
        <v/>
      </c>
      <c r="EZ678" s="831" t="str">
        <f t="shared" si="105"/>
        <v/>
      </c>
      <c r="FA678" s="831" t="str">
        <f t="shared" si="106"/>
        <v/>
      </c>
      <c r="FB678" s="831" t="str">
        <f t="shared" si="107"/>
        <v/>
      </c>
      <c r="FC678" s="831" t="str">
        <f t="shared" si="108"/>
        <v/>
      </c>
      <c r="FD678" s="831" t="str">
        <f t="shared" si="109"/>
        <v/>
      </c>
      <c r="FE678" s="831" t="str">
        <f t="shared" si="110"/>
        <v/>
      </c>
      <c r="FF678" s="831" t="str">
        <f t="shared" si="111"/>
        <v/>
      </c>
      <c r="FG678" s="831" t="str">
        <f t="shared" si="112"/>
        <v/>
      </c>
      <c r="FH678" s="831" t="str">
        <f t="shared" si="113"/>
        <v/>
      </c>
      <c r="FI678" s="831" t="str">
        <f t="shared" si="114"/>
        <v/>
      </c>
      <c r="FJ678" s="831" t="str">
        <f t="shared" si="115"/>
        <v/>
      </c>
      <c r="FK678" s="831" t="str">
        <f t="shared" si="116"/>
        <v/>
      </c>
      <c r="FL678" s="831" t="str">
        <f t="shared" si="117"/>
        <v/>
      </c>
      <c r="FM678" s="831" t="str">
        <f t="shared" si="118"/>
        <v/>
      </c>
      <c r="FN678" s="831" t="str">
        <f t="shared" si="119"/>
        <v/>
      </c>
      <c r="FO678" s="831" t="str">
        <f t="shared" si="120"/>
        <v/>
      </c>
      <c r="FP678" s="831" t="str">
        <f t="shared" si="121"/>
        <v/>
      </c>
      <c r="FQ678" s="831" t="str">
        <f t="shared" si="122"/>
        <v/>
      </c>
      <c r="FR678" s="831" t="str">
        <f t="shared" si="123"/>
        <v/>
      </c>
      <c r="FS678" s="831" t="str">
        <f t="shared" si="124"/>
        <v/>
      </c>
      <c r="FT678" s="831" t="str">
        <f t="shared" si="125"/>
        <v/>
      </c>
      <c r="FU678" s="831" t="str">
        <f t="shared" si="126"/>
        <v/>
      </c>
      <c r="FV678" s="831" t="str">
        <f t="shared" si="127"/>
        <v/>
      </c>
      <c r="FW678" s="831" t="str">
        <f t="shared" si="128"/>
        <v/>
      </c>
      <c r="FX678" s="831" t="str">
        <f t="shared" si="129"/>
        <v/>
      </c>
      <c r="FY678" s="831" t="str">
        <f t="shared" si="130"/>
        <v/>
      </c>
      <c r="FZ678" s="831" t="str">
        <f t="shared" si="131"/>
        <v/>
      </c>
      <c r="GA678" s="831" t="str">
        <f t="shared" si="132"/>
        <v/>
      </c>
      <c r="GB678" s="831" t="str">
        <f t="shared" si="133"/>
        <v/>
      </c>
      <c r="GC678" s="831" t="str">
        <f t="shared" si="134"/>
        <v/>
      </c>
      <c r="GD678" s="831" t="str">
        <f t="shared" si="135"/>
        <v/>
      </c>
      <c r="GE678" s="831" t="str">
        <f t="shared" si="136"/>
        <v/>
      </c>
      <c r="GF678" s="831" t="str">
        <f t="shared" si="137"/>
        <v/>
      </c>
      <c r="GG678" s="831" t="str">
        <f t="shared" si="138"/>
        <v/>
      </c>
      <c r="GH678" s="831" t="str">
        <f t="shared" si="139"/>
        <v/>
      </c>
      <c r="GI678" s="831" t="str">
        <f t="shared" si="140"/>
        <v/>
      </c>
      <c r="GJ678" s="831" t="str">
        <f t="shared" si="141"/>
        <v/>
      </c>
      <c r="GK678" s="831" t="str">
        <f t="shared" si="142"/>
        <v/>
      </c>
      <c r="GL678" s="831" t="str">
        <f t="shared" si="143"/>
        <v/>
      </c>
      <c r="GM678" s="831" t="str">
        <f t="shared" si="144"/>
        <v/>
      </c>
      <c r="GN678" s="831" t="str">
        <f t="shared" si="145"/>
        <v/>
      </c>
      <c r="GO678" s="1113" t="str">
        <f t="shared" si="146"/>
        <v/>
      </c>
      <c r="GP678" s="1113" t="str">
        <f t="shared" si="147"/>
        <v/>
      </c>
      <c r="GQ678" s="1113" t="str">
        <f t="shared" si="148"/>
        <v/>
      </c>
      <c r="GR678" s="1113" t="str">
        <f t="shared" si="149"/>
        <v/>
      </c>
      <c r="GS678" s="1113" t="str">
        <f t="shared" si="150"/>
        <v/>
      </c>
      <c r="GT678" s="1070" t="str">
        <f t="shared" si="151"/>
        <v/>
      </c>
      <c r="GU678" s="1070" t="str">
        <f t="shared" si="152"/>
        <v/>
      </c>
      <c r="GV678" s="1070" t="str">
        <f t="shared" si="153"/>
        <v/>
      </c>
      <c r="GW678" s="1070" t="str">
        <f t="shared" si="154"/>
        <v/>
      </c>
      <c r="GX678" s="1070" t="str">
        <f t="shared" si="155"/>
        <v/>
      </c>
      <c r="GY678" s="1070" t="str">
        <f t="shared" si="156"/>
        <v/>
      </c>
      <c r="GZ678" s="1070" t="str">
        <f t="shared" si="157"/>
        <v/>
      </c>
      <c r="HA678" s="1070" t="str">
        <f t="shared" si="158"/>
        <v/>
      </c>
      <c r="HB678" s="1070" t="str">
        <f t="shared" si="159"/>
        <v/>
      </c>
      <c r="HC678" s="1070" t="str">
        <f t="shared" si="160"/>
        <v/>
      </c>
      <c r="HD678" s="1070" t="str">
        <f t="shared" si="161"/>
        <v/>
      </c>
      <c r="HE678" s="1070" t="str">
        <f t="shared" si="162"/>
        <v/>
      </c>
      <c r="HF678" s="1070" t="str">
        <f t="shared" si="163"/>
        <v/>
      </c>
      <c r="HG678" s="1070" t="str">
        <f t="shared" si="164"/>
        <v/>
      </c>
      <c r="HH678" s="1070" t="str">
        <f t="shared" si="165"/>
        <v/>
      </c>
      <c r="HI678" s="1070" t="str">
        <f t="shared" si="166"/>
        <v/>
      </c>
      <c r="HJ678" s="1070" t="str">
        <f t="shared" si="167"/>
        <v/>
      </c>
      <c r="HK678" s="1070" t="str">
        <f t="shared" si="168"/>
        <v/>
      </c>
      <c r="HL678" s="1070" t="str">
        <f t="shared" si="169"/>
        <v/>
      </c>
      <c r="HM678" s="1070" t="str">
        <f t="shared" si="170"/>
        <v/>
      </c>
    </row>
    <row r="679" spans="1:221" ht="13.15" customHeight="1">
      <c r="A679" s="1082" t="str">
        <f t="shared" si="171"/>
        <v/>
      </c>
      <c r="B679" s="1035" t="str">
        <f>'Part VI-Revenues &amp; Expenses'!B45</f>
        <v>&lt;&lt;Select&gt;&gt;</v>
      </c>
      <c r="C679" s="1036">
        <f>'Part VI-Revenues &amp; Expenses'!C45</f>
        <v>0</v>
      </c>
      <c r="D679" s="1037">
        <f>'Part VI-Revenues &amp; Expenses'!D45</f>
        <v>0</v>
      </c>
      <c r="E679" s="1038">
        <f>'Part VI-Revenues &amp; Expenses'!E45</f>
        <v>0</v>
      </c>
      <c r="F679" s="1038">
        <f>'Part VI-Revenues &amp; Expenses'!F45</f>
        <v>0</v>
      </c>
      <c r="G679" s="1038">
        <f>'Part VI-Revenues &amp; Expenses'!G45</f>
        <v>0</v>
      </c>
      <c r="H679" s="1038">
        <f>'Part VI-Revenues &amp; Expenses'!H45</f>
        <v>0</v>
      </c>
      <c r="I679" s="1038">
        <f>'Part VI-Revenues &amp; Expenses'!I45</f>
        <v>0</v>
      </c>
      <c r="J679" s="1101">
        <f>'Part VI-Revenues &amp; Expenses'!J45</f>
        <v>0</v>
      </c>
      <c r="K679" s="906">
        <f t="shared" si="205"/>
        <v>0</v>
      </c>
      <c r="L679" s="906">
        <f t="shared" si="0"/>
        <v>0</v>
      </c>
      <c r="M679" s="829">
        <f>'Part VI-Revenues &amp; Expenses'!M45</f>
        <v>0</v>
      </c>
      <c r="N679" s="829">
        <f>'Part VI-Revenues &amp; Expenses'!N45</f>
        <v>0</v>
      </c>
      <c r="O679" s="829">
        <f>'Part VI-Revenues &amp; Expenses'!O45</f>
        <v>0</v>
      </c>
      <c r="P679" s="907">
        <f t="shared" si="203"/>
        <v>0</v>
      </c>
      <c r="Q679" s="908" t="str">
        <f>'Part VI-Revenues &amp; Expenses'!Q45</f>
        <v/>
      </c>
      <c r="R679" s="907"/>
      <c r="S679" s="908"/>
      <c r="T679" s="1575"/>
      <c r="U679" s="1575"/>
      <c r="V679" s="1070" t="str">
        <f t="shared" si="1"/>
        <v/>
      </c>
      <c r="W679" s="1070" t="str">
        <f t="shared" si="2"/>
        <v/>
      </c>
      <c r="X679" s="1070" t="str">
        <f t="shared" si="3"/>
        <v/>
      </c>
      <c r="Y679" s="1070" t="str">
        <f t="shared" si="4"/>
        <v/>
      </c>
      <c r="Z679" s="1070" t="str">
        <f t="shared" si="5"/>
        <v/>
      </c>
      <c r="AA679" s="1070" t="str">
        <f t="shared" si="6"/>
        <v/>
      </c>
      <c r="AB679" s="1070" t="str">
        <f t="shared" si="7"/>
        <v/>
      </c>
      <c r="AC679" s="1070" t="str">
        <f t="shared" si="8"/>
        <v/>
      </c>
      <c r="AD679" s="1070" t="str">
        <f t="shared" si="9"/>
        <v/>
      </c>
      <c r="AE679" s="1070" t="str">
        <f t="shared" si="10"/>
        <v/>
      </c>
      <c r="AF679" s="1070" t="str">
        <f t="shared" si="11"/>
        <v/>
      </c>
      <c r="AG679" s="1070" t="str">
        <f t="shared" si="12"/>
        <v/>
      </c>
      <c r="AH679" s="1070" t="str">
        <f t="shared" si="13"/>
        <v/>
      </c>
      <c r="AI679" s="1070" t="str">
        <f t="shared" si="14"/>
        <v/>
      </c>
      <c r="AJ679" s="1070" t="str">
        <f t="shared" si="15"/>
        <v/>
      </c>
      <c r="AK679" s="1070" t="str">
        <f t="shared" si="16"/>
        <v/>
      </c>
      <c r="AL679" s="1070" t="str">
        <f t="shared" si="17"/>
        <v/>
      </c>
      <c r="AM679" s="1070" t="str">
        <f t="shared" si="18"/>
        <v/>
      </c>
      <c r="AN679" s="1070" t="str">
        <f t="shared" si="19"/>
        <v/>
      </c>
      <c r="AO679" s="1070" t="str">
        <f t="shared" si="20"/>
        <v/>
      </c>
      <c r="AP679" s="1070" t="str">
        <f t="shared" si="173"/>
        <v/>
      </c>
      <c r="AQ679" s="1070" t="str">
        <f t="shared" si="174"/>
        <v/>
      </c>
      <c r="AR679" s="1070" t="str">
        <f t="shared" si="175"/>
        <v/>
      </c>
      <c r="AS679" s="1070" t="str">
        <f t="shared" si="176"/>
        <v/>
      </c>
      <c r="AT679" s="1070" t="str">
        <f t="shared" si="177"/>
        <v/>
      </c>
      <c r="AU679" s="1070" t="str">
        <f t="shared" si="178"/>
        <v/>
      </c>
      <c r="AV679" s="1070" t="str">
        <f t="shared" si="179"/>
        <v/>
      </c>
      <c r="AW679" s="1070" t="str">
        <f t="shared" si="180"/>
        <v/>
      </c>
      <c r="AX679" s="1070" t="str">
        <f t="shared" si="181"/>
        <v/>
      </c>
      <c r="AY679" s="1070" t="str">
        <f t="shared" si="182"/>
        <v/>
      </c>
      <c r="AZ679" s="1070" t="str">
        <f t="shared" si="183"/>
        <v/>
      </c>
      <c r="BA679" s="1070" t="str">
        <f t="shared" si="184"/>
        <v/>
      </c>
      <c r="BB679" s="1070" t="str">
        <f t="shared" si="185"/>
        <v/>
      </c>
      <c r="BC679" s="1070" t="str">
        <f t="shared" si="186"/>
        <v/>
      </c>
      <c r="BD679" s="1070" t="str">
        <f t="shared" si="187"/>
        <v/>
      </c>
      <c r="BE679" s="1070" t="str">
        <f t="shared" si="188"/>
        <v/>
      </c>
      <c r="BF679" s="1070" t="str">
        <f t="shared" si="189"/>
        <v/>
      </c>
      <c r="BG679" s="1070" t="str">
        <f t="shared" si="190"/>
        <v/>
      </c>
      <c r="BH679" s="1070" t="str">
        <f t="shared" si="191"/>
        <v/>
      </c>
      <c r="BI679" s="1070" t="str">
        <f t="shared" si="192"/>
        <v/>
      </c>
      <c r="BJ679" s="1070" t="str">
        <f t="shared" si="193"/>
        <v/>
      </c>
      <c r="BK679" s="1070" t="str">
        <f t="shared" si="194"/>
        <v/>
      </c>
      <c r="BL679" s="1070" t="str">
        <f t="shared" si="195"/>
        <v/>
      </c>
      <c r="BM679" s="1070" t="str">
        <f t="shared" si="196"/>
        <v/>
      </c>
      <c r="BN679" s="1070" t="str">
        <f t="shared" si="197"/>
        <v/>
      </c>
      <c r="BO679" s="1070" t="str">
        <f t="shared" si="198"/>
        <v/>
      </c>
      <c r="BP679" s="1070" t="str">
        <f t="shared" si="199"/>
        <v/>
      </c>
      <c r="BQ679" s="1070" t="str">
        <f t="shared" si="200"/>
        <v/>
      </c>
      <c r="BR679" s="1070" t="str">
        <f t="shared" si="201"/>
        <v/>
      </c>
      <c r="BS679" s="1070" t="str">
        <f t="shared" si="202"/>
        <v/>
      </c>
      <c r="BT679" s="1070" t="str">
        <f t="shared" si="21"/>
        <v/>
      </c>
      <c r="BU679" s="1070" t="str">
        <f t="shared" si="22"/>
        <v/>
      </c>
      <c r="BV679" s="1070" t="str">
        <f t="shared" si="23"/>
        <v/>
      </c>
      <c r="BW679" s="1070" t="str">
        <f t="shared" si="24"/>
        <v/>
      </c>
      <c r="BX679" s="1070" t="str">
        <f t="shared" si="25"/>
        <v/>
      </c>
      <c r="BY679" s="1070" t="str">
        <f t="shared" si="26"/>
        <v/>
      </c>
      <c r="BZ679" s="1070" t="str">
        <f t="shared" si="27"/>
        <v/>
      </c>
      <c r="CA679" s="1070" t="str">
        <f t="shared" si="28"/>
        <v/>
      </c>
      <c r="CB679" s="1070" t="str">
        <f t="shared" si="29"/>
        <v/>
      </c>
      <c r="CC679" s="1070" t="str">
        <f t="shared" si="30"/>
        <v/>
      </c>
      <c r="CD679" s="1070" t="str">
        <f t="shared" si="31"/>
        <v/>
      </c>
      <c r="CE679" s="1070" t="str">
        <f t="shared" si="32"/>
        <v/>
      </c>
      <c r="CF679" s="1070" t="str">
        <f t="shared" si="33"/>
        <v/>
      </c>
      <c r="CG679" s="1070" t="str">
        <f t="shared" si="34"/>
        <v/>
      </c>
      <c r="CH679" s="1070" t="str">
        <f t="shared" si="35"/>
        <v/>
      </c>
      <c r="CI679" s="1070" t="str">
        <f t="shared" si="36"/>
        <v/>
      </c>
      <c r="CJ679" s="1070" t="str">
        <f t="shared" si="37"/>
        <v/>
      </c>
      <c r="CK679" s="1070" t="str">
        <f t="shared" si="38"/>
        <v/>
      </c>
      <c r="CL679" s="1070" t="str">
        <f t="shared" si="39"/>
        <v/>
      </c>
      <c r="CM679" s="1070" t="str">
        <f t="shared" si="40"/>
        <v/>
      </c>
      <c r="CN679" s="1070" t="str">
        <f t="shared" si="41"/>
        <v/>
      </c>
      <c r="CO679" s="1070" t="str">
        <f t="shared" si="42"/>
        <v/>
      </c>
      <c r="CP679" s="1070" t="str">
        <f t="shared" si="43"/>
        <v/>
      </c>
      <c r="CQ679" s="1070" t="str">
        <f t="shared" si="44"/>
        <v/>
      </c>
      <c r="CR679" s="1070" t="str">
        <f t="shared" si="45"/>
        <v/>
      </c>
      <c r="CS679" s="1070" t="str">
        <f t="shared" si="46"/>
        <v/>
      </c>
      <c r="CT679" s="1070" t="str">
        <f t="shared" si="47"/>
        <v/>
      </c>
      <c r="CU679" s="1070" t="str">
        <f t="shared" si="48"/>
        <v/>
      </c>
      <c r="CV679" s="1070" t="str">
        <f t="shared" si="49"/>
        <v/>
      </c>
      <c r="CW679" s="1070" t="str">
        <f t="shared" si="50"/>
        <v/>
      </c>
      <c r="CX679" s="1070" t="str">
        <f t="shared" si="51"/>
        <v/>
      </c>
      <c r="CY679" s="1070" t="str">
        <f t="shared" si="52"/>
        <v/>
      </c>
      <c r="CZ679" s="1070" t="str">
        <f t="shared" si="53"/>
        <v/>
      </c>
      <c r="DA679" s="1070" t="str">
        <f t="shared" si="54"/>
        <v/>
      </c>
      <c r="DB679" s="1070" t="str">
        <f t="shared" si="55"/>
        <v/>
      </c>
      <c r="DC679" s="1070" t="str">
        <f t="shared" si="56"/>
        <v/>
      </c>
      <c r="DD679" s="1070" t="str">
        <f t="shared" si="57"/>
        <v/>
      </c>
      <c r="DE679" s="1070" t="str">
        <f t="shared" si="58"/>
        <v/>
      </c>
      <c r="DF679" s="1070" t="str">
        <f t="shared" si="59"/>
        <v/>
      </c>
      <c r="DG679" s="1070" t="str">
        <f t="shared" si="60"/>
        <v/>
      </c>
      <c r="DH679" s="1070" t="str">
        <f t="shared" si="61"/>
        <v/>
      </c>
      <c r="DI679" s="1070" t="str">
        <f t="shared" si="62"/>
        <v/>
      </c>
      <c r="DJ679" s="1070" t="str">
        <f t="shared" si="63"/>
        <v/>
      </c>
      <c r="DK679" s="1070" t="str">
        <f t="shared" si="64"/>
        <v/>
      </c>
      <c r="DL679" s="1070" t="str">
        <f t="shared" si="65"/>
        <v/>
      </c>
      <c r="DM679" s="1070" t="str">
        <f t="shared" si="66"/>
        <v/>
      </c>
      <c r="DN679" s="1070" t="str">
        <f t="shared" si="67"/>
        <v/>
      </c>
      <c r="DO679" s="1070" t="str">
        <f t="shared" si="68"/>
        <v/>
      </c>
      <c r="DP679" s="1070" t="str">
        <f t="shared" si="69"/>
        <v/>
      </c>
      <c r="DQ679" s="1070" t="str">
        <f t="shared" si="70"/>
        <v/>
      </c>
      <c r="DR679" s="1070" t="str">
        <f t="shared" si="71"/>
        <v/>
      </c>
      <c r="DS679" s="1070" t="str">
        <f t="shared" si="72"/>
        <v/>
      </c>
      <c r="DT679" s="1070" t="str">
        <f t="shared" si="73"/>
        <v/>
      </c>
      <c r="DU679" s="1070" t="str">
        <f t="shared" si="74"/>
        <v/>
      </c>
      <c r="DV679" s="1070" t="str">
        <f t="shared" si="75"/>
        <v/>
      </c>
      <c r="DW679" s="1070" t="str">
        <f t="shared" si="76"/>
        <v/>
      </c>
      <c r="DX679" s="1070" t="str">
        <f t="shared" si="77"/>
        <v/>
      </c>
      <c r="DY679" s="1070" t="str">
        <f t="shared" si="78"/>
        <v/>
      </c>
      <c r="DZ679" s="1070" t="str">
        <f t="shared" si="79"/>
        <v/>
      </c>
      <c r="EA679" s="1070" t="str">
        <f t="shared" si="80"/>
        <v/>
      </c>
      <c r="EB679" s="1070" t="str">
        <f t="shared" si="81"/>
        <v/>
      </c>
      <c r="EC679" s="1070" t="str">
        <f t="shared" si="82"/>
        <v/>
      </c>
      <c r="ED679" s="1070" t="str">
        <f t="shared" si="83"/>
        <v/>
      </c>
      <c r="EE679" s="1070" t="str">
        <f t="shared" si="84"/>
        <v/>
      </c>
      <c r="EF679" s="1070" t="str">
        <f t="shared" si="85"/>
        <v/>
      </c>
      <c r="EG679" s="1070" t="str">
        <f t="shared" si="86"/>
        <v/>
      </c>
      <c r="EH679" s="1070" t="str">
        <f t="shared" si="87"/>
        <v/>
      </c>
      <c r="EI679" s="1070" t="str">
        <f t="shared" si="88"/>
        <v/>
      </c>
      <c r="EJ679" s="1070" t="str">
        <f t="shared" si="89"/>
        <v/>
      </c>
      <c r="EK679" s="1070" t="str">
        <f t="shared" si="90"/>
        <v/>
      </c>
      <c r="EL679" s="1070" t="str">
        <f t="shared" si="91"/>
        <v/>
      </c>
      <c r="EM679" s="1070" t="str">
        <f t="shared" si="92"/>
        <v/>
      </c>
      <c r="EN679" s="1070" t="str">
        <f t="shared" si="93"/>
        <v/>
      </c>
      <c r="EO679" s="1070" t="str">
        <f t="shared" si="94"/>
        <v/>
      </c>
      <c r="EP679" s="1070" t="str">
        <f t="shared" si="95"/>
        <v/>
      </c>
      <c r="EQ679" s="1070" t="str">
        <f t="shared" si="96"/>
        <v/>
      </c>
      <c r="ER679" s="1070" t="str">
        <f t="shared" si="97"/>
        <v/>
      </c>
      <c r="ES679" s="1070" t="str">
        <f t="shared" si="98"/>
        <v/>
      </c>
      <c r="ET679" s="1070" t="str">
        <f t="shared" si="99"/>
        <v/>
      </c>
      <c r="EU679" s="1070" t="str">
        <f t="shared" si="100"/>
        <v/>
      </c>
      <c r="EV679" s="831" t="str">
        <f t="shared" si="101"/>
        <v/>
      </c>
      <c r="EW679" s="831" t="str">
        <f t="shared" si="102"/>
        <v/>
      </c>
      <c r="EX679" s="831" t="str">
        <f t="shared" si="103"/>
        <v/>
      </c>
      <c r="EY679" s="831" t="str">
        <f t="shared" si="104"/>
        <v/>
      </c>
      <c r="EZ679" s="831" t="str">
        <f t="shared" si="105"/>
        <v/>
      </c>
      <c r="FA679" s="831" t="str">
        <f t="shared" si="106"/>
        <v/>
      </c>
      <c r="FB679" s="831" t="str">
        <f t="shared" si="107"/>
        <v/>
      </c>
      <c r="FC679" s="831" t="str">
        <f t="shared" si="108"/>
        <v/>
      </c>
      <c r="FD679" s="831" t="str">
        <f t="shared" si="109"/>
        <v/>
      </c>
      <c r="FE679" s="831" t="str">
        <f t="shared" si="110"/>
        <v/>
      </c>
      <c r="FF679" s="831" t="str">
        <f t="shared" si="111"/>
        <v/>
      </c>
      <c r="FG679" s="831" t="str">
        <f t="shared" si="112"/>
        <v/>
      </c>
      <c r="FH679" s="831" t="str">
        <f t="shared" si="113"/>
        <v/>
      </c>
      <c r="FI679" s="831" t="str">
        <f t="shared" si="114"/>
        <v/>
      </c>
      <c r="FJ679" s="831" t="str">
        <f t="shared" si="115"/>
        <v/>
      </c>
      <c r="FK679" s="831" t="str">
        <f t="shared" si="116"/>
        <v/>
      </c>
      <c r="FL679" s="831" t="str">
        <f t="shared" si="117"/>
        <v/>
      </c>
      <c r="FM679" s="831" t="str">
        <f t="shared" si="118"/>
        <v/>
      </c>
      <c r="FN679" s="831" t="str">
        <f t="shared" si="119"/>
        <v/>
      </c>
      <c r="FO679" s="831" t="str">
        <f t="shared" si="120"/>
        <v/>
      </c>
      <c r="FP679" s="831" t="str">
        <f t="shared" si="121"/>
        <v/>
      </c>
      <c r="FQ679" s="831" t="str">
        <f t="shared" si="122"/>
        <v/>
      </c>
      <c r="FR679" s="831" t="str">
        <f t="shared" si="123"/>
        <v/>
      </c>
      <c r="FS679" s="831" t="str">
        <f t="shared" si="124"/>
        <v/>
      </c>
      <c r="FT679" s="831" t="str">
        <f t="shared" si="125"/>
        <v/>
      </c>
      <c r="FU679" s="831" t="str">
        <f t="shared" si="126"/>
        <v/>
      </c>
      <c r="FV679" s="831" t="str">
        <f t="shared" si="127"/>
        <v/>
      </c>
      <c r="FW679" s="831" t="str">
        <f t="shared" si="128"/>
        <v/>
      </c>
      <c r="FX679" s="831" t="str">
        <f t="shared" si="129"/>
        <v/>
      </c>
      <c r="FY679" s="831" t="str">
        <f t="shared" si="130"/>
        <v/>
      </c>
      <c r="FZ679" s="831" t="str">
        <f t="shared" si="131"/>
        <v/>
      </c>
      <c r="GA679" s="831" t="str">
        <f t="shared" si="132"/>
        <v/>
      </c>
      <c r="GB679" s="831" t="str">
        <f t="shared" si="133"/>
        <v/>
      </c>
      <c r="GC679" s="831" t="str">
        <f t="shared" si="134"/>
        <v/>
      </c>
      <c r="GD679" s="831" t="str">
        <f t="shared" si="135"/>
        <v/>
      </c>
      <c r="GE679" s="831" t="str">
        <f t="shared" si="136"/>
        <v/>
      </c>
      <c r="GF679" s="831" t="str">
        <f t="shared" si="137"/>
        <v/>
      </c>
      <c r="GG679" s="831" t="str">
        <f t="shared" si="138"/>
        <v/>
      </c>
      <c r="GH679" s="831" t="str">
        <f t="shared" si="139"/>
        <v/>
      </c>
      <c r="GI679" s="831" t="str">
        <f t="shared" si="140"/>
        <v/>
      </c>
      <c r="GJ679" s="831" t="str">
        <f t="shared" si="141"/>
        <v/>
      </c>
      <c r="GK679" s="831" t="str">
        <f t="shared" si="142"/>
        <v/>
      </c>
      <c r="GL679" s="831" t="str">
        <f t="shared" si="143"/>
        <v/>
      </c>
      <c r="GM679" s="831" t="str">
        <f t="shared" si="144"/>
        <v/>
      </c>
      <c r="GN679" s="831" t="str">
        <f t="shared" si="145"/>
        <v/>
      </c>
      <c r="GO679" s="1113" t="str">
        <f t="shared" si="146"/>
        <v/>
      </c>
      <c r="GP679" s="1113" t="str">
        <f t="shared" si="147"/>
        <v/>
      </c>
      <c r="GQ679" s="1113" t="str">
        <f t="shared" si="148"/>
        <v/>
      </c>
      <c r="GR679" s="1113" t="str">
        <f t="shared" si="149"/>
        <v/>
      </c>
      <c r="GS679" s="1113" t="str">
        <f t="shared" si="150"/>
        <v/>
      </c>
      <c r="GT679" s="1070" t="str">
        <f t="shared" si="151"/>
        <v/>
      </c>
      <c r="GU679" s="1070" t="str">
        <f t="shared" si="152"/>
        <v/>
      </c>
      <c r="GV679" s="1070" t="str">
        <f t="shared" si="153"/>
        <v/>
      </c>
      <c r="GW679" s="1070" t="str">
        <f t="shared" si="154"/>
        <v/>
      </c>
      <c r="GX679" s="1070" t="str">
        <f t="shared" si="155"/>
        <v/>
      </c>
      <c r="GY679" s="1070" t="str">
        <f t="shared" si="156"/>
        <v/>
      </c>
      <c r="GZ679" s="1070" t="str">
        <f t="shared" si="157"/>
        <v/>
      </c>
      <c r="HA679" s="1070" t="str">
        <f t="shared" si="158"/>
        <v/>
      </c>
      <c r="HB679" s="1070" t="str">
        <f t="shared" si="159"/>
        <v/>
      </c>
      <c r="HC679" s="1070" t="str">
        <f t="shared" si="160"/>
        <v/>
      </c>
      <c r="HD679" s="1070" t="str">
        <f t="shared" si="161"/>
        <v/>
      </c>
      <c r="HE679" s="1070" t="str">
        <f t="shared" si="162"/>
        <v/>
      </c>
      <c r="HF679" s="1070" t="str">
        <f t="shared" si="163"/>
        <v/>
      </c>
      <c r="HG679" s="1070" t="str">
        <f t="shared" si="164"/>
        <v/>
      </c>
      <c r="HH679" s="1070" t="str">
        <f t="shared" si="165"/>
        <v/>
      </c>
      <c r="HI679" s="1070" t="str">
        <f t="shared" si="166"/>
        <v/>
      </c>
      <c r="HJ679" s="1070" t="str">
        <f t="shared" si="167"/>
        <v/>
      </c>
      <c r="HK679" s="1070" t="str">
        <f t="shared" si="168"/>
        <v/>
      </c>
      <c r="HL679" s="1070" t="str">
        <f t="shared" si="169"/>
        <v/>
      </c>
      <c r="HM679" s="1070" t="str">
        <f t="shared" si="170"/>
        <v/>
      </c>
    </row>
    <row r="680" spans="1:221" ht="13.15" customHeight="1">
      <c r="A680" s="1082" t="str">
        <f t="shared" si="171"/>
        <v/>
      </c>
      <c r="B680" s="1035" t="str">
        <f>'Part VI-Revenues &amp; Expenses'!B46</f>
        <v>&lt;&lt;Select&gt;&gt;</v>
      </c>
      <c r="C680" s="1036">
        <f>'Part VI-Revenues &amp; Expenses'!C46</f>
        <v>0</v>
      </c>
      <c r="D680" s="1037">
        <f>'Part VI-Revenues &amp; Expenses'!D46</f>
        <v>0</v>
      </c>
      <c r="E680" s="1038">
        <f>'Part VI-Revenues &amp; Expenses'!E46</f>
        <v>0</v>
      </c>
      <c r="F680" s="1038">
        <f>'Part VI-Revenues &amp; Expenses'!F46</f>
        <v>0</v>
      </c>
      <c r="G680" s="1038">
        <f>'Part VI-Revenues &amp; Expenses'!G46</f>
        <v>0</v>
      </c>
      <c r="H680" s="1038">
        <f>'Part VI-Revenues &amp; Expenses'!H46</f>
        <v>0</v>
      </c>
      <c r="I680" s="1038">
        <f>'Part VI-Revenues &amp; Expenses'!I46</f>
        <v>0</v>
      </c>
      <c r="J680" s="1101">
        <f>'Part VI-Revenues &amp; Expenses'!J46</f>
        <v>0</v>
      </c>
      <c r="K680" s="906">
        <f t="shared" si="205"/>
        <v>0</v>
      </c>
      <c r="L680" s="906">
        <f t="shared" si="0"/>
        <v>0</v>
      </c>
      <c r="M680" s="829">
        <f>'Part VI-Revenues &amp; Expenses'!M46</f>
        <v>0</v>
      </c>
      <c r="N680" s="829">
        <f>'Part VI-Revenues &amp; Expenses'!N46</f>
        <v>0</v>
      </c>
      <c r="O680" s="829">
        <f>'Part VI-Revenues &amp; Expenses'!O46</f>
        <v>0</v>
      </c>
      <c r="P680" s="907">
        <f t="shared" si="203"/>
        <v>0</v>
      </c>
      <c r="Q680" s="908" t="str">
        <f>'Part VI-Revenues &amp; Expenses'!Q46</f>
        <v/>
      </c>
      <c r="R680" s="907"/>
      <c r="S680" s="908"/>
      <c r="T680" s="1575"/>
      <c r="U680" s="1575"/>
      <c r="V680" s="1070" t="str">
        <f t="shared" si="1"/>
        <v/>
      </c>
      <c r="W680" s="1070" t="str">
        <f t="shared" si="2"/>
        <v/>
      </c>
      <c r="X680" s="1070" t="str">
        <f t="shared" si="3"/>
        <v/>
      </c>
      <c r="Y680" s="1070" t="str">
        <f t="shared" si="4"/>
        <v/>
      </c>
      <c r="Z680" s="1070" t="str">
        <f t="shared" si="5"/>
        <v/>
      </c>
      <c r="AA680" s="1070" t="str">
        <f t="shared" si="6"/>
        <v/>
      </c>
      <c r="AB680" s="1070" t="str">
        <f t="shared" si="7"/>
        <v/>
      </c>
      <c r="AC680" s="1070" t="str">
        <f t="shared" si="8"/>
        <v/>
      </c>
      <c r="AD680" s="1070" t="str">
        <f t="shared" si="9"/>
        <v/>
      </c>
      <c r="AE680" s="1070" t="str">
        <f t="shared" si="10"/>
        <v/>
      </c>
      <c r="AF680" s="1070" t="str">
        <f t="shared" si="11"/>
        <v/>
      </c>
      <c r="AG680" s="1070" t="str">
        <f t="shared" si="12"/>
        <v/>
      </c>
      <c r="AH680" s="1070" t="str">
        <f t="shared" si="13"/>
        <v/>
      </c>
      <c r="AI680" s="1070" t="str">
        <f t="shared" si="14"/>
        <v/>
      </c>
      <c r="AJ680" s="1070" t="str">
        <f t="shared" si="15"/>
        <v/>
      </c>
      <c r="AK680" s="1070" t="str">
        <f t="shared" si="16"/>
        <v/>
      </c>
      <c r="AL680" s="1070" t="str">
        <f t="shared" si="17"/>
        <v/>
      </c>
      <c r="AM680" s="1070" t="str">
        <f t="shared" si="18"/>
        <v/>
      </c>
      <c r="AN680" s="1070" t="str">
        <f t="shared" si="19"/>
        <v/>
      </c>
      <c r="AO680" s="1070" t="str">
        <f t="shared" si="20"/>
        <v/>
      </c>
      <c r="AP680" s="1070" t="str">
        <f t="shared" si="173"/>
        <v/>
      </c>
      <c r="AQ680" s="1070" t="str">
        <f t="shared" si="174"/>
        <v/>
      </c>
      <c r="AR680" s="1070" t="str">
        <f t="shared" si="175"/>
        <v/>
      </c>
      <c r="AS680" s="1070" t="str">
        <f t="shared" si="176"/>
        <v/>
      </c>
      <c r="AT680" s="1070" t="str">
        <f t="shared" si="177"/>
        <v/>
      </c>
      <c r="AU680" s="1070" t="str">
        <f t="shared" si="178"/>
        <v/>
      </c>
      <c r="AV680" s="1070" t="str">
        <f t="shared" si="179"/>
        <v/>
      </c>
      <c r="AW680" s="1070" t="str">
        <f t="shared" si="180"/>
        <v/>
      </c>
      <c r="AX680" s="1070" t="str">
        <f t="shared" si="181"/>
        <v/>
      </c>
      <c r="AY680" s="1070" t="str">
        <f t="shared" si="182"/>
        <v/>
      </c>
      <c r="AZ680" s="1070" t="str">
        <f t="shared" si="183"/>
        <v/>
      </c>
      <c r="BA680" s="1070" t="str">
        <f t="shared" si="184"/>
        <v/>
      </c>
      <c r="BB680" s="1070" t="str">
        <f t="shared" si="185"/>
        <v/>
      </c>
      <c r="BC680" s="1070" t="str">
        <f t="shared" si="186"/>
        <v/>
      </c>
      <c r="BD680" s="1070" t="str">
        <f t="shared" si="187"/>
        <v/>
      </c>
      <c r="BE680" s="1070" t="str">
        <f t="shared" si="188"/>
        <v/>
      </c>
      <c r="BF680" s="1070" t="str">
        <f t="shared" si="189"/>
        <v/>
      </c>
      <c r="BG680" s="1070" t="str">
        <f t="shared" si="190"/>
        <v/>
      </c>
      <c r="BH680" s="1070" t="str">
        <f t="shared" si="191"/>
        <v/>
      </c>
      <c r="BI680" s="1070" t="str">
        <f t="shared" si="192"/>
        <v/>
      </c>
      <c r="BJ680" s="1070" t="str">
        <f t="shared" si="193"/>
        <v/>
      </c>
      <c r="BK680" s="1070" t="str">
        <f t="shared" si="194"/>
        <v/>
      </c>
      <c r="BL680" s="1070" t="str">
        <f t="shared" si="195"/>
        <v/>
      </c>
      <c r="BM680" s="1070" t="str">
        <f t="shared" si="196"/>
        <v/>
      </c>
      <c r="BN680" s="1070" t="str">
        <f t="shared" si="197"/>
        <v/>
      </c>
      <c r="BO680" s="1070" t="str">
        <f t="shared" si="198"/>
        <v/>
      </c>
      <c r="BP680" s="1070" t="str">
        <f t="shared" si="199"/>
        <v/>
      </c>
      <c r="BQ680" s="1070" t="str">
        <f t="shared" si="200"/>
        <v/>
      </c>
      <c r="BR680" s="1070" t="str">
        <f t="shared" si="201"/>
        <v/>
      </c>
      <c r="BS680" s="1070" t="str">
        <f t="shared" si="202"/>
        <v/>
      </c>
      <c r="BT680" s="1070" t="str">
        <f t="shared" si="21"/>
        <v/>
      </c>
      <c r="BU680" s="1070" t="str">
        <f t="shared" si="22"/>
        <v/>
      </c>
      <c r="BV680" s="1070" t="str">
        <f t="shared" si="23"/>
        <v/>
      </c>
      <c r="BW680" s="1070" t="str">
        <f t="shared" si="24"/>
        <v/>
      </c>
      <c r="BX680" s="1070" t="str">
        <f t="shared" si="25"/>
        <v/>
      </c>
      <c r="BY680" s="1070" t="str">
        <f t="shared" si="26"/>
        <v/>
      </c>
      <c r="BZ680" s="1070" t="str">
        <f t="shared" si="27"/>
        <v/>
      </c>
      <c r="CA680" s="1070" t="str">
        <f t="shared" si="28"/>
        <v/>
      </c>
      <c r="CB680" s="1070" t="str">
        <f t="shared" si="29"/>
        <v/>
      </c>
      <c r="CC680" s="1070" t="str">
        <f t="shared" si="30"/>
        <v/>
      </c>
      <c r="CD680" s="1070" t="str">
        <f t="shared" si="31"/>
        <v/>
      </c>
      <c r="CE680" s="1070" t="str">
        <f t="shared" si="32"/>
        <v/>
      </c>
      <c r="CF680" s="1070" t="str">
        <f t="shared" si="33"/>
        <v/>
      </c>
      <c r="CG680" s="1070" t="str">
        <f t="shared" si="34"/>
        <v/>
      </c>
      <c r="CH680" s="1070" t="str">
        <f t="shared" si="35"/>
        <v/>
      </c>
      <c r="CI680" s="1070" t="str">
        <f t="shared" si="36"/>
        <v/>
      </c>
      <c r="CJ680" s="1070" t="str">
        <f t="shared" si="37"/>
        <v/>
      </c>
      <c r="CK680" s="1070" t="str">
        <f t="shared" si="38"/>
        <v/>
      </c>
      <c r="CL680" s="1070" t="str">
        <f t="shared" si="39"/>
        <v/>
      </c>
      <c r="CM680" s="1070" t="str">
        <f t="shared" si="40"/>
        <v/>
      </c>
      <c r="CN680" s="1070" t="str">
        <f t="shared" si="41"/>
        <v/>
      </c>
      <c r="CO680" s="1070" t="str">
        <f t="shared" si="42"/>
        <v/>
      </c>
      <c r="CP680" s="1070" t="str">
        <f t="shared" si="43"/>
        <v/>
      </c>
      <c r="CQ680" s="1070" t="str">
        <f t="shared" si="44"/>
        <v/>
      </c>
      <c r="CR680" s="1070" t="str">
        <f t="shared" si="45"/>
        <v/>
      </c>
      <c r="CS680" s="1070" t="str">
        <f t="shared" si="46"/>
        <v/>
      </c>
      <c r="CT680" s="1070" t="str">
        <f t="shared" si="47"/>
        <v/>
      </c>
      <c r="CU680" s="1070" t="str">
        <f t="shared" si="48"/>
        <v/>
      </c>
      <c r="CV680" s="1070" t="str">
        <f t="shared" si="49"/>
        <v/>
      </c>
      <c r="CW680" s="1070" t="str">
        <f t="shared" si="50"/>
        <v/>
      </c>
      <c r="CX680" s="1070" t="str">
        <f t="shared" si="51"/>
        <v/>
      </c>
      <c r="CY680" s="1070" t="str">
        <f t="shared" si="52"/>
        <v/>
      </c>
      <c r="CZ680" s="1070" t="str">
        <f t="shared" si="53"/>
        <v/>
      </c>
      <c r="DA680" s="1070" t="str">
        <f t="shared" si="54"/>
        <v/>
      </c>
      <c r="DB680" s="1070" t="str">
        <f t="shared" si="55"/>
        <v/>
      </c>
      <c r="DC680" s="1070" t="str">
        <f t="shared" si="56"/>
        <v/>
      </c>
      <c r="DD680" s="1070" t="str">
        <f t="shared" si="57"/>
        <v/>
      </c>
      <c r="DE680" s="1070" t="str">
        <f t="shared" si="58"/>
        <v/>
      </c>
      <c r="DF680" s="1070" t="str">
        <f t="shared" si="59"/>
        <v/>
      </c>
      <c r="DG680" s="1070" t="str">
        <f t="shared" si="60"/>
        <v/>
      </c>
      <c r="DH680" s="1070" t="str">
        <f t="shared" si="61"/>
        <v/>
      </c>
      <c r="DI680" s="1070" t="str">
        <f t="shared" si="62"/>
        <v/>
      </c>
      <c r="DJ680" s="1070" t="str">
        <f t="shared" si="63"/>
        <v/>
      </c>
      <c r="DK680" s="1070" t="str">
        <f t="shared" si="64"/>
        <v/>
      </c>
      <c r="DL680" s="1070" t="str">
        <f t="shared" si="65"/>
        <v/>
      </c>
      <c r="DM680" s="1070" t="str">
        <f t="shared" si="66"/>
        <v/>
      </c>
      <c r="DN680" s="1070" t="str">
        <f t="shared" si="67"/>
        <v/>
      </c>
      <c r="DO680" s="1070" t="str">
        <f t="shared" si="68"/>
        <v/>
      </c>
      <c r="DP680" s="1070" t="str">
        <f t="shared" si="69"/>
        <v/>
      </c>
      <c r="DQ680" s="1070" t="str">
        <f t="shared" si="70"/>
        <v/>
      </c>
      <c r="DR680" s="1070" t="str">
        <f t="shared" si="71"/>
        <v/>
      </c>
      <c r="DS680" s="1070" t="str">
        <f t="shared" si="72"/>
        <v/>
      </c>
      <c r="DT680" s="1070" t="str">
        <f t="shared" si="73"/>
        <v/>
      </c>
      <c r="DU680" s="1070" t="str">
        <f t="shared" si="74"/>
        <v/>
      </c>
      <c r="DV680" s="1070" t="str">
        <f t="shared" si="75"/>
        <v/>
      </c>
      <c r="DW680" s="1070" t="str">
        <f t="shared" si="76"/>
        <v/>
      </c>
      <c r="DX680" s="1070" t="str">
        <f t="shared" si="77"/>
        <v/>
      </c>
      <c r="DY680" s="1070" t="str">
        <f t="shared" si="78"/>
        <v/>
      </c>
      <c r="DZ680" s="1070" t="str">
        <f t="shared" si="79"/>
        <v/>
      </c>
      <c r="EA680" s="1070" t="str">
        <f t="shared" si="80"/>
        <v/>
      </c>
      <c r="EB680" s="1070" t="str">
        <f t="shared" si="81"/>
        <v/>
      </c>
      <c r="EC680" s="1070" t="str">
        <f t="shared" si="82"/>
        <v/>
      </c>
      <c r="ED680" s="1070" t="str">
        <f t="shared" si="83"/>
        <v/>
      </c>
      <c r="EE680" s="1070" t="str">
        <f t="shared" si="84"/>
        <v/>
      </c>
      <c r="EF680" s="1070" t="str">
        <f t="shared" si="85"/>
        <v/>
      </c>
      <c r="EG680" s="1070" t="str">
        <f t="shared" si="86"/>
        <v/>
      </c>
      <c r="EH680" s="1070" t="str">
        <f t="shared" si="87"/>
        <v/>
      </c>
      <c r="EI680" s="1070" t="str">
        <f t="shared" si="88"/>
        <v/>
      </c>
      <c r="EJ680" s="1070" t="str">
        <f t="shared" si="89"/>
        <v/>
      </c>
      <c r="EK680" s="1070" t="str">
        <f t="shared" si="90"/>
        <v/>
      </c>
      <c r="EL680" s="1070" t="str">
        <f t="shared" si="91"/>
        <v/>
      </c>
      <c r="EM680" s="1070" t="str">
        <f t="shared" si="92"/>
        <v/>
      </c>
      <c r="EN680" s="1070" t="str">
        <f t="shared" si="93"/>
        <v/>
      </c>
      <c r="EO680" s="1070" t="str">
        <f t="shared" si="94"/>
        <v/>
      </c>
      <c r="EP680" s="1070" t="str">
        <f t="shared" si="95"/>
        <v/>
      </c>
      <c r="EQ680" s="1070" t="str">
        <f t="shared" si="96"/>
        <v/>
      </c>
      <c r="ER680" s="1070" t="str">
        <f t="shared" si="97"/>
        <v/>
      </c>
      <c r="ES680" s="1070" t="str">
        <f t="shared" si="98"/>
        <v/>
      </c>
      <c r="ET680" s="1070" t="str">
        <f t="shared" si="99"/>
        <v/>
      </c>
      <c r="EU680" s="1070" t="str">
        <f t="shared" si="100"/>
        <v/>
      </c>
      <c r="EV680" s="831" t="str">
        <f t="shared" si="101"/>
        <v/>
      </c>
      <c r="EW680" s="831" t="str">
        <f t="shared" si="102"/>
        <v/>
      </c>
      <c r="EX680" s="831" t="str">
        <f t="shared" si="103"/>
        <v/>
      </c>
      <c r="EY680" s="831" t="str">
        <f t="shared" si="104"/>
        <v/>
      </c>
      <c r="EZ680" s="831" t="str">
        <f t="shared" si="105"/>
        <v/>
      </c>
      <c r="FA680" s="831" t="str">
        <f t="shared" si="106"/>
        <v/>
      </c>
      <c r="FB680" s="831" t="str">
        <f t="shared" si="107"/>
        <v/>
      </c>
      <c r="FC680" s="831" t="str">
        <f t="shared" si="108"/>
        <v/>
      </c>
      <c r="FD680" s="831" t="str">
        <f t="shared" si="109"/>
        <v/>
      </c>
      <c r="FE680" s="831" t="str">
        <f t="shared" si="110"/>
        <v/>
      </c>
      <c r="FF680" s="831" t="str">
        <f t="shared" si="111"/>
        <v/>
      </c>
      <c r="FG680" s="831" t="str">
        <f t="shared" si="112"/>
        <v/>
      </c>
      <c r="FH680" s="831" t="str">
        <f t="shared" si="113"/>
        <v/>
      </c>
      <c r="FI680" s="831" t="str">
        <f t="shared" si="114"/>
        <v/>
      </c>
      <c r="FJ680" s="831" t="str">
        <f t="shared" si="115"/>
        <v/>
      </c>
      <c r="FK680" s="831" t="str">
        <f t="shared" si="116"/>
        <v/>
      </c>
      <c r="FL680" s="831" t="str">
        <f t="shared" si="117"/>
        <v/>
      </c>
      <c r="FM680" s="831" t="str">
        <f t="shared" si="118"/>
        <v/>
      </c>
      <c r="FN680" s="831" t="str">
        <f t="shared" si="119"/>
        <v/>
      </c>
      <c r="FO680" s="831" t="str">
        <f t="shared" si="120"/>
        <v/>
      </c>
      <c r="FP680" s="831" t="str">
        <f t="shared" si="121"/>
        <v/>
      </c>
      <c r="FQ680" s="831" t="str">
        <f t="shared" si="122"/>
        <v/>
      </c>
      <c r="FR680" s="831" t="str">
        <f t="shared" si="123"/>
        <v/>
      </c>
      <c r="FS680" s="831" t="str">
        <f t="shared" si="124"/>
        <v/>
      </c>
      <c r="FT680" s="831" t="str">
        <f t="shared" si="125"/>
        <v/>
      </c>
      <c r="FU680" s="831" t="str">
        <f t="shared" si="126"/>
        <v/>
      </c>
      <c r="FV680" s="831" t="str">
        <f t="shared" si="127"/>
        <v/>
      </c>
      <c r="FW680" s="831" t="str">
        <f t="shared" si="128"/>
        <v/>
      </c>
      <c r="FX680" s="831" t="str">
        <f t="shared" si="129"/>
        <v/>
      </c>
      <c r="FY680" s="831" t="str">
        <f t="shared" si="130"/>
        <v/>
      </c>
      <c r="FZ680" s="831" t="str">
        <f t="shared" si="131"/>
        <v/>
      </c>
      <c r="GA680" s="831" t="str">
        <f t="shared" si="132"/>
        <v/>
      </c>
      <c r="GB680" s="831" t="str">
        <f t="shared" si="133"/>
        <v/>
      </c>
      <c r="GC680" s="831" t="str">
        <f t="shared" si="134"/>
        <v/>
      </c>
      <c r="GD680" s="831" t="str">
        <f t="shared" si="135"/>
        <v/>
      </c>
      <c r="GE680" s="831" t="str">
        <f t="shared" si="136"/>
        <v/>
      </c>
      <c r="GF680" s="831" t="str">
        <f t="shared" si="137"/>
        <v/>
      </c>
      <c r="GG680" s="831" t="str">
        <f t="shared" si="138"/>
        <v/>
      </c>
      <c r="GH680" s="831" t="str">
        <f t="shared" si="139"/>
        <v/>
      </c>
      <c r="GI680" s="831" t="str">
        <f t="shared" si="140"/>
        <v/>
      </c>
      <c r="GJ680" s="831" t="str">
        <f t="shared" si="141"/>
        <v/>
      </c>
      <c r="GK680" s="831" t="str">
        <f t="shared" si="142"/>
        <v/>
      </c>
      <c r="GL680" s="831" t="str">
        <f t="shared" si="143"/>
        <v/>
      </c>
      <c r="GM680" s="831" t="str">
        <f t="shared" si="144"/>
        <v/>
      </c>
      <c r="GN680" s="831" t="str">
        <f t="shared" si="145"/>
        <v/>
      </c>
      <c r="GO680" s="1113" t="str">
        <f t="shared" si="146"/>
        <v/>
      </c>
      <c r="GP680" s="1113" t="str">
        <f t="shared" si="147"/>
        <v/>
      </c>
      <c r="GQ680" s="1113" t="str">
        <f t="shared" si="148"/>
        <v/>
      </c>
      <c r="GR680" s="1113" t="str">
        <f t="shared" si="149"/>
        <v/>
      </c>
      <c r="GS680" s="1113" t="str">
        <f t="shared" si="150"/>
        <v/>
      </c>
      <c r="GT680" s="1070" t="str">
        <f t="shared" si="151"/>
        <v/>
      </c>
      <c r="GU680" s="1070" t="str">
        <f t="shared" si="152"/>
        <v/>
      </c>
      <c r="GV680" s="1070" t="str">
        <f t="shared" si="153"/>
        <v/>
      </c>
      <c r="GW680" s="1070" t="str">
        <f t="shared" si="154"/>
        <v/>
      </c>
      <c r="GX680" s="1070" t="str">
        <f t="shared" si="155"/>
        <v/>
      </c>
      <c r="GY680" s="1070" t="str">
        <f t="shared" si="156"/>
        <v/>
      </c>
      <c r="GZ680" s="1070" t="str">
        <f t="shared" si="157"/>
        <v/>
      </c>
      <c r="HA680" s="1070" t="str">
        <f t="shared" si="158"/>
        <v/>
      </c>
      <c r="HB680" s="1070" t="str">
        <f t="shared" si="159"/>
        <v/>
      </c>
      <c r="HC680" s="1070" t="str">
        <f t="shared" si="160"/>
        <v/>
      </c>
      <c r="HD680" s="1070" t="str">
        <f t="shared" si="161"/>
        <v/>
      </c>
      <c r="HE680" s="1070" t="str">
        <f t="shared" si="162"/>
        <v/>
      </c>
      <c r="HF680" s="1070" t="str">
        <f t="shared" si="163"/>
        <v/>
      </c>
      <c r="HG680" s="1070" t="str">
        <f t="shared" si="164"/>
        <v/>
      </c>
      <c r="HH680" s="1070" t="str">
        <f t="shared" si="165"/>
        <v/>
      </c>
      <c r="HI680" s="1070" t="str">
        <f t="shared" si="166"/>
        <v/>
      </c>
      <c r="HJ680" s="1070" t="str">
        <f t="shared" si="167"/>
        <v/>
      </c>
      <c r="HK680" s="1070" t="str">
        <f t="shared" si="168"/>
        <v/>
      </c>
      <c r="HL680" s="1070" t="str">
        <f t="shared" si="169"/>
        <v/>
      </c>
      <c r="HM680" s="1070" t="str">
        <f t="shared" si="170"/>
        <v/>
      </c>
    </row>
    <row r="681" spans="1:221" ht="13.15" customHeight="1">
      <c r="A681" s="1082" t="str">
        <f t="shared" si="171"/>
        <v/>
      </c>
      <c r="B681" s="1035" t="str">
        <f>'Part VI-Revenues &amp; Expenses'!B47</f>
        <v>&lt;&lt;Select&gt;&gt;</v>
      </c>
      <c r="C681" s="1036">
        <f>'Part VI-Revenues &amp; Expenses'!C47</f>
        <v>0</v>
      </c>
      <c r="D681" s="1037">
        <f>'Part VI-Revenues &amp; Expenses'!D47</f>
        <v>0</v>
      </c>
      <c r="E681" s="1038">
        <f>'Part VI-Revenues &amp; Expenses'!E47</f>
        <v>0</v>
      </c>
      <c r="F681" s="1038">
        <f>'Part VI-Revenues &amp; Expenses'!F47</f>
        <v>0</v>
      </c>
      <c r="G681" s="1038">
        <f>'Part VI-Revenues &amp; Expenses'!G47</f>
        <v>0</v>
      </c>
      <c r="H681" s="1038">
        <f>'Part VI-Revenues &amp; Expenses'!H47</f>
        <v>0</v>
      </c>
      <c r="I681" s="1038">
        <f>'Part VI-Revenues &amp; Expenses'!I47</f>
        <v>0</v>
      </c>
      <c r="J681" s="1101">
        <f>'Part VI-Revenues &amp; Expenses'!J47</f>
        <v>0</v>
      </c>
      <c r="K681" s="906">
        <f t="shared" si="204"/>
        <v>0</v>
      </c>
      <c r="L681" s="906">
        <f t="shared" si="0"/>
        <v>0</v>
      </c>
      <c r="M681" s="829">
        <f>'Part VI-Revenues &amp; Expenses'!M47</f>
        <v>0</v>
      </c>
      <c r="N681" s="829">
        <f>'Part VI-Revenues &amp; Expenses'!N47</f>
        <v>0</v>
      </c>
      <c r="O681" s="829">
        <f>'Part VI-Revenues &amp; Expenses'!O47</f>
        <v>0</v>
      </c>
      <c r="P681" s="907">
        <f t="shared" si="203"/>
        <v>0</v>
      </c>
      <c r="Q681" s="908" t="str">
        <f>'Part VI-Revenues &amp; Expenses'!Q47</f>
        <v/>
      </c>
      <c r="R681" s="907"/>
      <c r="S681" s="908"/>
      <c r="T681" s="1575"/>
      <c r="U681" s="1575"/>
      <c r="V681" s="1070" t="str">
        <f t="shared" si="1"/>
        <v/>
      </c>
      <c r="W681" s="1070" t="str">
        <f t="shared" si="2"/>
        <v/>
      </c>
      <c r="X681" s="1070" t="str">
        <f t="shared" si="3"/>
        <v/>
      </c>
      <c r="Y681" s="1070" t="str">
        <f t="shared" si="4"/>
        <v/>
      </c>
      <c r="Z681" s="1070" t="str">
        <f t="shared" si="5"/>
        <v/>
      </c>
      <c r="AA681" s="1070" t="str">
        <f t="shared" si="6"/>
        <v/>
      </c>
      <c r="AB681" s="1070" t="str">
        <f t="shared" si="7"/>
        <v/>
      </c>
      <c r="AC681" s="1070" t="str">
        <f t="shared" si="8"/>
        <v/>
      </c>
      <c r="AD681" s="1070" t="str">
        <f t="shared" si="9"/>
        <v/>
      </c>
      <c r="AE681" s="1070" t="str">
        <f t="shared" si="10"/>
        <v/>
      </c>
      <c r="AF681" s="1070" t="str">
        <f t="shared" si="11"/>
        <v/>
      </c>
      <c r="AG681" s="1070" t="str">
        <f t="shared" si="12"/>
        <v/>
      </c>
      <c r="AH681" s="1070" t="str">
        <f t="shared" si="13"/>
        <v/>
      </c>
      <c r="AI681" s="1070" t="str">
        <f t="shared" si="14"/>
        <v/>
      </c>
      <c r="AJ681" s="1070" t="str">
        <f t="shared" si="15"/>
        <v/>
      </c>
      <c r="AK681" s="1070" t="str">
        <f t="shared" si="16"/>
        <v/>
      </c>
      <c r="AL681" s="1070" t="str">
        <f t="shared" si="17"/>
        <v/>
      </c>
      <c r="AM681" s="1070" t="str">
        <f t="shared" si="18"/>
        <v/>
      </c>
      <c r="AN681" s="1070" t="str">
        <f t="shared" si="19"/>
        <v/>
      </c>
      <c r="AO681" s="1070" t="str">
        <f t="shared" si="20"/>
        <v/>
      </c>
      <c r="AP681" s="1070" t="str">
        <f t="shared" si="173"/>
        <v/>
      </c>
      <c r="AQ681" s="1070" t="str">
        <f t="shared" si="174"/>
        <v/>
      </c>
      <c r="AR681" s="1070" t="str">
        <f t="shared" si="175"/>
        <v/>
      </c>
      <c r="AS681" s="1070" t="str">
        <f t="shared" si="176"/>
        <v/>
      </c>
      <c r="AT681" s="1070" t="str">
        <f t="shared" si="177"/>
        <v/>
      </c>
      <c r="AU681" s="1070" t="str">
        <f t="shared" si="178"/>
        <v/>
      </c>
      <c r="AV681" s="1070" t="str">
        <f t="shared" si="179"/>
        <v/>
      </c>
      <c r="AW681" s="1070" t="str">
        <f t="shared" si="180"/>
        <v/>
      </c>
      <c r="AX681" s="1070" t="str">
        <f t="shared" si="181"/>
        <v/>
      </c>
      <c r="AY681" s="1070" t="str">
        <f t="shared" si="182"/>
        <v/>
      </c>
      <c r="AZ681" s="1070" t="str">
        <f t="shared" si="183"/>
        <v/>
      </c>
      <c r="BA681" s="1070" t="str">
        <f t="shared" si="184"/>
        <v/>
      </c>
      <c r="BB681" s="1070" t="str">
        <f t="shared" si="185"/>
        <v/>
      </c>
      <c r="BC681" s="1070" t="str">
        <f t="shared" si="186"/>
        <v/>
      </c>
      <c r="BD681" s="1070" t="str">
        <f t="shared" si="187"/>
        <v/>
      </c>
      <c r="BE681" s="1070" t="str">
        <f t="shared" si="188"/>
        <v/>
      </c>
      <c r="BF681" s="1070" t="str">
        <f t="shared" si="189"/>
        <v/>
      </c>
      <c r="BG681" s="1070" t="str">
        <f t="shared" si="190"/>
        <v/>
      </c>
      <c r="BH681" s="1070" t="str">
        <f t="shared" si="191"/>
        <v/>
      </c>
      <c r="BI681" s="1070" t="str">
        <f t="shared" si="192"/>
        <v/>
      </c>
      <c r="BJ681" s="1070" t="str">
        <f t="shared" si="193"/>
        <v/>
      </c>
      <c r="BK681" s="1070" t="str">
        <f t="shared" si="194"/>
        <v/>
      </c>
      <c r="BL681" s="1070" t="str">
        <f t="shared" si="195"/>
        <v/>
      </c>
      <c r="BM681" s="1070" t="str">
        <f t="shared" si="196"/>
        <v/>
      </c>
      <c r="BN681" s="1070" t="str">
        <f t="shared" si="197"/>
        <v/>
      </c>
      <c r="BO681" s="1070" t="str">
        <f t="shared" si="198"/>
        <v/>
      </c>
      <c r="BP681" s="1070" t="str">
        <f t="shared" si="199"/>
        <v/>
      </c>
      <c r="BQ681" s="1070" t="str">
        <f t="shared" si="200"/>
        <v/>
      </c>
      <c r="BR681" s="1070" t="str">
        <f t="shared" si="201"/>
        <v/>
      </c>
      <c r="BS681" s="1070" t="str">
        <f t="shared" si="202"/>
        <v/>
      </c>
      <c r="BT681" s="1070" t="str">
        <f t="shared" si="21"/>
        <v/>
      </c>
      <c r="BU681" s="1070" t="str">
        <f t="shared" si="22"/>
        <v/>
      </c>
      <c r="BV681" s="1070" t="str">
        <f t="shared" si="23"/>
        <v/>
      </c>
      <c r="BW681" s="1070" t="str">
        <f t="shared" si="24"/>
        <v/>
      </c>
      <c r="BX681" s="1070" t="str">
        <f t="shared" si="25"/>
        <v/>
      </c>
      <c r="BY681" s="1070" t="str">
        <f t="shared" si="26"/>
        <v/>
      </c>
      <c r="BZ681" s="1070" t="str">
        <f t="shared" si="27"/>
        <v/>
      </c>
      <c r="CA681" s="1070" t="str">
        <f t="shared" si="28"/>
        <v/>
      </c>
      <c r="CB681" s="1070" t="str">
        <f t="shared" si="29"/>
        <v/>
      </c>
      <c r="CC681" s="1070" t="str">
        <f t="shared" si="30"/>
        <v/>
      </c>
      <c r="CD681" s="1070" t="str">
        <f t="shared" si="31"/>
        <v/>
      </c>
      <c r="CE681" s="1070" t="str">
        <f t="shared" si="32"/>
        <v/>
      </c>
      <c r="CF681" s="1070" t="str">
        <f t="shared" si="33"/>
        <v/>
      </c>
      <c r="CG681" s="1070" t="str">
        <f t="shared" si="34"/>
        <v/>
      </c>
      <c r="CH681" s="1070" t="str">
        <f t="shared" si="35"/>
        <v/>
      </c>
      <c r="CI681" s="1070" t="str">
        <f t="shared" si="36"/>
        <v/>
      </c>
      <c r="CJ681" s="1070" t="str">
        <f t="shared" si="37"/>
        <v/>
      </c>
      <c r="CK681" s="1070" t="str">
        <f t="shared" si="38"/>
        <v/>
      </c>
      <c r="CL681" s="1070" t="str">
        <f t="shared" si="39"/>
        <v/>
      </c>
      <c r="CM681" s="1070" t="str">
        <f t="shared" si="40"/>
        <v/>
      </c>
      <c r="CN681" s="1070" t="str">
        <f t="shared" si="41"/>
        <v/>
      </c>
      <c r="CO681" s="1070" t="str">
        <f t="shared" si="42"/>
        <v/>
      </c>
      <c r="CP681" s="1070" t="str">
        <f t="shared" si="43"/>
        <v/>
      </c>
      <c r="CQ681" s="1070" t="str">
        <f t="shared" si="44"/>
        <v/>
      </c>
      <c r="CR681" s="1070" t="str">
        <f t="shared" si="45"/>
        <v/>
      </c>
      <c r="CS681" s="1070" t="str">
        <f t="shared" si="46"/>
        <v/>
      </c>
      <c r="CT681" s="1070" t="str">
        <f t="shared" si="47"/>
        <v/>
      </c>
      <c r="CU681" s="1070" t="str">
        <f t="shared" si="48"/>
        <v/>
      </c>
      <c r="CV681" s="1070" t="str">
        <f t="shared" si="49"/>
        <v/>
      </c>
      <c r="CW681" s="1070" t="str">
        <f t="shared" si="50"/>
        <v/>
      </c>
      <c r="CX681" s="1070" t="str">
        <f t="shared" si="51"/>
        <v/>
      </c>
      <c r="CY681" s="1070" t="str">
        <f t="shared" si="52"/>
        <v/>
      </c>
      <c r="CZ681" s="1070" t="str">
        <f t="shared" si="53"/>
        <v/>
      </c>
      <c r="DA681" s="1070" t="str">
        <f t="shared" si="54"/>
        <v/>
      </c>
      <c r="DB681" s="1070" t="str">
        <f t="shared" si="55"/>
        <v/>
      </c>
      <c r="DC681" s="1070" t="str">
        <f t="shared" si="56"/>
        <v/>
      </c>
      <c r="DD681" s="1070" t="str">
        <f t="shared" si="57"/>
        <v/>
      </c>
      <c r="DE681" s="1070" t="str">
        <f t="shared" si="58"/>
        <v/>
      </c>
      <c r="DF681" s="1070" t="str">
        <f t="shared" si="59"/>
        <v/>
      </c>
      <c r="DG681" s="1070" t="str">
        <f t="shared" si="60"/>
        <v/>
      </c>
      <c r="DH681" s="1070" t="str">
        <f t="shared" si="61"/>
        <v/>
      </c>
      <c r="DI681" s="1070" t="str">
        <f t="shared" si="62"/>
        <v/>
      </c>
      <c r="DJ681" s="1070" t="str">
        <f t="shared" si="63"/>
        <v/>
      </c>
      <c r="DK681" s="1070" t="str">
        <f t="shared" si="64"/>
        <v/>
      </c>
      <c r="DL681" s="1070" t="str">
        <f t="shared" si="65"/>
        <v/>
      </c>
      <c r="DM681" s="1070" t="str">
        <f t="shared" si="66"/>
        <v/>
      </c>
      <c r="DN681" s="1070" t="str">
        <f t="shared" si="67"/>
        <v/>
      </c>
      <c r="DO681" s="1070" t="str">
        <f t="shared" si="68"/>
        <v/>
      </c>
      <c r="DP681" s="1070" t="str">
        <f t="shared" si="69"/>
        <v/>
      </c>
      <c r="DQ681" s="1070" t="str">
        <f t="shared" si="70"/>
        <v/>
      </c>
      <c r="DR681" s="1070" t="str">
        <f t="shared" si="71"/>
        <v/>
      </c>
      <c r="DS681" s="1070" t="str">
        <f t="shared" si="72"/>
        <v/>
      </c>
      <c r="DT681" s="1070" t="str">
        <f t="shared" si="73"/>
        <v/>
      </c>
      <c r="DU681" s="1070" t="str">
        <f t="shared" si="74"/>
        <v/>
      </c>
      <c r="DV681" s="1070" t="str">
        <f t="shared" si="75"/>
        <v/>
      </c>
      <c r="DW681" s="1070" t="str">
        <f t="shared" si="76"/>
        <v/>
      </c>
      <c r="DX681" s="1070" t="str">
        <f t="shared" si="77"/>
        <v/>
      </c>
      <c r="DY681" s="1070" t="str">
        <f t="shared" si="78"/>
        <v/>
      </c>
      <c r="DZ681" s="1070" t="str">
        <f t="shared" si="79"/>
        <v/>
      </c>
      <c r="EA681" s="1070" t="str">
        <f t="shared" si="80"/>
        <v/>
      </c>
      <c r="EB681" s="1070" t="str">
        <f t="shared" si="81"/>
        <v/>
      </c>
      <c r="EC681" s="1070" t="str">
        <f t="shared" si="82"/>
        <v/>
      </c>
      <c r="ED681" s="1070" t="str">
        <f t="shared" si="83"/>
        <v/>
      </c>
      <c r="EE681" s="1070" t="str">
        <f t="shared" si="84"/>
        <v/>
      </c>
      <c r="EF681" s="1070" t="str">
        <f t="shared" si="85"/>
        <v/>
      </c>
      <c r="EG681" s="1070" t="str">
        <f t="shared" si="86"/>
        <v/>
      </c>
      <c r="EH681" s="1070" t="str">
        <f t="shared" si="87"/>
        <v/>
      </c>
      <c r="EI681" s="1070" t="str">
        <f t="shared" si="88"/>
        <v/>
      </c>
      <c r="EJ681" s="1070" t="str">
        <f t="shared" si="89"/>
        <v/>
      </c>
      <c r="EK681" s="1070" t="str">
        <f t="shared" si="90"/>
        <v/>
      </c>
      <c r="EL681" s="1070" t="str">
        <f t="shared" si="91"/>
        <v/>
      </c>
      <c r="EM681" s="1070" t="str">
        <f t="shared" si="92"/>
        <v/>
      </c>
      <c r="EN681" s="1070" t="str">
        <f t="shared" si="93"/>
        <v/>
      </c>
      <c r="EO681" s="1070" t="str">
        <f t="shared" si="94"/>
        <v/>
      </c>
      <c r="EP681" s="1070" t="str">
        <f t="shared" si="95"/>
        <v/>
      </c>
      <c r="EQ681" s="1070" t="str">
        <f t="shared" si="96"/>
        <v/>
      </c>
      <c r="ER681" s="1070" t="str">
        <f t="shared" si="97"/>
        <v/>
      </c>
      <c r="ES681" s="1070" t="str">
        <f t="shared" si="98"/>
        <v/>
      </c>
      <c r="ET681" s="1070" t="str">
        <f t="shared" si="99"/>
        <v/>
      </c>
      <c r="EU681" s="1070" t="str">
        <f t="shared" si="100"/>
        <v/>
      </c>
      <c r="EV681" s="831" t="str">
        <f t="shared" si="101"/>
        <v/>
      </c>
      <c r="EW681" s="831" t="str">
        <f t="shared" si="102"/>
        <v/>
      </c>
      <c r="EX681" s="831" t="str">
        <f t="shared" si="103"/>
        <v/>
      </c>
      <c r="EY681" s="831" t="str">
        <f t="shared" si="104"/>
        <v/>
      </c>
      <c r="EZ681" s="831" t="str">
        <f t="shared" si="105"/>
        <v/>
      </c>
      <c r="FA681" s="831" t="str">
        <f t="shared" si="106"/>
        <v/>
      </c>
      <c r="FB681" s="831" t="str">
        <f t="shared" si="107"/>
        <v/>
      </c>
      <c r="FC681" s="831" t="str">
        <f t="shared" si="108"/>
        <v/>
      </c>
      <c r="FD681" s="831" t="str">
        <f t="shared" si="109"/>
        <v/>
      </c>
      <c r="FE681" s="831" t="str">
        <f t="shared" si="110"/>
        <v/>
      </c>
      <c r="FF681" s="831" t="str">
        <f t="shared" si="111"/>
        <v/>
      </c>
      <c r="FG681" s="831" t="str">
        <f t="shared" si="112"/>
        <v/>
      </c>
      <c r="FH681" s="831" t="str">
        <f t="shared" si="113"/>
        <v/>
      </c>
      <c r="FI681" s="831" t="str">
        <f t="shared" si="114"/>
        <v/>
      </c>
      <c r="FJ681" s="831" t="str">
        <f t="shared" si="115"/>
        <v/>
      </c>
      <c r="FK681" s="831" t="str">
        <f t="shared" si="116"/>
        <v/>
      </c>
      <c r="FL681" s="831" t="str">
        <f t="shared" si="117"/>
        <v/>
      </c>
      <c r="FM681" s="831" t="str">
        <f t="shared" si="118"/>
        <v/>
      </c>
      <c r="FN681" s="831" t="str">
        <f t="shared" si="119"/>
        <v/>
      </c>
      <c r="FO681" s="831" t="str">
        <f t="shared" si="120"/>
        <v/>
      </c>
      <c r="FP681" s="831" t="str">
        <f t="shared" si="121"/>
        <v/>
      </c>
      <c r="FQ681" s="831" t="str">
        <f t="shared" si="122"/>
        <v/>
      </c>
      <c r="FR681" s="831" t="str">
        <f t="shared" si="123"/>
        <v/>
      </c>
      <c r="FS681" s="831" t="str">
        <f t="shared" si="124"/>
        <v/>
      </c>
      <c r="FT681" s="831" t="str">
        <f t="shared" si="125"/>
        <v/>
      </c>
      <c r="FU681" s="831" t="str">
        <f t="shared" si="126"/>
        <v/>
      </c>
      <c r="FV681" s="831" t="str">
        <f t="shared" si="127"/>
        <v/>
      </c>
      <c r="FW681" s="831" t="str">
        <f t="shared" si="128"/>
        <v/>
      </c>
      <c r="FX681" s="831" t="str">
        <f t="shared" si="129"/>
        <v/>
      </c>
      <c r="FY681" s="831" t="str">
        <f t="shared" si="130"/>
        <v/>
      </c>
      <c r="FZ681" s="831" t="str">
        <f t="shared" si="131"/>
        <v/>
      </c>
      <c r="GA681" s="831" t="str">
        <f t="shared" si="132"/>
        <v/>
      </c>
      <c r="GB681" s="831" t="str">
        <f t="shared" si="133"/>
        <v/>
      </c>
      <c r="GC681" s="831" t="str">
        <f t="shared" si="134"/>
        <v/>
      </c>
      <c r="GD681" s="831" t="str">
        <f t="shared" si="135"/>
        <v/>
      </c>
      <c r="GE681" s="831" t="str">
        <f t="shared" si="136"/>
        <v/>
      </c>
      <c r="GF681" s="831" t="str">
        <f t="shared" si="137"/>
        <v/>
      </c>
      <c r="GG681" s="831" t="str">
        <f t="shared" si="138"/>
        <v/>
      </c>
      <c r="GH681" s="831" t="str">
        <f t="shared" si="139"/>
        <v/>
      </c>
      <c r="GI681" s="831" t="str">
        <f t="shared" si="140"/>
        <v/>
      </c>
      <c r="GJ681" s="831" t="str">
        <f t="shared" si="141"/>
        <v/>
      </c>
      <c r="GK681" s="831" t="str">
        <f t="shared" si="142"/>
        <v/>
      </c>
      <c r="GL681" s="831" t="str">
        <f t="shared" si="143"/>
        <v/>
      </c>
      <c r="GM681" s="831" t="str">
        <f t="shared" si="144"/>
        <v/>
      </c>
      <c r="GN681" s="831" t="str">
        <f t="shared" si="145"/>
        <v/>
      </c>
      <c r="GO681" s="1113" t="str">
        <f t="shared" si="146"/>
        <v/>
      </c>
      <c r="GP681" s="1113" t="str">
        <f t="shared" si="147"/>
        <v/>
      </c>
      <c r="GQ681" s="1113" t="str">
        <f t="shared" si="148"/>
        <v/>
      </c>
      <c r="GR681" s="1113" t="str">
        <f t="shared" si="149"/>
        <v/>
      </c>
      <c r="GS681" s="1113" t="str">
        <f t="shared" si="150"/>
        <v/>
      </c>
      <c r="GT681" s="1070" t="str">
        <f t="shared" si="151"/>
        <v/>
      </c>
      <c r="GU681" s="1070" t="str">
        <f t="shared" si="152"/>
        <v/>
      </c>
      <c r="GV681" s="1070" t="str">
        <f t="shared" si="153"/>
        <v/>
      </c>
      <c r="GW681" s="1070" t="str">
        <f t="shared" si="154"/>
        <v/>
      </c>
      <c r="GX681" s="1070" t="str">
        <f t="shared" si="155"/>
        <v/>
      </c>
      <c r="GY681" s="1070" t="str">
        <f t="shared" si="156"/>
        <v/>
      </c>
      <c r="GZ681" s="1070" t="str">
        <f t="shared" si="157"/>
        <v/>
      </c>
      <c r="HA681" s="1070" t="str">
        <f t="shared" si="158"/>
        <v/>
      </c>
      <c r="HB681" s="1070" t="str">
        <f t="shared" si="159"/>
        <v/>
      </c>
      <c r="HC681" s="1070" t="str">
        <f t="shared" si="160"/>
        <v/>
      </c>
      <c r="HD681" s="1070" t="str">
        <f t="shared" si="161"/>
        <v/>
      </c>
      <c r="HE681" s="1070" t="str">
        <f t="shared" si="162"/>
        <v/>
      </c>
      <c r="HF681" s="1070" t="str">
        <f t="shared" si="163"/>
        <v/>
      </c>
      <c r="HG681" s="1070" t="str">
        <f t="shared" si="164"/>
        <v/>
      </c>
      <c r="HH681" s="1070" t="str">
        <f t="shared" si="165"/>
        <v/>
      </c>
      <c r="HI681" s="1070" t="str">
        <f t="shared" si="166"/>
        <v/>
      </c>
      <c r="HJ681" s="1070" t="str">
        <f t="shared" si="167"/>
        <v/>
      </c>
      <c r="HK681" s="1070" t="str">
        <f t="shared" si="168"/>
        <v/>
      </c>
      <c r="HL681" s="1070" t="str">
        <f t="shared" si="169"/>
        <v/>
      </c>
      <c r="HM681" s="1070" t="str">
        <f t="shared" si="170"/>
        <v/>
      </c>
    </row>
    <row r="682" spans="1:221" ht="14.45" customHeight="1">
      <c r="A682" s="1082">
        <f>COUNT(A644,A645,A646,A647,A648,A649,A650,A651,A652,A653,A654,A655,A656,A657,A658,A659,A660,A661,A662,A663,A664,A665,A666,A667,A668,A669,A670,A671,A672,A673)</f>
        <v>0</v>
      </c>
      <c r="B682" s="581"/>
      <c r="C682" s="581"/>
      <c r="D682" s="909" t="s">
        <v>1080</v>
      </c>
      <c r="E682" s="906">
        <f>SUM(E644:E681)</f>
        <v>69</v>
      </c>
      <c r="F682" s="90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65565</v>
      </c>
      <c r="G682" s="583"/>
      <c r="H682" s="583"/>
      <c r="I682" s="583"/>
      <c r="J682" s="583"/>
      <c r="K682" s="910" t="s">
        <v>1388</v>
      </c>
      <c r="L682" s="906">
        <f>SUM(L644:L681)</f>
        <v>42807</v>
      </c>
      <c r="M682" s="581"/>
      <c r="N682" s="581"/>
      <c r="O682" s="581"/>
      <c r="P682" s="581"/>
      <c r="Q682" s="581"/>
      <c r="R682" s="581"/>
      <c r="S682" s="581"/>
      <c r="T682" s="1068"/>
      <c r="U682" s="832"/>
      <c r="V682" s="832">
        <f t="shared" ref="V682:CK682" si="206">SUM(V644:V681)</f>
        <v>0</v>
      </c>
      <c r="W682" s="832">
        <f t="shared" si="206"/>
        <v>19</v>
      </c>
      <c r="X682" s="832">
        <f t="shared" si="206"/>
        <v>22</v>
      </c>
      <c r="Y682" s="832">
        <f t="shared" si="206"/>
        <v>13</v>
      </c>
      <c r="Z682" s="832">
        <f t="shared" si="206"/>
        <v>0</v>
      </c>
      <c r="AA682" s="832">
        <f t="shared" si="206"/>
        <v>0</v>
      </c>
      <c r="AB682" s="832">
        <f t="shared" si="206"/>
        <v>5</v>
      </c>
      <c r="AC682" s="832">
        <f t="shared" si="206"/>
        <v>8</v>
      </c>
      <c r="AD682" s="832">
        <f t="shared" si="206"/>
        <v>2</v>
      </c>
      <c r="AE682" s="832">
        <f t="shared" si="206"/>
        <v>0</v>
      </c>
      <c r="AF682" s="832">
        <f t="shared" si="206"/>
        <v>0</v>
      </c>
      <c r="AG682" s="832">
        <f t="shared" si="206"/>
        <v>0</v>
      </c>
      <c r="AH682" s="832">
        <f t="shared" si="206"/>
        <v>0</v>
      </c>
      <c r="AI682" s="832">
        <f t="shared" si="206"/>
        <v>0</v>
      </c>
      <c r="AJ682" s="832">
        <f t="shared" si="206"/>
        <v>0</v>
      </c>
      <c r="AK682" s="832">
        <f t="shared" si="206"/>
        <v>0</v>
      </c>
      <c r="AL682" s="832">
        <f t="shared" si="206"/>
        <v>0</v>
      </c>
      <c r="AM682" s="832">
        <f t="shared" si="206"/>
        <v>0</v>
      </c>
      <c r="AN682" s="832">
        <f t="shared" si="206"/>
        <v>0</v>
      </c>
      <c r="AO682" s="832">
        <f t="shared" si="206"/>
        <v>0</v>
      </c>
      <c r="AP682" s="832">
        <f t="shared" si="206"/>
        <v>0</v>
      </c>
      <c r="AQ682" s="832">
        <f t="shared" si="206"/>
        <v>0</v>
      </c>
      <c r="AR682" s="832">
        <f t="shared" si="206"/>
        <v>0</v>
      </c>
      <c r="AS682" s="832">
        <f t="shared" si="206"/>
        <v>0</v>
      </c>
      <c r="AT682" s="832">
        <f t="shared" si="206"/>
        <v>0</v>
      </c>
      <c r="AU682" s="832">
        <f t="shared" si="206"/>
        <v>0</v>
      </c>
      <c r="AV682" s="832">
        <f t="shared" si="206"/>
        <v>5</v>
      </c>
      <c r="AW682" s="832">
        <f t="shared" si="206"/>
        <v>8</v>
      </c>
      <c r="AX682" s="832">
        <f t="shared" si="206"/>
        <v>2</v>
      </c>
      <c r="AY682" s="832">
        <f t="shared" si="206"/>
        <v>0</v>
      </c>
      <c r="AZ682" s="832">
        <f t="shared" si="206"/>
        <v>0</v>
      </c>
      <c r="BA682" s="832">
        <f t="shared" si="206"/>
        <v>19</v>
      </c>
      <c r="BB682" s="832">
        <f t="shared" si="206"/>
        <v>22</v>
      </c>
      <c r="BC682" s="832">
        <f t="shared" si="206"/>
        <v>13</v>
      </c>
      <c r="BD682" s="832">
        <f t="shared" si="206"/>
        <v>0</v>
      </c>
      <c r="BE682" s="832">
        <f t="shared" si="206"/>
        <v>0</v>
      </c>
      <c r="BF682" s="832">
        <f t="shared" si="206"/>
        <v>0</v>
      </c>
      <c r="BG682" s="832">
        <f t="shared" si="206"/>
        <v>0</v>
      </c>
      <c r="BH682" s="832">
        <f t="shared" si="206"/>
        <v>0</v>
      </c>
      <c r="BI682" s="832">
        <f t="shared" si="206"/>
        <v>0</v>
      </c>
      <c r="BJ682" s="832">
        <f t="shared" si="206"/>
        <v>0</v>
      </c>
      <c r="BK682" s="832">
        <f t="shared" si="206"/>
        <v>0</v>
      </c>
      <c r="BL682" s="832">
        <f t="shared" si="206"/>
        <v>0</v>
      </c>
      <c r="BM682" s="832">
        <f t="shared" si="206"/>
        <v>0</v>
      </c>
      <c r="BN682" s="832">
        <f t="shared" si="206"/>
        <v>0</v>
      </c>
      <c r="BO682" s="832">
        <f t="shared" si="206"/>
        <v>0</v>
      </c>
      <c r="BP682" s="832">
        <f t="shared" si="206"/>
        <v>0</v>
      </c>
      <c r="BQ682" s="832">
        <f t="shared" si="206"/>
        <v>0</v>
      </c>
      <c r="BR682" s="832">
        <f t="shared" si="206"/>
        <v>0</v>
      </c>
      <c r="BS682" s="832">
        <f t="shared" si="206"/>
        <v>0</v>
      </c>
      <c r="BT682" s="832">
        <f t="shared" si="206"/>
        <v>0</v>
      </c>
      <c r="BU682" s="832">
        <f t="shared" si="206"/>
        <v>0</v>
      </c>
      <c r="BV682" s="832">
        <f t="shared" si="206"/>
        <v>0</v>
      </c>
      <c r="BW682" s="832">
        <f t="shared" si="206"/>
        <v>0</v>
      </c>
      <c r="BX682" s="832">
        <f t="shared" si="206"/>
        <v>0</v>
      </c>
      <c r="BY682" s="832">
        <f t="shared" si="206"/>
        <v>0</v>
      </c>
      <c r="BZ682" s="832">
        <f t="shared" si="206"/>
        <v>13112</v>
      </c>
      <c r="CA682" s="832">
        <f t="shared" si="206"/>
        <v>21642</v>
      </c>
      <c r="CB682" s="832">
        <f t="shared" si="206"/>
        <v>17017</v>
      </c>
      <c r="CC682" s="832">
        <f t="shared" si="206"/>
        <v>0</v>
      </c>
      <c r="CD682" s="832">
        <f t="shared" si="206"/>
        <v>0</v>
      </c>
      <c r="CE682" s="832">
        <f t="shared" si="206"/>
        <v>3496</v>
      </c>
      <c r="CF682" s="832">
        <f t="shared" si="206"/>
        <v>7680</v>
      </c>
      <c r="CG682" s="832">
        <f t="shared" si="206"/>
        <v>2618</v>
      </c>
      <c r="CH682" s="832">
        <f t="shared" si="206"/>
        <v>0</v>
      </c>
      <c r="CI682" s="832">
        <f t="shared" si="206"/>
        <v>0</v>
      </c>
      <c r="CJ682" s="832">
        <f t="shared" si="206"/>
        <v>0</v>
      </c>
      <c r="CK682" s="832">
        <f t="shared" si="206"/>
        <v>0</v>
      </c>
      <c r="CL682" s="832">
        <f t="shared" ref="CL682:EP682" si="207">SUM(CL644:CL681)</f>
        <v>0</v>
      </c>
      <c r="CM682" s="832">
        <f t="shared" si="207"/>
        <v>0</v>
      </c>
      <c r="CN682" s="832">
        <f t="shared" si="207"/>
        <v>0</v>
      </c>
      <c r="CO682" s="832">
        <f t="shared" si="207"/>
        <v>0</v>
      </c>
      <c r="CP682" s="832">
        <f t="shared" si="207"/>
        <v>0</v>
      </c>
      <c r="CQ682" s="832">
        <f t="shared" si="207"/>
        <v>0</v>
      </c>
      <c r="CR682" s="832">
        <f t="shared" si="207"/>
        <v>0</v>
      </c>
      <c r="CS682" s="832">
        <f t="shared" si="207"/>
        <v>0</v>
      </c>
      <c r="CT682" s="832">
        <f t="shared" si="207"/>
        <v>16608</v>
      </c>
      <c r="CU682" s="832">
        <f t="shared" si="207"/>
        <v>29322</v>
      </c>
      <c r="CV682" s="832">
        <f t="shared" si="207"/>
        <v>19635</v>
      </c>
      <c r="CW682" s="832">
        <f t="shared" si="207"/>
        <v>0</v>
      </c>
      <c r="CX682" s="832">
        <f t="shared" si="207"/>
        <v>0</v>
      </c>
      <c r="CY682" s="832">
        <f t="shared" si="207"/>
        <v>0</v>
      </c>
      <c r="CZ682" s="832">
        <f t="shared" si="207"/>
        <v>0</v>
      </c>
      <c r="DA682" s="832">
        <f t="shared" si="207"/>
        <v>0</v>
      </c>
      <c r="DB682" s="832">
        <f t="shared" si="207"/>
        <v>0</v>
      </c>
      <c r="DC682" s="832">
        <f t="shared" si="207"/>
        <v>0</v>
      </c>
      <c r="DD682" s="832">
        <f t="shared" si="207"/>
        <v>24</v>
      </c>
      <c r="DE682" s="832">
        <f t="shared" si="207"/>
        <v>30</v>
      </c>
      <c r="DF682" s="832">
        <f t="shared" si="207"/>
        <v>15</v>
      </c>
      <c r="DG682" s="832">
        <f t="shared" si="207"/>
        <v>0</v>
      </c>
      <c r="DH682" s="832">
        <f t="shared" si="207"/>
        <v>0</v>
      </c>
      <c r="DI682" s="832">
        <f t="shared" si="207"/>
        <v>0</v>
      </c>
      <c r="DJ682" s="832">
        <f t="shared" si="207"/>
        <v>0</v>
      </c>
      <c r="DK682" s="832">
        <f t="shared" si="207"/>
        <v>0</v>
      </c>
      <c r="DL682" s="832">
        <f t="shared" si="207"/>
        <v>0</v>
      </c>
      <c r="DM682" s="832">
        <f>SUM(DM644:DM681)</f>
        <v>0</v>
      </c>
      <c r="DN682" s="832">
        <f>SUM(DN644:DN681)</f>
        <v>0</v>
      </c>
      <c r="DO682" s="832">
        <f>SUM(DO644:DO681)</f>
        <v>0</v>
      </c>
      <c r="DP682" s="832">
        <f>SUM(DP644:DP681)</f>
        <v>0</v>
      </c>
      <c r="DQ682" s="832">
        <f>SUM(DQ644:DQ681)</f>
        <v>0</v>
      </c>
      <c r="DR682" s="832">
        <f t="shared" si="207"/>
        <v>0</v>
      </c>
      <c r="DS682" s="832">
        <f t="shared" si="207"/>
        <v>0</v>
      </c>
      <c r="DT682" s="832">
        <f t="shared" si="207"/>
        <v>0</v>
      </c>
      <c r="DU682" s="832">
        <f t="shared" si="207"/>
        <v>0</v>
      </c>
      <c r="DV682" s="832">
        <f t="shared" si="207"/>
        <v>0</v>
      </c>
      <c r="DW682" s="832">
        <f t="shared" si="207"/>
        <v>0</v>
      </c>
      <c r="DX682" s="832">
        <f t="shared" si="207"/>
        <v>0</v>
      </c>
      <c r="DY682" s="832">
        <f t="shared" si="207"/>
        <v>0</v>
      </c>
      <c r="DZ682" s="832">
        <f t="shared" si="207"/>
        <v>0</v>
      </c>
      <c r="EA682" s="832">
        <f t="shared" si="207"/>
        <v>0</v>
      </c>
      <c r="EB682" s="832">
        <f>SUM(EB644:EB681)</f>
        <v>0</v>
      </c>
      <c r="EC682" s="832">
        <f>SUM(EC644:EC681)</f>
        <v>0</v>
      </c>
      <c r="ED682" s="832">
        <f>SUM(ED644:ED681)</f>
        <v>0</v>
      </c>
      <c r="EE682" s="832">
        <f>SUM(EE644:EE681)</f>
        <v>0</v>
      </c>
      <c r="EF682" s="832">
        <f>SUM(EF644:EF681)</f>
        <v>0</v>
      </c>
      <c r="EG682" s="832">
        <f t="shared" si="207"/>
        <v>0</v>
      </c>
      <c r="EH682" s="832">
        <f t="shared" si="207"/>
        <v>0</v>
      </c>
      <c r="EI682" s="832">
        <f t="shared" si="207"/>
        <v>0</v>
      </c>
      <c r="EJ682" s="832">
        <f t="shared" si="207"/>
        <v>0</v>
      </c>
      <c r="EK682" s="832">
        <f t="shared" si="207"/>
        <v>0</v>
      </c>
      <c r="EL682" s="832">
        <f t="shared" si="207"/>
        <v>0</v>
      </c>
      <c r="EM682" s="832">
        <f t="shared" si="207"/>
        <v>0</v>
      </c>
      <c r="EN682" s="832">
        <f t="shared" si="207"/>
        <v>0</v>
      </c>
      <c r="EO682" s="832">
        <f t="shared" si="207"/>
        <v>0</v>
      </c>
      <c r="EP682" s="832">
        <f t="shared" si="207"/>
        <v>0</v>
      </c>
      <c r="EQ682" s="832">
        <f>SUM(EQ644:EQ681)</f>
        <v>0</v>
      </c>
      <c r="ER682" s="832">
        <f>SUM(ER644:ER681)</f>
        <v>0</v>
      </c>
      <c r="ES682" s="832">
        <f>SUM(ES644:ES681)</f>
        <v>0</v>
      </c>
      <c r="ET682" s="832">
        <f>SUM(ET644:ET681)</f>
        <v>0</v>
      </c>
      <c r="EU682" s="832">
        <f>SUM(EU644:EU681)</f>
        <v>0</v>
      </c>
      <c r="EV682" s="832">
        <f t="shared" ref="EV682:HG682" si="208">SUM(EV644:EV681)</f>
        <v>0</v>
      </c>
      <c r="EW682" s="832">
        <f t="shared" si="208"/>
        <v>24</v>
      </c>
      <c r="EX682" s="832">
        <f t="shared" si="208"/>
        <v>30</v>
      </c>
      <c r="EY682" s="832">
        <f t="shared" si="208"/>
        <v>15</v>
      </c>
      <c r="EZ682" s="832">
        <f t="shared" si="208"/>
        <v>0</v>
      </c>
      <c r="FA682" s="832">
        <f t="shared" si="208"/>
        <v>0</v>
      </c>
      <c r="FB682" s="832">
        <f t="shared" si="208"/>
        <v>0</v>
      </c>
      <c r="FC682" s="832">
        <f t="shared" si="208"/>
        <v>0</v>
      </c>
      <c r="FD682" s="832">
        <f t="shared" si="208"/>
        <v>0</v>
      </c>
      <c r="FE682" s="832">
        <f t="shared" si="208"/>
        <v>0</v>
      </c>
      <c r="FF682" s="832">
        <f t="shared" si="208"/>
        <v>0</v>
      </c>
      <c r="FG682" s="832">
        <f t="shared" si="208"/>
        <v>0</v>
      </c>
      <c r="FH682" s="832">
        <f t="shared" si="208"/>
        <v>0</v>
      </c>
      <c r="FI682" s="832">
        <f t="shared" si="208"/>
        <v>0</v>
      </c>
      <c r="FJ682" s="832">
        <f t="shared" si="208"/>
        <v>0</v>
      </c>
      <c r="FK682" s="832">
        <f t="shared" si="208"/>
        <v>0</v>
      </c>
      <c r="FL682" s="832">
        <f t="shared" si="208"/>
        <v>0</v>
      </c>
      <c r="FM682" s="832">
        <f t="shared" si="208"/>
        <v>0</v>
      </c>
      <c r="FN682" s="832">
        <f t="shared" si="208"/>
        <v>0</v>
      </c>
      <c r="FO682" s="832">
        <f t="shared" si="208"/>
        <v>0</v>
      </c>
      <c r="FP682" s="832">
        <f t="shared" si="208"/>
        <v>0</v>
      </c>
      <c r="FQ682" s="832">
        <f t="shared" si="208"/>
        <v>0</v>
      </c>
      <c r="FR682" s="832">
        <f t="shared" si="208"/>
        <v>0</v>
      </c>
      <c r="FS682" s="832">
        <f t="shared" si="208"/>
        <v>0</v>
      </c>
      <c r="FT682" s="832">
        <f t="shared" si="208"/>
        <v>0</v>
      </c>
      <c r="FU682" s="832">
        <f t="shared" si="208"/>
        <v>0</v>
      </c>
      <c r="FV682" s="832">
        <f t="shared" si="208"/>
        <v>0</v>
      </c>
      <c r="FW682" s="832">
        <f t="shared" si="208"/>
        <v>0</v>
      </c>
      <c r="FX682" s="832">
        <f t="shared" si="208"/>
        <v>0</v>
      </c>
      <c r="FY682" s="832">
        <f t="shared" si="208"/>
        <v>0</v>
      </c>
      <c r="FZ682" s="832">
        <f t="shared" si="208"/>
        <v>0</v>
      </c>
      <c r="GA682" s="832">
        <f t="shared" si="208"/>
        <v>0</v>
      </c>
      <c r="GB682" s="832">
        <f t="shared" si="208"/>
        <v>0</v>
      </c>
      <c r="GC682" s="832">
        <f t="shared" si="208"/>
        <v>0</v>
      </c>
      <c r="GD682" s="832">
        <f t="shared" si="208"/>
        <v>0</v>
      </c>
      <c r="GE682" s="832">
        <f t="shared" si="208"/>
        <v>0</v>
      </c>
      <c r="GF682" s="832">
        <f t="shared" si="208"/>
        <v>0</v>
      </c>
      <c r="GG682" s="832">
        <f t="shared" si="208"/>
        <v>0</v>
      </c>
      <c r="GH682" s="832">
        <f t="shared" si="208"/>
        <v>0</v>
      </c>
      <c r="GI682" s="832">
        <f t="shared" si="208"/>
        <v>0</v>
      </c>
      <c r="GJ682" s="832">
        <f t="shared" si="208"/>
        <v>0</v>
      </c>
      <c r="GK682" s="832">
        <f t="shared" si="208"/>
        <v>24</v>
      </c>
      <c r="GL682" s="832">
        <f t="shared" si="208"/>
        <v>30</v>
      </c>
      <c r="GM682" s="832">
        <f t="shared" si="208"/>
        <v>15</v>
      </c>
      <c r="GN682" s="832">
        <f t="shared" si="208"/>
        <v>0</v>
      </c>
      <c r="GO682" s="832">
        <f t="shared" si="208"/>
        <v>0</v>
      </c>
      <c r="GP682" s="832">
        <f t="shared" si="208"/>
        <v>0</v>
      </c>
      <c r="GQ682" s="832">
        <f t="shared" si="208"/>
        <v>0</v>
      </c>
      <c r="GR682" s="832">
        <f t="shared" si="208"/>
        <v>0</v>
      </c>
      <c r="GS682" s="832">
        <f t="shared" si="208"/>
        <v>0</v>
      </c>
      <c r="GT682" s="832">
        <f t="shared" si="208"/>
        <v>0</v>
      </c>
      <c r="GU682" s="832">
        <f t="shared" si="208"/>
        <v>0</v>
      </c>
      <c r="GV682" s="832">
        <f t="shared" si="208"/>
        <v>0</v>
      </c>
      <c r="GW682" s="832">
        <f t="shared" si="208"/>
        <v>0</v>
      </c>
      <c r="GX682" s="832">
        <f t="shared" si="208"/>
        <v>0</v>
      </c>
      <c r="GY682" s="832">
        <f t="shared" si="208"/>
        <v>0</v>
      </c>
      <c r="GZ682" s="832">
        <f t="shared" si="208"/>
        <v>0</v>
      </c>
      <c r="HA682" s="832">
        <f t="shared" si="208"/>
        <v>0</v>
      </c>
      <c r="HB682" s="832">
        <f t="shared" si="208"/>
        <v>0</v>
      </c>
      <c r="HC682" s="832">
        <f t="shared" si="208"/>
        <v>0</v>
      </c>
      <c r="HD682" s="832">
        <f t="shared" si="208"/>
        <v>0</v>
      </c>
      <c r="HE682" s="832">
        <f t="shared" si="208"/>
        <v>0</v>
      </c>
      <c r="HF682" s="832">
        <f t="shared" si="208"/>
        <v>0</v>
      </c>
      <c r="HG682" s="832">
        <f t="shared" si="208"/>
        <v>0</v>
      </c>
      <c r="HH682" s="832">
        <f t="shared" ref="HH682:HM682" si="209">SUM(HH644:HH681)</f>
        <v>0</v>
      </c>
      <c r="HI682" s="832">
        <f t="shared" si="209"/>
        <v>0</v>
      </c>
      <c r="HJ682" s="832">
        <f t="shared" si="209"/>
        <v>0</v>
      </c>
      <c r="HK682" s="832">
        <f t="shared" si="209"/>
        <v>0</v>
      </c>
      <c r="HL682" s="832">
        <f t="shared" si="209"/>
        <v>0</v>
      </c>
      <c r="HM682" s="832">
        <f t="shared" si="209"/>
        <v>0</v>
      </c>
    </row>
    <row r="683" spans="1:221" ht="14.45" customHeight="1">
      <c r="B683" s="581"/>
      <c r="D683" s="909"/>
      <c r="E683" s="906"/>
      <c r="F683" s="906"/>
      <c r="G683" s="583"/>
      <c r="H683" s="583"/>
      <c r="I683" s="583"/>
      <c r="J683" s="583"/>
      <c r="K683" s="909" t="s">
        <v>868</v>
      </c>
      <c r="L683" s="906">
        <f>L682*12</f>
        <v>513684</v>
      </c>
      <c r="M683" s="581"/>
      <c r="N683" s="581"/>
      <c r="O683" s="581"/>
      <c r="P683" s="581"/>
      <c r="Q683" s="581"/>
      <c r="R683" s="581"/>
      <c r="S683" s="581"/>
      <c r="T683" s="581"/>
      <c r="U683" s="832"/>
      <c r="V683" s="832"/>
      <c r="W683" s="832"/>
      <c r="X683" s="832"/>
      <c r="Y683" s="832"/>
      <c r="Z683" s="832"/>
      <c r="AA683" s="832"/>
      <c r="AB683" s="832"/>
      <c r="AC683" s="832"/>
      <c r="AD683" s="832"/>
      <c r="AE683" s="832"/>
      <c r="AF683" s="832"/>
      <c r="AG683" s="832"/>
      <c r="AH683" s="832"/>
      <c r="AI683" s="832"/>
      <c r="AJ683" s="832"/>
      <c r="AK683" s="832"/>
      <c r="AL683" s="832"/>
      <c r="AM683" s="832"/>
      <c r="AN683" s="832"/>
      <c r="AO683" s="832"/>
      <c r="AP683" s="832"/>
      <c r="AQ683" s="832"/>
      <c r="AR683" s="832"/>
      <c r="AS683" s="832"/>
      <c r="AT683" s="832"/>
      <c r="AU683" s="832"/>
      <c r="AV683" s="832"/>
      <c r="AW683" s="832"/>
      <c r="AX683" s="832"/>
      <c r="AY683" s="832"/>
      <c r="AZ683" s="832"/>
      <c r="BA683" s="832"/>
      <c r="BB683" s="832"/>
      <c r="BC683" s="832"/>
      <c r="BD683" s="832"/>
      <c r="BE683" s="832"/>
      <c r="BF683" s="832"/>
      <c r="BG683" s="832"/>
      <c r="BH683" s="832"/>
      <c r="BI683" s="832"/>
      <c r="BJ683" s="832"/>
      <c r="BK683" s="832"/>
      <c r="BL683" s="832"/>
      <c r="BM683" s="832"/>
      <c r="BN683" s="832"/>
      <c r="BO683" s="832"/>
      <c r="BP683" s="832"/>
      <c r="BQ683" s="832"/>
      <c r="BR683" s="832"/>
      <c r="BS683" s="832"/>
      <c r="BT683" s="832"/>
      <c r="BU683" s="832"/>
      <c r="BV683" s="832"/>
      <c r="BW683" s="832"/>
      <c r="BX683" s="832"/>
      <c r="BY683" s="832"/>
      <c r="BZ683" s="832"/>
      <c r="CA683" s="832"/>
      <c r="CB683" s="832"/>
      <c r="CC683" s="832"/>
      <c r="CD683" s="832"/>
      <c r="CE683" s="832"/>
      <c r="CF683" s="832"/>
      <c r="CG683" s="832"/>
      <c r="CH683" s="832"/>
      <c r="CI683" s="832"/>
      <c r="CJ683" s="832"/>
      <c r="CK683" s="832"/>
      <c r="CL683" s="832"/>
      <c r="CM683" s="832"/>
      <c r="CN683" s="832"/>
      <c r="CO683" s="832"/>
      <c r="CP683" s="832"/>
      <c r="CQ683" s="832"/>
      <c r="CR683" s="832"/>
      <c r="CS683" s="832"/>
      <c r="CT683" s="832"/>
      <c r="CU683" s="832"/>
      <c r="CV683" s="832"/>
      <c r="CW683" s="832"/>
      <c r="CX683" s="832"/>
      <c r="CY683" s="832"/>
      <c r="CZ683" s="832"/>
      <c r="DA683" s="832"/>
      <c r="DB683" s="832"/>
      <c r="DC683" s="832"/>
      <c r="DD683" s="832"/>
      <c r="DE683" s="832"/>
      <c r="DF683" s="832"/>
      <c r="DG683" s="832"/>
      <c r="DH683" s="832"/>
      <c r="DI683" s="832"/>
      <c r="DJ683" s="832"/>
      <c r="DK683" s="832"/>
      <c r="DL683" s="832"/>
      <c r="DM683" s="832"/>
      <c r="DN683" s="832"/>
      <c r="DO683" s="832"/>
      <c r="DP683" s="832"/>
      <c r="DQ683" s="832"/>
      <c r="DR683" s="832"/>
      <c r="DS683" s="832"/>
      <c r="DT683" s="832"/>
      <c r="DU683" s="832"/>
      <c r="DV683" s="832"/>
      <c r="DW683" s="832"/>
      <c r="DX683" s="832"/>
      <c r="DY683" s="832"/>
      <c r="DZ683" s="832"/>
      <c r="EA683" s="832"/>
      <c r="EB683" s="832"/>
      <c r="EC683" s="832"/>
      <c r="ED683" s="832"/>
      <c r="EE683" s="832"/>
      <c r="EF683" s="832"/>
      <c r="EG683" s="832"/>
      <c r="EH683" s="832"/>
      <c r="EI683" s="832"/>
      <c r="EJ683" s="832"/>
      <c r="EK683" s="832"/>
      <c r="EL683" s="832"/>
      <c r="EM683" s="832"/>
      <c r="EN683" s="832"/>
      <c r="EO683" s="832"/>
      <c r="EP683" s="832"/>
      <c r="EQ683" s="832"/>
      <c r="ER683" s="832"/>
      <c r="ES683" s="832"/>
      <c r="ET683" s="832"/>
      <c r="EU683" s="832"/>
      <c r="EV683" s="832"/>
      <c r="EW683" s="832"/>
      <c r="EX683" s="832"/>
      <c r="EY683" s="832"/>
      <c r="EZ683" s="832"/>
      <c r="FA683" s="832"/>
      <c r="FB683" s="832"/>
      <c r="FC683" s="832"/>
      <c r="FD683" s="832"/>
      <c r="FE683" s="832"/>
      <c r="FF683" s="832"/>
      <c r="FG683" s="832"/>
      <c r="FH683" s="832"/>
      <c r="FI683" s="832"/>
      <c r="FJ683" s="832"/>
      <c r="FK683" s="832"/>
      <c r="FL683" s="832"/>
      <c r="FM683" s="832"/>
      <c r="FN683" s="832"/>
      <c r="FO683" s="832"/>
      <c r="FP683" s="832"/>
      <c r="FQ683" s="832"/>
      <c r="FR683" s="832"/>
      <c r="FS683" s="832"/>
      <c r="FT683" s="832"/>
      <c r="FU683" s="832"/>
      <c r="FV683" s="832"/>
      <c r="FW683" s="832"/>
      <c r="FX683" s="832"/>
      <c r="FY683" s="832"/>
      <c r="FZ683" s="832"/>
      <c r="GA683" s="832"/>
      <c r="GB683" s="832"/>
      <c r="GC683" s="832"/>
      <c r="GD683" s="832"/>
      <c r="GE683" s="832"/>
      <c r="GF683" s="832"/>
      <c r="GG683" s="832"/>
      <c r="GH683" s="832"/>
      <c r="GI683" s="832"/>
      <c r="GJ683" s="832"/>
      <c r="GK683" s="832"/>
      <c r="GL683" s="832"/>
      <c r="GM683" s="832"/>
      <c r="GN683" s="832"/>
      <c r="GO683" s="832"/>
      <c r="GP683" s="832"/>
      <c r="GQ683" s="832"/>
      <c r="GR683" s="832"/>
      <c r="GS683" s="832"/>
      <c r="GT683" s="832"/>
      <c r="GU683" s="832"/>
      <c r="GV683" s="832"/>
      <c r="GW683" s="832"/>
      <c r="GX683" s="832"/>
      <c r="GY683" s="832"/>
      <c r="GZ683" s="832"/>
      <c r="HA683" s="832"/>
      <c r="HB683" s="832"/>
      <c r="HC683" s="832"/>
      <c r="HD683" s="832"/>
      <c r="HE683" s="832"/>
      <c r="HF683" s="832"/>
      <c r="HG683" s="832"/>
      <c r="HH683" s="832"/>
      <c r="HI683" s="832"/>
      <c r="HJ683" s="832"/>
      <c r="HK683" s="832"/>
      <c r="HL683" s="832"/>
      <c r="HM683" s="832"/>
    </row>
    <row r="684" spans="1:221" ht="3" customHeight="1">
      <c r="A684" s="582"/>
      <c r="B684" s="581"/>
      <c r="D684" s="909"/>
      <c r="E684" s="906"/>
      <c r="F684" s="906"/>
      <c r="G684" s="583"/>
      <c r="H684" s="583"/>
      <c r="I684" s="583"/>
      <c r="J684" s="583"/>
      <c r="K684" s="909"/>
      <c r="L684" s="906"/>
      <c r="M684" s="581"/>
      <c r="N684" s="581"/>
      <c r="O684" s="581"/>
      <c r="P684" s="581"/>
      <c r="Q684" s="581"/>
      <c r="R684" s="581"/>
      <c r="S684" s="581"/>
      <c r="T684" s="581"/>
      <c r="U684" s="832"/>
      <c r="V684" s="832"/>
      <c r="W684" s="832"/>
      <c r="X684" s="832"/>
      <c r="Y684" s="832"/>
      <c r="Z684" s="832"/>
      <c r="AA684" s="832"/>
      <c r="AB684" s="832"/>
      <c r="AC684" s="832"/>
      <c r="AD684" s="832"/>
      <c r="AE684" s="832"/>
      <c r="AF684" s="832"/>
      <c r="AG684" s="832"/>
      <c r="AH684" s="832"/>
      <c r="AI684" s="832"/>
      <c r="AJ684" s="832"/>
      <c r="AK684" s="832"/>
      <c r="AL684" s="832"/>
      <c r="AM684" s="832"/>
      <c r="AN684" s="832"/>
      <c r="AO684" s="832"/>
      <c r="AP684" s="832"/>
      <c r="AQ684" s="832"/>
      <c r="AR684" s="832"/>
      <c r="AS684" s="832"/>
      <c r="AT684" s="832"/>
      <c r="AU684" s="832"/>
      <c r="AV684" s="832"/>
      <c r="AW684" s="832"/>
      <c r="AX684" s="832"/>
      <c r="AY684" s="832"/>
      <c r="AZ684" s="832"/>
      <c r="BA684" s="832"/>
      <c r="BB684" s="832"/>
      <c r="BC684" s="832"/>
      <c r="BD684" s="832"/>
      <c r="BE684" s="832"/>
      <c r="BF684" s="832"/>
      <c r="BG684" s="832"/>
      <c r="BH684" s="832"/>
      <c r="BI684" s="832"/>
      <c r="BJ684" s="832"/>
      <c r="BK684" s="832"/>
      <c r="BL684" s="832"/>
      <c r="BM684" s="832"/>
      <c r="BN684" s="832"/>
      <c r="BO684" s="832"/>
      <c r="BP684" s="832"/>
      <c r="BQ684" s="832"/>
      <c r="BR684" s="832"/>
      <c r="BS684" s="832"/>
      <c r="BT684" s="832"/>
      <c r="BU684" s="832"/>
      <c r="BV684" s="832"/>
      <c r="BW684" s="832"/>
      <c r="BX684" s="832"/>
      <c r="BY684" s="832"/>
      <c r="BZ684" s="832"/>
      <c r="CA684" s="832"/>
      <c r="CB684" s="832"/>
      <c r="CC684" s="832"/>
      <c r="CD684" s="832"/>
      <c r="CE684" s="832"/>
      <c r="CF684" s="832"/>
      <c r="CG684" s="832"/>
      <c r="CH684" s="832"/>
      <c r="CI684" s="832"/>
      <c r="CJ684" s="832"/>
      <c r="CK684" s="832"/>
      <c r="CL684" s="832"/>
      <c r="CM684" s="832"/>
      <c r="CN684" s="832"/>
      <c r="CO684" s="832"/>
      <c r="CP684" s="832"/>
      <c r="CQ684" s="832"/>
      <c r="CR684" s="832"/>
      <c r="CS684" s="832"/>
      <c r="CT684" s="832"/>
      <c r="CU684" s="832"/>
      <c r="CV684" s="832"/>
      <c r="CW684" s="832"/>
      <c r="CX684" s="832"/>
      <c r="CY684" s="832"/>
      <c r="CZ684" s="832"/>
      <c r="DA684" s="832"/>
      <c r="DB684" s="832"/>
      <c r="DC684" s="832"/>
      <c r="DD684" s="832"/>
      <c r="DE684" s="832"/>
      <c r="DF684" s="832"/>
      <c r="DG684" s="832"/>
      <c r="DH684" s="832"/>
      <c r="DI684" s="832"/>
      <c r="DJ684" s="832"/>
      <c r="DK684" s="832"/>
      <c r="DL684" s="832"/>
      <c r="DM684" s="832"/>
      <c r="DN684" s="832"/>
      <c r="DO684" s="832"/>
      <c r="DP684" s="832"/>
      <c r="DQ684" s="832"/>
      <c r="DR684" s="832"/>
      <c r="DS684" s="832"/>
      <c r="DT684" s="832"/>
      <c r="DU684" s="832"/>
      <c r="DV684" s="832"/>
      <c r="DW684" s="832"/>
      <c r="DX684" s="832"/>
      <c r="DY684" s="832"/>
      <c r="DZ684" s="832"/>
      <c r="EA684" s="832"/>
      <c r="EB684" s="832"/>
      <c r="EC684" s="832"/>
      <c r="ED684" s="832"/>
      <c r="EE684" s="832"/>
      <c r="EF684" s="832"/>
      <c r="EG684" s="832"/>
      <c r="EH684" s="832"/>
      <c r="EI684" s="832"/>
      <c r="EJ684" s="832"/>
      <c r="EK684" s="832"/>
      <c r="EL684" s="832"/>
      <c r="EM684" s="832"/>
      <c r="EN684" s="832"/>
      <c r="EO684" s="832"/>
      <c r="EP684" s="832"/>
      <c r="EQ684" s="832"/>
      <c r="ER684" s="832"/>
      <c r="ES684" s="832"/>
      <c r="ET684" s="832"/>
      <c r="EU684" s="832"/>
      <c r="EV684" s="832"/>
      <c r="EW684" s="832"/>
      <c r="EX684" s="832"/>
      <c r="EY684" s="832"/>
      <c r="EZ684" s="832"/>
      <c r="FA684" s="832"/>
      <c r="FB684" s="832"/>
      <c r="FC684" s="832"/>
      <c r="FD684" s="832"/>
      <c r="FE684" s="832"/>
      <c r="FF684" s="832"/>
      <c r="FG684" s="832"/>
      <c r="FH684" s="832"/>
      <c r="FI684" s="832"/>
      <c r="FJ684" s="832"/>
      <c r="FK684" s="832"/>
      <c r="FL684" s="832"/>
      <c r="FM684" s="832"/>
      <c r="FN684" s="832"/>
      <c r="FO684" s="832"/>
      <c r="FP684" s="832"/>
      <c r="FQ684" s="832"/>
      <c r="FR684" s="832"/>
      <c r="FS684" s="832"/>
      <c r="FT684" s="832"/>
      <c r="FU684" s="832"/>
      <c r="FV684" s="832"/>
      <c r="FW684" s="832"/>
      <c r="FX684" s="832"/>
      <c r="FY684" s="832"/>
      <c r="FZ684" s="832"/>
      <c r="GA684" s="832"/>
      <c r="GB684" s="832"/>
      <c r="GC684" s="832"/>
      <c r="GD684" s="832"/>
      <c r="GE684" s="832"/>
      <c r="GF684" s="832"/>
      <c r="GG684" s="832"/>
      <c r="GH684" s="832"/>
      <c r="GI684" s="832"/>
      <c r="GJ684" s="832"/>
      <c r="GK684" s="832"/>
      <c r="GL684" s="832"/>
      <c r="GM684" s="832"/>
      <c r="GN684" s="832"/>
      <c r="GO684" s="832"/>
      <c r="GP684" s="832"/>
      <c r="GQ684" s="832"/>
      <c r="GR684" s="832"/>
      <c r="GS684" s="832"/>
      <c r="GT684" s="832"/>
      <c r="GU684" s="832"/>
      <c r="GV684" s="832"/>
      <c r="GW684" s="832"/>
      <c r="GX684" s="832"/>
      <c r="GY684" s="832"/>
      <c r="GZ684" s="832"/>
      <c r="HA684" s="832"/>
      <c r="HB684" s="832"/>
      <c r="HC684" s="832"/>
      <c r="HD684" s="832"/>
      <c r="HE684" s="832"/>
      <c r="HF684" s="832"/>
      <c r="HG684" s="832"/>
      <c r="HH684" s="832"/>
      <c r="HI684" s="832"/>
      <c r="HJ684" s="832"/>
      <c r="HK684" s="832"/>
      <c r="HL684" s="832"/>
      <c r="HM684" s="832"/>
    </row>
    <row r="685" spans="1:221" ht="12" customHeight="1">
      <c r="A685" s="1624" t="s">
        <v>3673</v>
      </c>
      <c r="B685" s="1625"/>
      <c r="C685" s="1625"/>
      <c r="D685" s="1625"/>
      <c r="E685" s="1625"/>
      <c r="F685" s="1625"/>
      <c r="G685" s="1625"/>
      <c r="H685" s="1625"/>
      <c r="I685" s="1625"/>
      <c r="J685" s="1625"/>
      <c r="K685" s="1625"/>
      <c r="L685" s="1625"/>
      <c r="M685" s="1625"/>
      <c r="N685" s="1625"/>
      <c r="O685" s="1625"/>
      <c r="P685" s="1625"/>
      <c r="Q685" s="581"/>
      <c r="R685" s="581"/>
      <c r="S685" s="581"/>
      <c r="T685" s="581"/>
      <c r="U685" s="832"/>
      <c r="V685" s="832"/>
      <c r="W685" s="832"/>
      <c r="X685" s="832"/>
      <c r="Y685" s="832"/>
      <c r="Z685" s="832"/>
      <c r="AA685" s="832"/>
      <c r="AB685" s="832"/>
      <c r="AC685" s="832"/>
      <c r="AD685" s="832"/>
      <c r="AE685" s="832"/>
      <c r="AF685" s="832"/>
      <c r="AG685" s="832"/>
      <c r="AH685" s="832"/>
      <c r="AI685" s="832"/>
      <c r="AJ685" s="832"/>
      <c r="AK685" s="832"/>
      <c r="AL685" s="832"/>
      <c r="AM685" s="832"/>
      <c r="AN685" s="832"/>
      <c r="AO685" s="832"/>
      <c r="AP685" s="832"/>
      <c r="AQ685" s="832"/>
      <c r="AR685" s="832"/>
      <c r="AS685" s="832"/>
      <c r="AT685" s="832"/>
      <c r="AU685" s="832"/>
      <c r="AV685" s="832"/>
      <c r="AW685" s="832"/>
      <c r="AX685" s="832"/>
      <c r="AY685" s="832"/>
      <c r="AZ685" s="832"/>
      <c r="BA685" s="832"/>
      <c r="BB685" s="832"/>
      <c r="BC685" s="832"/>
      <c r="BD685" s="832"/>
      <c r="BE685" s="832"/>
      <c r="BF685" s="832"/>
      <c r="BG685" s="832"/>
      <c r="BH685" s="832"/>
      <c r="BI685" s="832"/>
      <c r="BJ685" s="832"/>
      <c r="BK685" s="832"/>
      <c r="BL685" s="832"/>
      <c r="BM685" s="832"/>
      <c r="BN685" s="832"/>
      <c r="BO685" s="832"/>
      <c r="BP685" s="832"/>
      <c r="BQ685" s="832"/>
      <c r="BR685" s="832"/>
      <c r="BS685" s="832"/>
      <c r="BT685" s="832"/>
      <c r="BU685" s="832"/>
      <c r="BV685" s="832"/>
      <c r="BW685" s="832"/>
      <c r="BX685" s="832"/>
      <c r="BY685" s="832"/>
      <c r="BZ685" s="832"/>
      <c r="CA685" s="832"/>
      <c r="CB685" s="832"/>
      <c r="CC685" s="832"/>
      <c r="CD685" s="832"/>
      <c r="CE685" s="832"/>
      <c r="CF685" s="832"/>
      <c r="CG685" s="832"/>
      <c r="CH685" s="832"/>
      <c r="CI685" s="832"/>
      <c r="CJ685" s="832"/>
      <c r="CK685" s="832"/>
      <c r="CL685" s="832"/>
      <c r="CM685" s="832"/>
      <c r="CN685" s="832"/>
      <c r="CO685" s="832"/>
      <c r="CP685" s="832"/>
      <c r="CQ685" s="832"/>
      <c r="CR685" s="832"/>
      <c r="CS685" s="832"/>
      <c r="CT685" s="832"/>
      <c r="CU685" s="832"/>
      <c r="CV685" s="832"/>
      <c r="CW685" s="832"/>
      <c r="CX685" s="832"/>
      <c r="CY685" s="832"/>
      <c r="CZ685" s="832"/>
      <c r="DA685" s="832"/>
      <c r="DB685" s="832"/>
      <c r="DC685" s="832"/>
      <c r="DD685" s="832"/>
      <c r="DE685" s="832"/>
      <c r="DF685" s="832"/>
      <c r="DG685" s="832"/>
      <c r="DH685" s="832"/>
      <c r="DI685" s="832"/>
      <c r="DJ685" s="832"/>
      <c r="DK685" s="832"/>
      <c r="DL685" s="832"/>
      <c r="DM685" s="832"/>
      <c r="DN685" s="832"/>
      <c r="DO685" s="832"/>
      <c r="DP685" s="832"/>
      <c r="DQ685" s="832"/>
      <c r="DR685" s="832"/>
      <c r="DS685" s="832"/>
      <c r="DT685" s="832"/>
      <c r="DU685" s="832"/>
      <c r="DV685" s="832"/>
      <c r="DW685" s="832"/>
      <c r="DX685" s="832"/>
      <c r="DY685" s="832"/>
      <c r="DZ685" s="832"/>
      <c r="EA685" s="832"/>
      <c r="EB685" s="832"/>
      <c r="EC685" s="832"/>
      <c r="ED685" s="832"/>
      <c r="EE685" s="832"/>
      <c r="EF685" s="832"/>
      <c r="EG685" s="832"/>
      <c r="EH685" s="832"/>
      <c r="EI685" s="832"/>
      <c r="EJ685" s="832"/>
      <c r="EK685" s="832"/>
      <c r="EL685" s="832"/>
      <c r="EM685" s="832"/>
      <c r="EN685" s="832"/>
      <c r="EO685" s="832"/>
      <c r="EP685" s="832"/>
      <c r="EQ685" s="832"/>
      <c r="ER685" s="832"/>
      <c r="ES685" s="832"/>
      <c r="ET685" s="832"/>
      <c r="EU685" s="832"/>
      <c r="EV685" s="832"/>
      <c r="EW685" s="832"/>
      <c r="EX685" s="832"/>
      <c r="EY685" s="832"/>
      <c r="EZ685" s="832"/>
      <c r="FA685" s="832"/>
      <c r="FB685" s="832"/>
      <c r="FC685" s="832"/>
      <c r="FD685" s="832"/>
      <c r="FE685" s="832"/>
      <c r="FF685" s="832"/>
      <c r="FG685" s="832"/>
      <c r="FH685" s="832"/>
      <c r="FI685" s="832"/>
      <c r="FJ685" s="832"/>
      <c r="FK685" s="832"/>
      <c r="FL685" s="832"/>
      <c r="FM685" s="832"/>
      <c r="FN685" s="832"/>
      <c r="FO685" s="832"/>
      <c r="FP685" s="832"/>
      <c r="FQ685" s="832"/>
      <c r="FR685" s="832"/>
      <c r="FS685" s="832"/>
      <c r="FT685" s="832"/>
      <c r="FU685" s="832"/>
      <c r="FV685" s="832"/>
      <c r="FW685" s="832"/>
      <c r="FX685" s="832"/>
      <c r="FY685" s="832"/>
      <c r="FZ685" s="832"/>
      <c r="GA685" s="832"/>
      <c r="GB685" s="832"/>
      <c r="GC685" s="832"/>
      <c r="GD685" s="832"/>
      <c r="GE685" s="832"/>
      <c r="GF685" s="832"/>
      <c r="GG685" s="832"/>
      <c r="GH685" s="832"/>
      <c r="GI685" s="832"/>
      <c r="GJ685" s="832"/>
      <c r="GK685" s="832"/>
      <c r="GL685" s="832"/>
      <c r="GM685" s="832"/>
      <c r="GN685" s="832"/>
      <c r="GO685" s="832"/>
      <c r="GP685" s="832"/>
      <c r="GQ685" s="832"/>
      <c r="GR685" s="832"/>
      <c r="GS685" s="832"/>
      <c r="GT685" s="832"/>
      <c r="GU685" s="832"/>
      <c r="GV685" s="832"/>
      <c r="GW685" s="832"/>
      <c r="GX685" s="832"/>
      <c r="GY685" s="832"/>
      <c r="GZ685" s="832"/>
      <c r="HA685" s="832"/>
      <c r="HB685" s="832"/>
      <c r="HC685" s="832"/>
      <c r="HD685" s="832"/>
      <c r="HE685" s="832"/>
      <c r="HF685" s="832"/>
      <c r="HG685" s="832"/>
      <c r="HH685" s="832"/>
      <c r="HI685" s="832"/>
      <c r="HJ685" s="832"/>
      <c r="HK685" s="832"/>
      <c r="HL685" s="832"/>
      <c r="HM685" s="832"/>
    </row>
    <row r="686" spans="1:221" ht="12" customHeight="1">
      <c r="A686" s="1625"/>
      <c r="B686" s="1625"/>
      <c r="C686" s="1625"/>
      <c r="D686" s="1625"/>
      <c r="E686" s="1625"/>
      <c r="F686" s="1625"/>
      <c r="G686" s="1625"/>
      <c r="H686" s="1625"/>
      <c r="I686" s="1625"/>
      <c r="J686" s="1625"/>
      <c r="K686" s="1625"/>
      <c r="L686" s="1625"/>
      <c r="M686" s="1625"/>
      <c r="N686" s="1625"/>
      <c r="O686" s="1625"/>
      <c r="P686" s="1625"/>
      <c r="Q686" s="581"/>
      <c r="R686" s="581"/>
      <c r="S686" s="581"/>
      <c r="T686" s="581"/>
      <c r="U686" s="832"/>
      <c r="V686" s="832"/>
      <c r="W686" s="832"/>
      <c r="X686" s="832"/>
      <c r="Y686" s="832"/>
      <c r="Z686" s="832"/>
      <c r="AA686" s="832"/>
      <c r="AB686" s="832"/>
      <c r="AC686" s="832"/>
      <c r="AD686" s="832"/>
      <c r="AE686" s="832"/>
      <c r="AF686" s="832"/>
      <c r="AG686" s="832"/>
      <c r="AH686" s="832"/>
      <c r="AI686" s="832"/>
      <c r="AJ686" s="832"/>
      <c r="AK686" s="832"/>
      <c r="AL686" s="832"/>
      <c r="AM686" s="832"/>
      <c r="AN686" s="832"/>
      <c r="AO686" s="832"/>
      <c r="AP686" s="832"/>
      <c r="AQ686" s="832"/>
      <c r="AR686" s="832"/>
      <c r="AS686" s="832"/>
      <c r="AT686" s="832"/>
      <c r="AU686" s="832"/>
      <c r="AV686" s="832"/>
      <c r="AW686" s="832"/>
      <c r="AX686" s="832"/>
      <c r="AY686" s="832"/>
      <c r="AZ686" s="832"/>
      <c r="BA686" s="832"/>
      <c r="BB686" s="832"/>
      <c r="BC686" s="832"/>
      <c r="BD686" s="832"/>
      <c r="BE686" s="832"/>
      <c r="BF686" s="832"/>
      <c r="BG686" s="832"/>
      <c r="BH686" s="832"/>
      <c r="BI686" s="832"/>
      <c r="BJ686" s="832"/>
      <c r="BK686" s="832"/>
      <c r="BL686" s="832"/>
      <c r="BM686" s="832"/>
      <c r="BN686" s="832"/>
      <c r="BO686" s="832"/>
      <c r="BP686" s="832"/>
      <c r="BQ686" s="832"/>
      <c r="BR686" s="832"/>
      <c r="BS686" s="832"/>
      <c r="BT686" s="832"/>
      <c r="BU686" s="832"/>
      <c r="BV686" s="832"/>
      <c r="BW686" s="832"/>
      <c r="BX686" s="832"/>
      <c r="BY686" s="832"/>
      <c r="BZ686" s="832"/>
      <c r="CA686" s="832"/>
      <c r="CB686" s="832"/>
      <c r="CC686" s="832"/>
      <c r="CD686" s="832"/>
      <c r="CE686" s="832"/>
      <c r="CF686" s="832"/>
      <c r="CG686" s="832"/>
      <c r="CH686" s="832"/>
      <c r="CI686" s="832"/>
      <c r="CJ686" s="832"/>
      <c r="CK686" s="832"/>
      <c r="CL686" s="832"/>
      <c r="CM686" s="832"/>
      <c r="CN686" s="832"/>
      <c r="CO686" s="832"/>
      <c r="CP686" s="832"/>
      <c r="CQ686" s="832"/>
      <c r="CR686" s="832"/>
      <c r="CS686" s="832"/>
      <c r="CT686" s="832"/>
      <c r="CU686" s="832"/>
      <c r="CV686" s="832"/>
      <c r="CW686" s="832"/>
      <c r="CX686" s="832"/>
      <c r="CY686" s="832"/>
      <c r="CZ686" s="832"/>
      <c r="DA686" s="832"/>
      <c r="DB686" s="832"/>
      <c r="DC686" s="832"/>
      <c r="DD686" s="832"/>
      <c r="DE686" s="832"/>
      <c r="DF686" s="832"/>
      <c r="DG686" s="832"/>
      <c r="DH686" s="832"/>
      <c r="DI686" s="832"/>
      <c r="DJ686" s="832"/>
      <c r="DK686" s="832"/>
      <c r="DL686" s="832"/>
      <c r="DM686" s="832"/>
      <c r="DN686" s="832"/>
      <c r="DO686" s="832"/>
      <c r="DP686" s="832"/>
      <c r="DQ686" s="832"/>
      <c r="DR686" s="832"/>
      <c r="DS686" s="832"/>
      <c r="DT686" s="832"/>
      <c r="DU686" s="832"/>
      <c r="DV686" s="832"/>
      <c r="DW686" s="832"/>
      <c r="DX686" s="832"/>
      <c r="DY686" s="832"/>
      <c r="DZ686" s="832"/>
      <c r="EA686" s="832"/>
      <c r="EB686" s="832"/>
      <c r="EC686" s="832"/>
      <c r="ED686" s="832"/>
      <c r="EE686" s="832"/>
      <c r="EF686" s="832"/>
      <c r="EG686" s="832"/>
      <c r="EH686" s="832"/>
      <c r="EI686" s="832"/>
      <c r="EJ686" s="832"/>
      <c r="EK686" s="832"/>
      <c r="EL686" s="832"/>
      <c r="EM686" s="832"/>
      <c r="EN686" s="832"/>
      <c r="EO686" s="832"/>
      <c r="EP686" s="832"/>
      <c r="EQ686" s="832"/>
      <c r="ER686" s="832"/>
      <c r="ES686" s="832"/>
      <c r="ET686" s="832"/>
      <c r="EU686" s="832"/>
      <c r="EV686" s="832"/>
      <c r="EW686" s="832"/>
      <c r="EX686" s="832"/>
      <c r="EY686" s="832"/>
      <c r="EZ686" s="832"/>
      <c r="FA686" s="832"/>
      <c r="FB686" s="832"/>
      <c r="FC686" s="832"/>
      <c r="FD686" s="832"/>
      <c r="FE686" s="832"/>
      <c r="FF686" s="832"/>
      <c r="FG686" s="832"/>
      <c r="FH686" s="832"/>
      <c r="FI686" s="832"/>
      <c r="FJ686" s="832"/>
      <c r="FK686" s="832"/>
      <c r="FL686" s="832"/>
      <c r="FM686" s="832"/>
      <c r="FN686" s="832"/>
      <c r="FO686" s="832"/>
      <c r="FP686" s="832"/>
      <c r="FQ686" s="832"/>
      <c r="FR686" s="832"/>
      <c r="FS686" s="832"/>
      <c r="FT686" s="832"/>
      <c r="FU686" s="832"/>
      <c r="FV686" s="832"/>
      <c r="FW686" s="832"/>
      <c r="FX686" s="832"/>
      <c r="FY686" s="832"/>
      <c r="FZ686" s="832"/>
      <c r="GA686" s="832"/>
      <c r="GB686" s="832"/>
      <c r="GC686" s="832"/>
      <c r="GD686" s="832"/>
      <c r="GE686" s="832"/>
      <c r="GF686" s="832"/>
      <c r="GG686" s="832"/>
      <c r="GH686" s="832"/>
      <c r="GI686" s="832"/>
      <c r="GJ686" s="832"/>
      <c r="GK686" s="832"/>
      <c r="GL686" s="832"/>
      <c r="GM686" s="832"/>
      <c r="GN686" s="832"/>
      <c r="GO686" s="832"/>
      <c r="GP686" s="832"/>
      <c r="GQ686" s="832"/>
      <c r="GR686" s="832"/>
      <c r="GS686" s="832"/>
      <c r="GT686" s="832"/>
      <c r="GU686" s="832"/>
      <c r="GV686" s="832"/>
      <c r="GW686" s="832"/>
      <c r="GX686" s="832"/>
      <c r="GY686" s="832"/>
      <c r="GZ686" s="832"/>
      <c r="HA686" s="832"/>
      <c r="HB686" s="832"/>
      <c r="HC686" s="832"/>
      <c r="HD686" s="832"/>
      <c r="HE686" s="832"/>
      <c r="HF686" s="832"/>
      <c r="HG686" s="832"/>
      <c r="HH686" s="832"/>
      <c r="HI686" s="832"/>
      <c r="HJ686" s="832"/>
      <c r="HK686" s="832"/>
      <c r="HL686" s="832"/>
      <c r="HM686" s="832"/>
    </row>
    <row r="687" spans="1:221" ht="14.45" customHeight="1">
      <c r="A687" s="833" t="s">
        <v>790</v>
      </c>
      <c r="B687" s="833" t="s">
        <v>567</v>
      </c>
      <c r="Q687" s="1626" t="str">
        <f>IF(SUM(Q690:Q734)&gt;0,"ERROR Between Rent Schedule &amp; Unit Summary:", "")</f>
        <v>ERROR Between Rent Schedule &amp; Unit Summary:</v>
      </c>
      <c r="R687" s="1115"/>
      <c r="S687" s="1115"/>
      <c r="T687" s="584" t="str">
        <f>B687</f>
        <v>UNIT SUMMARY</v>
      </c>
      <c r="U687" s="833" t="s">
        <v>567</v>
      </c>
      <c r="AH687" s="581"/>
      <c r="FY687" s="830"/>
      <c r="FZ687" s="830"/>
      <c r="GA687" s="830"/>
      <c r="GB687" s="830"/>
      <c r="GC687" s="830"/>
      <c r="GD687" s="830"/>
      <c r="GE687" s="830"/>
      <c r="GF687" s="830"/>
      <c r="GG687" s="830"/>
      <c r="GH687" s="830"/>
      <c r="GI687" s="830"/>
      <c r="GJ687" s="830"/>
      <c r="GK687" s="830"/>
      <c r="GL687" s="830"/>
      <c r="GM687" s="830"/>
      <c r="GN687" s="830"/>
      <c r="GO687" s="830"/>
      <c r="GV687" s="833"/>
      <c r="GW687" s="833"/>
      <c r="HM687" s="833"/>
    </row>
    <row r="688" spans="1:221" ht="3" customHeight="1">
      <c r="A688" s="833"/>
      <c r="B688" s="833"/>
      <c r="Q688" s="1627"/>
      <c r="R688" s="1116"/>
      <c r="S688" s="1116"/>
      <c r="T688" s="833"/>
      <c r="U688" s="833"/>
      <c r="AH688" s="581"/>
      <c r="FY688" s="830"/>
      <c r="FZ688" s="830"/>
      <c r="GA688" s="830"/>
      <c r="GB688" s="830"/>
      <c r="GC688" s="830"/>
      <c r="GD688" s="830"/>
      <c r="GE688" s="830"/>
      <c r="GF688" s="830"/>
      <c r="GG688" s="830"/>
      <c r="GH688" s="830"/>
      <c r="GI688" s="830"/>
      <c r="GJ688" s="830"/>
      <c r="GK688" s="830"/>
      <c r="GL688" s="830"/>
      <c r="GM688" s="830"/>
      <c r="GN688" s="830"/>
      <c r="GO688" s="830"/>
      <c r="GV688" s="833"/>
      <c r="GW688" s="833"/>
      <c r="HM688" s="833"/>
    </row>
    <row r="689" spans="1:221" ht="14.45" customHeight="1">
      <c r="A689" s="833"/>
      <c r="B689" s="833" t="s">
        <v>1204</v>
      </c>
      <c r="H689" s="580" t="s">
        <v>601</v>
      </c>
      <c r="I689" s="580" t="s">
        <v>568</v>
      </c>
      <c r="J689" s="580" t="s">
        <v>569</v>
      </c>
      <c r="K689" s="580" t="s">
        <v>570</v>
      </c>
      <c r="L689" s="580" t="s">
        <v>571</v>
      </c>
      <c r="M689" s="580" t="s">
        <v>572</v>
      </c>
      <c r="Q689" s="1627"/>
      <c r="R689" s="1116"/>
      <c r="S689" s="1116"/>
      <c r="T689" s="1628" t="s">
        <v>1975</v>
      </c>
      <c r="U689" s="1628"/>
      <c r="AA689" s="580"/>
      <c r="AB689" s="580"/>
      <c r="AC689" s="580"/>
      <c r="AD689" s="580"/>
      <c r="AE689" s="580"/>
      <c r="AF689" s="580"/>
      <c r="AH689" s="581"/>
      <c r="FY689" s="830"/>
      <c r="FZ689" s="830"/>
      <c r="GA689" s="830"/>
      <c r="GB689" s="830"/>
      <c r="GC689" s="830"/>
      <c r="GD689" s="830"/>
      <c r="GE689" s="830"/>
      <c r="GF689" s="830"/>
      <c r="GG689" s="830"/>
      <c r="GH689" s="830"/>
      <c r="GI689" s="830"/>
      <c r="GJ689" s="830"/>
      <c r="GK689" s="830"/>
      <c r="GL689" s="830"/>
      <c r="GM689" s="830"/>
      <c r="GN689" s="830"/>
      <c r="GO689" s="830"/>
      <c r="GV689" s="833"/>
      <c r="GW689" s="833"/>
      <c r="HM689" s="833"/>
    </row>
    <row r="690" spans="1:221" ht="12" customHeight="1">
      <c r="C690" s="581" t="s">
        <v>1206</v>
      </c>
      <c r="D690" s="581"/>
      <c r="E690" s="581"/>
      <c r="F690" s="581"/>
      <c r="G690" s="582" t="s">
        <v>1218</v>
      </c>
      <c r="H690" s="911">
        <f>V682</f>
        <v>0</v>
      </c>
      <c r="I690" s="911">
        <f>W682</f>
        <v>19</v>
      </c>
      <c r="J690" s="911">
        <f>X682</f>
        <v>22</v>
      </c>
      <c r="K690" s="911">
        <f>Y682</f>
        <v>13</v>
      </c>
      <c r="L690" s="911">
        <f>Z682</f>
        <v>0</v>
      </c>
      <c r="M690" s="911">
        <f t="shared" ref="M690:M696" si="210">SUM(H690:L690)</f>
        <v>54</v>
      </c>
      <c r="N690" s="1583" t="s">
        <v>946</v>
      </c>
      <c r="O690" s="1583"/>
      <c r="P690" s="1060"/>
      <c r="Q690" s="1058">
        <f t="shared" ref="Q690:Q696" si="211">ABS(M690-AF690)</f>
        <v>54</v>
      </c>
      <c r="R690" s="1058"/>
      <c r="S690" s="1058"/>
      <c r="T690" s="1575"/>
      <c r="U690" s="1575"/>
      <c r="V690" s="581"/>
      <c r="W690" s="581"/>
      <c r="X690" s="581"/>
      <c r="Y690" s="581"/>
      <c r="Z690" s="582"/>
      <c r="AA690" s="583"/>
      <c r="AB690" s="583"/>
      <c r="AC690" s="583"/>
      <c r="AD690" s="583"/>
      <c r="AE690" s="583"/>
      <c r="AF690" s="583"/>
      <c r="AG690" s="582"/>
      <c r="AH690" s="581"/>
      <c r="FY690" s="830"/>
      <c r="FZ690" s="830"/>
      <c r="GA690" s="830"/>
      <c r="GB690" s="830"/>
      <c r="GC690" s="830"/>
      <c r="GD690" s="830"/>
      <c r="GE690" s="830"/>
      <c r="GF690" s="830"/>
      <c r="GG690" s="830"/>
      <c r="GH690" s="830"/>
      <c r="GI690" s="830"/>
      <c r="GJ690" s="830"/>
      <c r="GK690" s="830"/>
      <c r="GL690" s="830"/>
      <c r="GM690" s="830"/>
      <c r="GN690" s="830"/>
      <c r="GO690" s="830"/>
      <c r="GV690" s="833"/>
      <c r="GW690" s="833"/>
      <c r="HM690" s="833"/>
    </row>
    <row r="691" spans="1:221" ht="12" customHeight="1">
      <c r="A691" s="1629" t="s">
        <v>464</v>
      </c>
      <c r="B691" s="1629"/>
      <c r="C691" s="584"/>
      <c r="D691" s="581"/>
      <c r="E691" s="581"/>
      <c r="F691" s="581"/>
      <c r="G691" s="582" t="s">
        <v>121</v>
      </c>
      <c r="H691" s="911">
        <f>AA682</f>
        <v>0</v>
      </c>
      <c r="I691" s="911">
        <f>AB682</f>
        <v>5</v>
      </c>
      <c r="J691" s="911">
        <f>AC682</f>
        <v>8</v>
      </c>
      <c r="K691" s="911">
        <f>AD682</f>
        <v>2</v>
      </c>
      <c r="L691" s="911">
        <f>AE682</f>
        <v>0</v>
      </c>
      <c r="M691" s="911">
        <f t="shared" si="210"/>
        <v>15</v>
      </c>
      <c r="N691" s="1583"/>
      <c r="O691" s="1583"/>
      <c r="P691" s="1060"/>
      <c r="Q691" s="1058">
        <f t="shared" si="211"/>
        <v>15</v>
      </c>
      <c r="R691" s="1058"/>
      <c r="S691" s="1058"/>
      <c r="T691" s="1575"/>
      <c r="U691" s="1575"/>
      <c r="V691" s="584"/>
      <c r="W691" s="581"/>
      <c r="X691" s="581"/>
      <c r="Y691" s="581"/>
      <c r="Z691" s="582"/>
      <c r="AA691" s="583"/>
      <c r="AB691" s="583"/>
      <c r="AC691" s="583"/>
      <c r="AD691" s="583"/>
      <c r="AE691" s="583"/>
      <c r="AF691" s="583"/>
      <c r="AG691" s="582"/>
      <c r="AH691" s="581"/>
      <c r="FY691" s="830"/>
      <c r="FZ691" s="830"/>
      <c r="GA691" s="830"/>
      <c r="GB691" s="830"/>
      <c r="GC691" s="830"/>
      <c r="GD691" s="830"/>
      <c r="GE691" s="830"/>
      <c r="GF691" s="830"/>
      <c r="GG691" s="830"/>
      <c r="GH691" s="830"/>
      <c r="GI691" s="830"/>
      <c r="GJ691" s="830"/>
      <c r="GK691" s="830"/>
      <c r="GL691" s="830"/>
      <c r="GM691" s="830"/>
      <c r="GN691" s="830"/>
      <c r="GO691" s="830"/>
      <c r="GV691" s="833"/>
      <c r="GW691" s="833"/>
      <c r="HM691" s="833"/>
    </row>
    <row r="692" spans="1:221" ht="12" customHeight="1">
      <c r="A692" s="1629"/>
      <c r="B692" s="1629"/>
      <c r="C692" s="584"/>
      <c r="D692" s="581"/>
      <c r="E692" s="581"/>
      <c r="F692" s="581"/>
      <c r="G692" s="582" t="s">
        <v>572</v>
      </c>
      <c r="H692" s="911">
        <f>SUM(H690:H691)</f>
        <v>0</v>
      </c>
      <c r="I692" s="911">
        <f>SUM(I690:I691)</f>
        <v>24</v>
      </c>
      <c r="J692" s="911">
        <f>SUM(J690:J691)</f>
        <v>30</v>
      </c>
      <c r="K692" s="911">
        <f>SUM(K690:K691)</f>
        <v>15</v>
      </c>
      <c r="L692" s="911">
        <f>SUM(L690:L691)</f>
        <v>0</v>
      </c>
      <c r="M692" s="911">
        <f t="shared" si="210"/>
        <v>69</v>
      </c>
      <c r="N692" s="1073"/>
      <c r="Q692" s="1058">
        <f t="shared" si="211"/>
        <v>69</v>
      </c>
      <c r="R692" s="1058"/>
      <c r="S692" s="1058"/>
      <c r="T692" s="1575"/>
      <c r="U692" s="1575"/>
      <c r="V692" s="584"/>
      <c r="W692" s="581"/>
      <c r="X692" s="581"/>
      <c r="Y692" s="581"/>
      <c r="Z692" s="582"/>
      <c r="AA692" s="583"/>
      <c r="AB692" s="583"/>
      <c r="AC692" s="583"/>
      <c r="AD692" s="583"/>
      <c r="AE692" s="583"/>
      <c r="AF692" s="583"/>
      <c r="AG692" s="582"/>
      <c r="AH692" s="581"/>
      <c r="FY692" s="830"/>
      <c r="FZ692" s="830"/>
      <c r="GA692" s="830"/>
      <c r="GB692" s="830"/>
      <c r="GC692" s="830"/>
      <c r="GD692" s="830"/>
      <c r="GE692" s="830"/>
      <c r="GF692" s="830"/>
      <c r="GG692" s="830"/>
      <c r="GH692" s="830"/>
      <c r="GI692" s="830"/>
      <c r="GJ692" s="830"/>
      <c r="GK692" s="830"/>
      <c r="GL692" s="830"/>
      <c r="GM692" s="830"/>
      <c r="GN692" s="830"/>
      <c r="GO692" s="830"/>
      <c r="GV692" s="833"/>
      <c r="GW692" s="833"/>
      <c r="HM692" s="833"/>
    </row>
    <row r="693" spans="1:221" ht="12" customHeight="1">
      <c r="A693" s="1629"/>
      <c r="B693" s="1629"/>
      <c r="C693" s="581" t="s">
        <v>319</v>
      </c>
      <c r="D693" s="581"/>
      <c r="E693" s="581"/>
      <c r="F693" s="581"/>
      <c r="G693" s="582"/>
      <c r="H693" s="911">
        <f>AK682</f>
        <v>0</v>
      </c>
      <c r="I693" s="911">
        <f>AL682</f>
        <v>0</v>
      </c>
      <c r="J693" s="911">
        <f>AM682</f>
        <v>0</v>
      </c>
      <c r="K693" s="911">
        <f>AN682</f>
        <v>0</v>
      </c>
      <c r="L693" s="911">
        <f>AO682</f>
        <v>0</v>
      </c>
      <c r="M693" s="911">
        <f t="shared" si="210"/>
        <v>0</v>
      </c>
      <c r="N693" s="565"/>
      <c r="Q693" s="1058">
        <f t="shared" si="211"/>
        <v>0</v>
      </c>
      <c r="R693" s="1058"/>
      <c r="S693" s="1058"/>
      <c r="T693" s="1575"/>
      <c r="U693" s="1575"/>
      <c r="V693" s="581"/>
      <c r="W693" s="581"/>
      <c r="X693" s="581"/>
      <c r="Y693" s="581"/>
      <c r="Z693" s="582"/>
      <c r="AA693" s="583"/>
      <c r="AB693" s="583"/>
      <c r="AC693" s="583"/>
      <c r="AD693" s="583"/>
      <c r="AE693" s="583"/>
      <c r="AF693" s="583"/>
      <c r="AG693" s="565"/>
      <c r="AH693" s="581"/>
      <c r="FY693" s="830"/>
      <c r="FZ693" s="830"/>
      <c r="GA693" s="830"/>
      <c r="GB693" s="830"/>
      <c r="GC693" s="830"/>
      <c r="GD693" s="830"/>
      <c r="GE693" s="830"/>
      <c r="GF693" s="830"/>
      <c r="GG693" s="830"/>
      <c r="GH693" s="830"/>
      <c r="GI693" s="830"/>
      <c r="GJ693" s="830"/>
      <c r="GK693" s="830"/>
      <c r="GL693" s="830"/>
      <c r="GM693" s="830"/>
      <c r="GN693" s="830"/>
      <c r="GO693" s="830"/>
      <c r="GV693" s="833"/>
      <c r="GW693" s="833"/>
      <c r="HM693" s="833"/>
    </row>
    <row r="694" spans="1:221" ht="12" customHeight="1">
      <c r="A694" s="1629"/>
      <c r="B694" s="1629"/>
      <c r="C694" s="581" t="s">
        <v>1207</v>
      </c>
      <c r="D694" s="581"/>
      <c r="E694" s="581"/>
      <c r="F694" s="581"/>
      <c r="G694" s="582"/>
      <c r="H694" s="911">
        <f>SUM(H692:H693)</f>
        <v>0</v>
      </c>
      <c r="I694" s="911">
        <f>SUM(I692:I693)</f>
        <v>24</v>
      </c>
      <c r="J694" s="911">
        <f>SUM(J692:J693)</f>
        <v>30</v>
      </c>
      <c r="K694" s="911">
        <f>SUM(K692:K693)</f>
        <v>15</v>
      </c>
      <c r="L694" s="911">
        <f>SUM(L692:L693)</f>
        <v>0</v>
      </c>
      <c r="M694" s="911">
        <f t="shared" si="210"/>
        <v>69</v>
      </c>
      <c r="N694" s="565"/>
      <c r="Q694" s="1058">
        <f t="shared" si="211"/>
        <v>69</v>
      </c>
      <c r="R694" s="1058"/>
      <c r="S694" s="1058"/>
      <c r="T694" s="1575"/>
      <c r="U694" s="1575"/>
      <c r="V694" s="581"/>
      <c r="W694" s="581"/>
      <c r="X694" s="581"/>
      <c r="Y694" s="581"/>
      <c r="Z694" s="582"/>
      <c r="AA694" s="583"/>
      <c r="AB694" s="583"/>
      <c r="AC694" s="583"/>
      <c r="AD694" s="583"/>
      <c r="AE694" s="583"/>
      <c r="AF694" s="583"/>
      <c r="AG694" s="565"/>
      <c r="AH694" s="581"/>
      <c r="FY694" s="830"/>
      <c r="FZ694" s="830"/>
      <c r="GA694" s="830"/>
      <c r="GB694" s="830"/>
      <c r="GC694" s="830"/>
      <c r="GD694" s="830"/>
      <c r="GE694" s="830"/>
      <c r="GF694" s="830"/>
      <c r="GG694" s="830"/>
      <c r="GH694" s="830"/>
      <c r="GI694" s="830"/>
      <c r="GJ694" s="830"/>
      <c r="GK694" s="830"/>
      <c r="GL694" s="830"/>
      <c r="GM694" s="830"/>
      <c r="GN694" s="830"/>
      <c r="GO694" s="830"/>
      <c r="GV694" s="833"/>
      <c r="GW694" s="833"/>
      <c r="HM694" s="833"/>
    </row>
    <row r="695" spans="1:221" ht="12" customHeight="1">
      <c r="A695" s="1629"/>
      <c r="B695" s="1629"/>
      <c r="C695" s="581" t="s">
        <v>2684</v>
      </c>
      <c r="D695" s="581"/>
      <c r="E695" s="581"/>
      <c r="F695" s="581"/>
      <c r="G695" s="582"/>
      <c r="H695" s="911">
        <f>BT682</f>
        <v>0</v>
      </c>
      <c r="I695" s="911">
        <f>BU682</f>
        <v>0</v>
      </c>
      <c r="J695" s="911">
        <f>BV682</f>
        <v>0</v>
      </c>
      <c r="K695" s="911">
        <f>BW682</f>
        <v>0</v>
      </c>
      <c r="L695" s="911">
        <f>BX682</f>
        <v>0</v>
      </c>
      <c r="M695" s="911">
        <f t="shared" si="210"/>
        <v>0</v>
      </c>
      <c r="N695" s="582" t="s">
        <v>2358</v>
      </c>
      <c r="Q695" s="1058">
        <f t="shared" si="211"/>
        <v>0</v>
      </c>
      <c r="R695" s="1058"/>
      <c r="S695" s="1058"/>
      <c r="T695" s="1575"/>
      <c r="U695" s="1575"/>
      <c r="V695" s="581"/>
      <c r="W695" s="581"/>
      <c r="X695" s="581"/>
      <c r="Y695" s="581"/>
      <c r="Z695" s="582"/>
      <c r="AA695" s="583"/>
      <c r="AB695" s="583"/>
      <c r="AC695" s="583"/>
      <c r="AD695" s="583"/>
      <c r="AE695" s="583"/>
      <c r="AF695" s="583"/>
      <c r="AG695" s="582"/>
      <c r="AH695" s="581"/>
      <c r="FY695" s="830"/>
      <c r="FZ695" s="830"/>
      <c r="GA695" s="830"/>
      <c r="GB695" s="830"/>
      <c r="GC695" s="830"/>
      <c r="GD695" s="830"/>
      <c r="GE695" s="830"/>
      <c r="GF695" s="830"/>
      <c r="GG695" s="830"/>
      <c r="GH695" s="830"/>
      <c r="GI695" s="830"/>
      <c r="GJ695" s="830"/>
      <c r="GK695" s="830"/>
      <c r="GL695" s="830"/>
      <c r="GM695" s="830"/>
      <c r="GN695" s="830"/>
      <c r="GO695" s="830"/>
      <c r="GV695" s="833"/>
      <c r="GW695" s="833"/>
      <c r="HM695" s="833"/>
    </row>
    <row r="696" spans="1:221" ht="12" customHeight="1">
      <c r="A696" s="1629"/>
      <c r="B696" s="1629"/>
      <c r="C696" s="581" t="s">
        <v>572</v>
      </c>
      <c r="D696" s="581"/>
      <c r="E696" s="581"/>
      <c r="F696" s="581"/>
      <c r="G696" s="582"/>
      <c r="H696" s="911">
        <f>SUM(H694:H695)</f>
        <v>0</v>
      </c>
      <c r="I696" s="911">
        <f>SUM(I694:I695)</f>
        <v>24</v>
      </c>
      <c r="J696" s="911">
        <f>SUM(J694:J695)</f>
        <v>30</v>
      </c>
      <c r="K696" s="911">
        <f>SUM(K694:K695)</f>
        <v>15</v>
      </c>
      <c r="L696" s="911">
        <f>SUM(L694:L695)</f>
        <v>0</v>
      </c>
      <c r="M696" s="911">
        <f t="shared" si="210"/>
        <v>69</v>
      </c>
      <c r="Q696" s="1058">
        <f t="shared" si="211"/>
        <v>69</v>
      </c>
      <c r="R696" s="1058"/>
      <c r="S696" s="1058"/>
      <c r="T696" s="1575"/>
      <c r="U696" s="1575"/>
      <c r="V696" s="581"/>
      <c r="W696" s="581"/>
      <c r="X696" s="581"/>
      <c r="Y696" s="581"/>
      <c r="Z696" s="582"/>
      <c r="AA696" s="583"/>
      <c r="AB696" s="583"/>
      <c r="AC696" s="583"/>
      <c r="AD696" s="583"/>
      <c r="AE696" s="583"/>
      <c r="AF696" s="583"/>
      <c r="AH696" s="581"/>
      <c r="FY696" s="830"/>
      <c r="FZ696" s="830"/>
      <c r="GA696" s="830"/>
      <c r="GB696" s="830"/>
      <c r="GC696" s="830"/>
      <c r="GD696" s="830"/>
      <c r="GE696" s="830"/>
      <c r="GF696" s="830"/>
      <c r="GG696" s="830"/>
      <c r="GH696" s="830"/>
      <c r="GI696" s="830"/>
      <c r="GJ696" s="830"/>
      <c r="GK696" s="830"/>
      <c r="GL696" s="830"/>
      <c r="GM696" s="830"/>
      <c r="GN696" s="830"/>
      <c r="GO696" s="830"/>
      <c r="GV696" s="833"/>
      <c r="GW696" s="833"/>
      <c r="HM696" s="833"/>
    </row>
    <row r="697" spans="1:221" ht="12" customHeight="1">
      <c r="A697" s="1629"/>
      <c r="B697" s="1629"/>
      <c r="C697" s="581"/>
      <c r="D697" s="581"/>
      <c r="E697" s="581"/>
      <c r="F697" s="581"/>
      <c r="G697" s="582"/>
      <c r="H697" s="910"/>
      <c r="I697" s="910"/>
      <c r="J697" s="910"/>
      <c r="K697" s="910"/>
      <c r="L697" s="910"/>
      <c r="M697" s="910"/>
      <c r="Q697" s="1058"/>
      <c r="R697" s="1058"/>
      <c r="S697" s="1058"/>
      <c r="T697" s="1095" t="str">
        <f>C698</f>
        <v>PBRA-Assisted</v>
      </c>
      <c r="V697" s="581"/>
      <c r="W697" s="581"/>
      <c r="X697" s="581"/>
      <c r="Y697" s="581"/>
      <c r="Z697" s="582"/>
      <c r="AA697" s="581"/>
      <c r="AB697" s="581"/>
      <c r="AC697" s="581"/>
      <c r="AD697" s="581"/>
      <c r="AE697" s="581"/>
      <c r="AF697" s="581"/>
      <c r="AH697" s="581"/>
      <c r="FY697" s="830"/>
      <c r="FZ697" s="830"/>
      <c r="GA697" s="830"/>
      <c r="GB697" s="830"/>
      <c r="GC697" s="830"/>
      <c r="GD697" s="830"/>
      <c r="GE697" s="830"/>
      <c r="GF697" s="830"/>
      <c r="GG697" s="830"/>
      <c r="GH697" s="830"/>
      <c r="GI697" s="830"/>
      <c r="GJ697" s="830"/>
      <c r="GK697" s="830"/>
      <c r="GL697" s="830"/>
      <c r="GM697" s="830"/>
      <c r="GN697" s="830"/>
      <c r="GO697" s="830"/>
      <c r="GV697" s="833"/>
      <c r="GW697" s="833"/>
      <c r="HM697" s="833"/>
    </row>
    <row r="698" spans="1:221" ht="12" customHeight="1">
      <c r="A698" s="1629"/>
      <c r="B698" s="1629"/>
      <c r="C698" s="581" t="s">
        <v>990</v>
      </c>
      <c r="D698" s="581"/>
      <c r="E698" s="585"/>
      <c r="F698" s="581"/>
      <c r="G698" s="582" t="s">
        <v>1218</v>
      </c>
      <c r="H698" s="911">
        <f>AZ682</f>
        <v>0</v>
      </c>
      <c r="I698" s="911">
        <f>BA682</f>
        <v>19</v>
      </c>
      <c r="J698" s="911">
        <f>BB682</f>
        <v>22</v>
      </c>
      <c r="K698" s="911">
        <f>BC682</f>
        <v>13</v>
      </c>
      <c r="L698" s="911">
        <f>BD682</f>
        <v>0</v>
      </c>
      <c r="M698" s="911">
        <f>SUM(H698:L698)</f>
        <v>54</v>
      </c>
      <c r="N698" s="582"/>
      <c r="Q698" s="1058">
        <f>ABS(M698-AF698)</f>
        <v>54</v>
      </c>
      <c r="R698" s="1058"/>
      <c r="S698" s="1058"/>
      <c r="T698" s="1575"/>
      <c r="U698" s="1575"/>
      <c r="V698" s="581"/>
      <c r="W698" s="581"/>
      <c r="X698" s="585"/>
      <c r="Y698" s="581"/>
      <c r="Z698" s="582"/>
      <c r="AA698" s="583"/>
      <c r="AB698" s="583"/>
      <c r="AC698" s="583"/>
      <c r="AD698" s="583"/>
      <c r="AE698" s="583"/>
      <c r="AF698" s="583"/>
      <c r="AG698" s="582"/>
      <c r="AH698" s="581"/>
      <c r="FY698" s="830"/>
      <c r="FZ698" s="830"/>
      <c r="GA698" s="830"/>
      <c r="GB698" s="830"/>
      <c r="GC698" s="830"/>
      <c r="GD698" s="830"/>
      <c r="GE698" s="830"/>
      <c r="GF698" s="830"/>
      <c r="GG698" s="830"/>
      <c r="GH698" s="830"/>
      <c r="GI698" s="830"/>
      <c r="GJ698" s="830"/>
      <c r="GK698" s="830"/>
      <c r="GL698" s="830"/>
      <c r="GM698" s="830"/>
      <c r="GN698" s="830"/>
      <c r="GO698" s="830"/>
      <c r="GV698" s="833"/>
      <c r="GW698" s="833"/>
      <c r="HM698" s="833"/>
    </row>
    <row r="699" spans="1:221" ht="12" customHeight="1">
      <c r="A699" s="1629"/>
      <c r="B699" s="1629"/>
      <c r="C699" s="582" t="s">
        <v>2685</v>
      </c>
      <c r="D699" s="581"/>
      <c r="E699" s="585"/>
      <c r="F699" s="581"/>
      <c r="G699" s="582" t="s">
        <v>121</v>
      </c>
      <c r="H699" s="911">
        <f>AU682</f>
        <v>0</v>
      </c>
      <c r="I699" s="911">
        <f>AV682</f>
        <v>5</v>
      </c>
      <c r="J699" s="911">
        <f>AW682</f>
        <v>8</v>
      </c>
      <c r="K699" s="911">
        <f>AX682</f>
        <v>2</v>
      </c>
      <c r="L699" s="911">
        <f>AY682</f>
        <v>0</v>
      </c>
      <c r="M699" s="911">
        <f>SUM(H699:L699)</f>
        <v>15</v>
      </c>
      <c r="N699" s="582"/>
      <c r="Q699" s="1058">
        <f>ABS(M699-AF699)</f>
        <v>15</v>
      </c>
      <c r="R699" s="1058"/>
      <c r="S699" s="1058"/>
      <c r="T699" s="1575"/>
      <c r="U699" s="1575"/>
      <c r="V699" s="582"/>
      <c r="W699" s="581"/>
      <c r="X699" s="585"/>
      <c r="Y699" s="581"/>
      <c r="Z699" s="582"/>
      <c r="AA699" s="583"/>
      <c r="AB699" s="583"/>
      <c r="AC699" s="583"/>
      <c r="AD699" s="583"/>
      <c r="AE699" s="583"/>
      <c r="AF699" s="583"/>
      <c r="AG699" s="582"/>
      <c r="AH699" s="581"/>
      <c r="FY699" s="830"/>
      <c r="FZ699" s="830"/>
      <c r="GA699" s="830"/>
      <c r="GB699" s="830"/>
      <c r="GC699" s="830"/>
      <c r="GD699" s="830"/>
      <c r="GE699" s="830"/>
      <c r="GF699" s="830"/>
      <c r="GG699" s="830"/>
      <c r="GH699" s="830"/>
      <c r="GI699" s="830"/>
      <c r="GJ699" s="830"/>
      <c r="GK699" s="830"/>
      <c r="GL699" s="830"/>
      <c r="GM699" s="830"/>
      <c r="GN699" s="830"/>
      <c r="GO699" s="830"/>
      <c r="GV699" s="833"/>
      <c r="GW699" s="833"/>
      <c r="HM699" s="833"/>
    </row>
    <row r="700" spans="1:221" ht="12" customHeight="1">
      <c r="A700" s="1629"/>
      <c r="B700" s="1629"/>
      <c r="C700" s="584"/>
      <c r="D700" s="581"/>
      <c r="E700" s="585"/>
      <c r="F700" s="581"/>
      <c r="G700" s="582" t="s">
        <v>572</v>
      </c>
      <c r="H700" s="911">
        <f>SUM(H698:H699)</f>
        <v>0</v>
      </c>
      <c r="I700" s="911">
        <f>SUM(I698:I699)</f>
        <v>24</v>
      </c>
      <c r="J700" s="911">
        <f>SUM(J698:J699)</f>
        <v>30</v>
      </c>
      <c r="K700" s="911">
        <f>SUM(K698:K699)</f>
        <v>15</v>
      </c>
      <c r="L700" s="911">
        <f>SUM(L698:L699)</f>
        <v>0</v>
      </c>
      <c r="M700" s="911">
        <f>SUM(H700:L700)</f>
        <v>69</v>
      </c>
      <c r="N700" s="582"/>
      <c r="Q700" s="1058">
        <f>ABS(M700-AF700)</f>
        <v>69</v>
      </c>
      <c r="R700" s="1058"/>
      <c r="S700" s="1058"/>
      <c r="T700" s="1575"/>
      <c r="U700" s="1575"/>
      <c r="V700" s="584"/>
      <c r="W700" s="581"/>
      <c r="X700" s="585"/>
      <c r="Y700" s="581"/>
      <c r="Z700" s="582"/>
      <c r="AA700" s="583"/>
      <c r="AB700" s="583"/>
      <c r="AC700" s="583"/>
      <c r="AD700" s="583"/>
      <c r="AE700" s="583"/>
      <c r="AF700" s="583"/>
      <c r="AG700" s="582"/>
      <c r="AH700" s="581"/>
      <c r="FY700" s="830"/>
      <c r="FZ700" s="830"/>
      <c r="GA700" s="830"/>
      <c r="GB700" s="830"/>
      <c r="GC700" s="830"/>
      <c r="GD700" s="830"/>
      <c r="GE700" s="830"/>
      <c r="GF700" s="830"/>
      <c r="GG700" s="830"/>
      <c r="GH700" s="830"/>
      <c r="GI700" s="830"/>
      <c r="GJ700" s="830"/>
      <c r="GK700" s="830"/>
      <c r="GL700" s="830"/>
      <c r="GM700" s="830"/>
      <c r="GN700" s="830"/>
      <c r="GO700" s="830"/>
      <c r="GV700" s="833"/>
      <c r="GW700" s="833"/>
      <c r="HM700" s="833"/>
    </row>
    <row r="701" spans="1:221" ht="12" customHeight="1">
      <c r="A701" s="1629"/>
      <c r="B701" s="1629"/>
      <c r="C701" s="581"/>
      <c r="D701" s="581"/>
      <c r="E701" s="581"/>
      <c r="F701" s="581"/>
      <c r="G701" s="582"/>
      <c r="H701" s="910"/>
      <c r="I701" s="910"/>
      <c r="J701" s="910"/>
      <c r="K701" s="910"/>
      <c r="L701" s="910"/>
      <c r="M701" s="910"/>
      <c r="Q701" s="1058"/>
      <c r="R701" s="1058"/>
      <c r="S701" s="1058"/>
      <c r="T701" s="1095" t="str">
        <f>C702</f>
        <v>PHA Operating Subsidy-Assisted</v>
      </c>
      <c r="V701" s="581"/>
      <c r="W701" s="581"/>
      <c r="X701" s="581"/>
      <c r="Y701" s="581"/>
      <c r="Z701" s="582"/>
      <c r="AA701" s="581"/>
      <c r="AB701" s="581"/>
      <c r="AC701" s="581"/>
      <c r="AD701" s="581"/>
      <c r="AE701" s="581"/>
      <c r="AF701" s="581"/>
      <c r="AH701" s="581"/>
      <c r="FY701" s="830"/>
      <c r="FZ701" s="830"/>
      <c r="GA701" s="830"/>
      <c r="GB701" s="830"/>
      <c r="GC701" s="830"/>
      <c r="GD701" s="830"/>
      <c r="GE701" s="830"/>
      <c r="GF701" s="830"/>
      <c r="GG701" s="830"/>
      <c r="GH701" s="830"/>
      <c r="GI701" s="830"/>
      <c r="GJ701" s="830"/>
      <c r="GK701" s="830"/>
      <c r="GL701" s="830"/>
      <c r="GM701" s="830"/>
      <c r="GN701" s="830"/>
      <c r="GO701" s="830"/>
      <c r="GV701" s="833"/>
      <c r="GW701" s="833"/>
      <c r="HM701" s="833"/>
    </row>
    <row r="702" spans="1:221" ht="12" customHeight="1">
      <c r="A702" s="1629"/>
      <c r="B702" s="1629"/>
      <c r="C702" s="581" t="s">
        <v>945</v>
      </c>
      <c r="D702" s="581"/>
      <c r="E702" s="585"/>
      <c r="F702" s="581"/>
      <c r="G702" s="582" t="s">
        <v>1218</v>
      </c>
      <c r="H702" s="911">
        <f>BO682</f>
        <v>0</v>
      </c>
      <c r="I702" s="911">
        <f>BP682</f>
        <v>0</v>
      </c>
      <c r="J702" s="911">
        <f>BQ682</f>
        <v>0</v>
      </c>
      <c r="K702" s="911">
        <f>BR682</f>
        <v>0</v>
      </c>
      <c r="L702" s="911">
        <f>BS682</f>
        <v>0</v>
      </c>
      <c r="M702" s="911">
        <f>SUM(H702:L702)</f>
        <v>0</v>
      </c>
      <c r="N702" s="582"/>
      <c r="Q702" s="1058">
        <f>ABS(M702-AF702)</f>
        <v>0</v>
      </c>
      <c r="R702" s="1058"/>
      <c r="S702" s="1058"/>
      <c r="T702" s="1575"/>
      <c r="U702" s="1575"/>
      <c r="V702" s="581"/>
      <c r="W702" s="581"/>
      <c r="X702" s="585"/>
      <c r="Y702" s="581"/>
      <c r="Z702" s="582"/>
      <c r="AA702" s="583"/>
      <c r="AB702" s="583"/>
      <c r="AC702" s="583"/>
      <c r="AD702" s="583"/>
      <c r="AE702" s="583"/>
      <c r="AF702" s="583"/>
      <c r="AG702" s="582"/>
      <c r="AH702" s="581"/>
      <c r="FY702" s="830"/>
      <c r="FZ702" s="830"/>
      <c r="GA702" s="830"/>
      <c r="GB702" s="830"/>
      <c r="GC702" s="830"/>
      <c r="GD702" s="830"/>
      <c r="GE702" s="830"/>
      <c r="GF702" s="830"/>
      <c r="GG702" s="830"/>
      <c r="GH702" s="830"/>
      <c r="GI702" s="830"/>
      <c r="GJ702" s="830"/>
      <c r="GK702" s="830"/>
      <c r="GL702" s="830"/>
      <c r="GM702" s="830"/>
      <c r="GN702" s="830"/>
      <c r="GO702" s="830"/>
      <c r="GV702" s="833"/>
      <c r="GW702" s="833"/>
      <c r="HM702" s="833"/>
    </row>
    <row r="703" spans="1:221" ht="12" customHeight="1">
      <c r="A703" s="1629"/>
      <c r="B703" s="1629"/>
      <c r="C703" s="582" t="s">
        <v>2685</v>
      </c>
      <c r="D703" s="581"/>
      <c r="E703" s="585"/>
      <c r="F703" s="581"/>
      <c r="G703" s="582" t="s">
        <v>121</v>
      </c>
      <c r="H703" s="911">
        <f>BJ682</f>
        <v>0</v>
      </c>
      <c r="I703" s="911">
        <f>BK682</f>
        <v>0</v>
      </c>
      <c r="J703" s="911">
        <f>BL682</f>
        <v>0</v>
      </c>
      <c r="K703" s="911">
        <f>BM682</f>
        <v>0</v>
      </c>
      <c r="L703" s="911">
        <f>BN682</f>
        <v>0</v>
      </c>
      <c r="M703" s="911">
        <f>SUM(H703:L703)</f>
        <v>0</v>
      </c>
      <c r="N703" s="582"/>
      <c r="Q703" s="1058">
        <f>ABS(M703-AF703)</f>
        <v>0</v>
      </c>
      <c r="R703" s="1058"/>
      <c r="S703" s="1058"/>
      <c r="T703" s="1575"/>
      <c r="U703" s="1575"/>
      <c r="V703" s="582"/>
      <c r="W703" s="581"/>
      <c r="X703" s="585"/>
      <c r="Y703" s="581"/>
      <c r="Z703" s="582"/>
      <c r="AA703" s="583"/>
      <c r="AB703" s="583"/>
      <c r="AC703" s="583"/>
      <c r="AD703" s="583"/>
      <c r="AE703" s="583"/>
      <c r="AF703" s="583"/>
      <c r="AG703" s="582"/>
      <c r="AH703" s="581"/>
      <c r="FY703" s="830"/>
      <c r="FZ703" s="830"/>
      <c r="GA703" s="830"/>
      <c r="GB703" s="830"/>
      <c r="GC703" s="830"/>
      <c r="GD703" s="830"/>
      <c r="GE703" s="830"/>
      <c r="GF703" s="830"/>
      <c r="GG703" s="830"/>
      <c r="GH703" s="830"/>
      <c r="GI703" s="830"/>
      <c r="GJ703" s="830"/>
      <c r="GK703" s="830"/>
      <c r="GL703" s="830"/>
      <c r="GM703" s="830"/>
      <c r="GN703" s="830"/>
      <c r="GO703" s="830"/>
      <c r="GV703" s="833"/>
      <c r="GW703" s="833"/>
      <c r="HM703" s="833"/>
    </row>
    <row r="704" spans="1:221" ht="12" customHeight="1">
      <c r="A704" s="1629"/>
      <c r="B704" s="1629"/>
      <c r="C704" s="584"/>
      <c r="D704" s="581"/>
      <c r="E704" s="585"/>
      <c r="F704" s="581"/>
      <c r="G704" s="582" t="s">
        <v>572</v>
      </c>
      <c r="H704" s="911">
        <f>SUM(H702:H703)</f>
        <v>0</v>
      </c>
      <c r="I704" s="911">
        <f>SUM(I702:I703)</f>
        <v>0</v>
      </c>
      <c r="J704" s="911">
        <f>SUM(J702:J703)</f>
        <v>0</v>
      </c>
      <c r="K704" s="911">
        <f>SUM(K702:K703)</f>
        <v>0</v>
      </c>
      <c r="L704" s="911">
        <f>SUM(L702:L703)</f>
        <v>0</v>
      </c>
      <c r="M704" s="911">
        <f>SUM(H704:L704)</f>
        <v>0</v>
      </c>
      <c r="N704" s="582"/>
      <c r="Q704" s="1058">
        <f>ABS(M704-AF704)</f>
        <v>0</v>
      </c>
      <c r="R704" s="1058"/>
      <c r="S704" s="1058"/>
      <c r="T704" s="1575"/>
      <c r="U704" s="1575"/>
      <c r="V704" s="584"/>
      <c r="W704" s="581"/>
      <c r="X704" s="585"/>
      <c r="Y704" s="581"/>
      <c r="Z704" s="582"/>
      <c r="AA704" s="583"/>
      <c r="AB704" s="583"/>
      <c r="AC704" s="583"/>
      <c r="AD704" s="583"/>
      <c r="AE704" s="583"/>
      <c r="AF704" s="583"/>
      <c r="AG704" s="582"/>
      <c r="AH704" s="581"/>
      <c r="FY704" s="830"/>
      <c r="FZ704" s="830"/>
      <c r="GA704" s="830"/>
      <c r="GB704" s="830"/>
      <c r="GC704" s="830"/>
      <c r="GD704" s="830"/>
      <c r="GE704" s="830"/>
      <c r="GF704" s="830"/>
      <c r="GG704" s="830"/>
      <c r="GH704" s="830"/>
      <c r="GI704" s="830"/>
      <c r="GJ704" s="830"/>
      <c r="GK704" s="830"/>
      <c r="GL704" s="830"/>
      <c r="GM704" s="830"/>
      <c r="GN704" s="830"/>
      <c r="GO704" s="830"/>
      <c r="GV704" s="833"/>
      <c r="GW704" s="833"/>
      <c r="HM704" s="833"/>
    </row>
    <row r="705" spans="1:221" ht="12" customHeight="1">
      <c r="A705" s="1629"/>
      <c r="B705" s="1629"/>
      <c r="C705" s="581" t="s">
        <v>40</v>
      </c>
      <c r="D705" s="581"/>
      <c r="E705" s="585"/>
      <c r="F705" s="581"/>
      <c r="G705" s="582"/>
      <c r="H705" s="910"/>
      <c r="I705" s="910"/>
      <c r="J705" s="910"/>
      <c r="K705" s="910"/>
      <c r="L705" s="910"/>
      <c r="M705" s="910"/>
      <c r="Q705" s="1058"/>
      <c r="R705" s="1058"/>
      <c r="S705" s="1058"/>
      <c r="T705" s="1095" t="str">
        <f>C705</f>
        <v>Type of Construction Activity</v>
      </c>
      <c r="V705" s="581"/>
      <c r="W705" s="581"/>
      <c r="X705" s="585"/>
      <c r="Y705" s="581"/>
      <c r="Z705" s="582"/>
      <c r="AA705" s="581"/>
      <c r="AB705" s="581"/>
      <c r="AC705" s="581"/>
      <c r="AD705" s="581"/>
      <c r="AE705" s="581"/>
      <c r="AF705" s="581"/>
      <c r="AH705" s="581"/>
      <c r="FY705" s="830"/>
      <c r="FZ705" s="830"/>
      <c r="GA705" s="830"/>
      <c r="GB705" s="830"/>
      <c r="GC705" s="830"/>
      <c r="GD705" s="830"/>
      <c r="GE705" s="830"/>
      <c r="GF705" s="830"/>
      <c r="GG705" s="830"/>
      <c r="GH705" s="830"/>
      <c r="GI705" s="830"/>
      <c r="GJ705" s="830"/>
      <c r="GK705" s="830"/>
      <c r="GL705" s="830"/>
      <c r="GM705" s="830"/>
      <c r="GN705" s="830"/>
      <c r="GO705" s="830"/>
      <c r="GV705" s="833"/>
      <c r="GW705" s="833"/>
      <c r="HM705" s="833"/>
    </row>
    <row r="706" spans="1:221" ht="12" customHeight="1">
      <c r="A706" s="1629"/>
      <c r="B706" s="1629"/>
      <c r="C706" s="581"/>
      <c r="D706" s="581"/>
      <c r="E706" s="585" t="s">
        <v>2446</v>
      </c>
      <c r="F706" s="581"/>
      <c r="G706" s="582" t="s">
        <v>1526</v>
      </c>
      <c r="H706" s="911">
        <f>DC682</f>
        <v>0</v>
      </c>
      <c r="I706" s="911">
        <f>DD682</f>
        <v>24</v>
      </c>
      <c r="J706" s="911">
        <f>DE682</f>
        <v>30</v>
      </c>
      <c r="K706" s="911">
        <f>DF682</f>
        <v>15</v>
      </c>
      <c r="L706" s="911">
        <f>DG682</f>
        <v>0</v>
      </c>
      <c r="M706" s="911">
        <f t="shared" ref="M706:M716" si="212">SUM(H706:L706)</f>
        <v>69</v>
      </c>
      <c r="Q706" s="1058">
        <f t="shared" ref="Q706:Q714" si="213">ABS(M706-AF706)</f>
        <v>69</v>
      </c>
      <c r="R706" s="1058"/>
      <c r="S706" s="1058"/>
      <c r="T706" s="1575"/>
      <c r="U706" s="1575"/>
      <c r="V706" s="581"/>
      <c r="W706" s="581"/>
      <c r="X706" s="585"/>
      <c r="Y706" s="581"/>
      <c r="Z706" s="582"/>
      <c r="AA706" s="583"/>
      <c r="AB706" s="583"/>
      <c r="AC706" s="583"/>
      <c r="AD706" s="583"/>
      <c r="AE706" s="583"/>
      <c r="AF706" s="583"/>
      <c r="GV706" s="833"/>
      <c r="GW706" s="833"/>
      <c r="HM706" s="833"/>
    </row>
    <row r="707" spans="1:221" ht="12" customHeight="1">
      <c r="A707" s="1629"/>
      <c r="B707" s="1629"/>
      <c r="C707" s="581"/>
      <c r="D707" s="581"/>
      <c r="E707" s="585"/>
      <c r="F707" s="581"/>
      <c r="G707" s="582" t="s">
        <v>319</v>
      </c>
      <c r="H707" s="911">
        <f>DH682</f>
        <v>0</v>
      </c>
      <c r="I707" s="911">
        <f>DI682</f>
        <v>0</v>
      </c>
      <c r="J707" s="911">
        <f>DJ682</f>
        <v>0</v>
      </c>
      <c r="K707" s="911">
        <f>DK682</f>
        <v>0</v>
      </c>
      <c r="L707" s="911">
        <f>DL682</f>
        <v>0</v>
      </c>
      <c r="M707" s="911">
        <f t="shared" si="212"/>
        <v>0</v>
      </c>
      <c r="N707" s="565"/>
      <c r="Q707" s="1058">
        <f t="shared" si="213"/>
        <v>0</v>
      </c>
      <c r="R707" s="1058"/>
      <c r="S707" s="1058"/>
      <c r="T707" s="1575"/>
      <c r="U707" s="1575"/>
      <c r="V707" s="581"/>
      <c r="W707" s="581"/>
      <c r="X707" s="585"/>
      <c r="Y707" s="581"/>
      <c r="Z707" s="582"/>
      <c r="AA707" s="583"/>
      <c r="AB707" s="583"/>
      <c r="AC707" s="583"/>
      <c r="AD707" s="583"/>
      <c r="AE707" s="583"/>
      <c r="AF707" s="583"/>
      <c r="AG707" s="565"/>
      <c r="AH707" s="581"/>
      <c r="FY707" s="830"/>
      <c r="FZ707" s="830"/>
      <c r="GA707" s="830"/>
      <c r="GB707" s="830"/>
      <c r="GC707" s="830"/>
      <c r="GD707" s="830"/>
      <c r="GE707" s="830"/>
      <c r="GF707" s="830"/>
      <c r="GG707" s="830"/>
      <c r="GH707" s="830"/>
      <c r="GI707" s="830"/>
      <c r="GJ707" s="830"/>
      <c r="GK707" s="830"/>
      <c r="GL707" s="830"/>
      <c r="GM707" s="830"/>
      <c r="GN707" s="830"/>
      <c r="GO707" s="830"/>
      <c r="GV707" s="833"/>
      <c r="GW707" s="833"/>
      <c r="HM707" s="833"/>
    </row>
    <row r="708" spans="1:221" ht="12" customHeight="1">
      <c r="A708" s="1629"/>
      <c r="B708" s="1629"/>
      <c r="C708" s="584"/>
      <c r="D708" s="581"/>
      <c r="E708" s="585"/>
      <c r="F708" s="581"/>
      <c r="G708" s="582" t="s">
        <v>33</v>
      </c>
      <c r="H708" s="911">
        <f>SUM(H706:H707)+DM682</f>
        <v>0</v>
      </c>
      <c r="I708" s="911">
        <f>SUM(I706:I707)+DN682</f>
        <v>24</v>
      </c>
      <c r="J708" s="911">
        <f>SUM(J706:J707)+DO682</f>
        <v>30</v>
      </c>
      <c r="K708" s="911">
        <f>SUM(K706:K707)+DP682</f>
        <v>15</v>
      </c>
      <c r="L708" s="911">
        <f>SUM(L706:L707)+DQ682</f>
        <v>0</v>
      </c>
      <c r="M708" s="911">
        <f t="shared" si="212"/>
        <v>69</v>
      </c>
      <c r="N708" s="582"/>
      <c r="Q708" s="1058">
        <f t="shared" si="213"/>
        <v>69</v>
      </c>
      <c r="R708" s="1058"/>
      <c r="S708" s="1058"/>
      <c r="T708" s="1575"/>
      <c r="U708" s="1575"/>
      <c r="V708" s="584"/>
      <c r="W708" s="581"/>
      <c r="X708" s="585"/>
      <c r="Y708" s="581"/>
      <c r="Z708" s="582"/>
      <c r="AA708" s="583"/>
      <c r="AB708" s="583"/>
      <c r="AC708" s="583"/>
      <c r="AD708" s="583"/>
      <c r="AE708" s="583"/>
      <c r="AF708" s="583"/>
      <c r="AG708" s="582"/>
      <c r="AH708" s="581"/>
      <c r="FY708" s="830"/>
      <c r="FZ708" s="830"/>
      <c r="GA708" s="830"/>
      <c r="GB708" s="830"/>
      <c r="GC708" s="830"/>
      <c r="GD708" s="830"/>
      <c r="GE708" s="830"/>
      <c r="GF708" s="830"/>
      <c r="GG708" s="830"/>
      <c r="GH708" s="830"/>
      <c r="GI708" s="830"/>
      <c r="GJ708" s="830"/>
      <c r="GK708" s="830"/>
      <c r="GL708" s="830"/>
      <c r="GM708" s="830"/>
      <c r="GN708" s="830"/>
      <c r="GO708" s="830"/>
      <c r="GV708" s="833"/>
      <c r="GW708" s="833"/>
      <c r="HM708" s="833"/>
    </row>
    <row r="709" spans="1:221" ht="12" customHeight="1">
      <c r="A709" s="1629"/>
      <c r="B709" s="1629"/>
      <c r="C709" s="581"/>
      <c r="D709" s="581"/>
      <c r="E709" s="585" t="s">
        <v>2277</v>
      </c>
      <c r="F709" s="581"/>
      <c r="G709" s="582" t="s">
        <v>1526</v>
      </c>
      <c r="H709" s="911">
        <f>DR682</f>
        <v>0</v>
      </c>
      <c r="I709" s="911">
        <f>DS682</f>
        <v>0</v>
      </c>
      <c r="J709" s="911">
        <f>DT682</f>
        <v>0</v>
      </c>
      <c r="K709" s="911">
        <f>DU682</f>
        <v>0</v>
      </c>
      <c r="L709" s="911">
        <f>DV682</f>
        <v>0</v>
      </c>
      <c r="M709" s="911">
        <f t="shared" si="212"/>
        <v>0</v>
      </c>
      <c r="Q709" s="1058">
        <f t="shared" si="213"/>
        <v>0</v>
      </c>
      <c r="R709" s="1058"/>
      <c r="S709" s="1058"/>
      <c r="T709" s="1575"/>
      <c r="U709" s="1575"/>
      <c r="V709" s="581"/>
      <c r="W709" s="581"/>
      <c r="X709" s="585"/>
      <c r="Y709" s="581"/>
      <c r="Z709" s="582"/>
      <c r="AA709" s="583"/>
      <c r="AB709" s="583"/>
      <c r="AC709" s="583"/>
      <c r="AD709" s="583"/>
      <c r="AE709" s="583"/>
      <c r="AF709" s="583"/>
      <c r="GV709" s="833"/>
      <c r="GW709" s="833"/>
      <c r="HM709" s="833"/>
    </row>
    <row r="710" spans="1:221" ht="12" customHeight="1">
      <c r="C710" s="581"/>
      <c r="D710" s="581"/>
      <c r="E710" s="585"/>
      <c r="F710" s="581"/>
      <c r="G710" s="582" t="s">
        <v>319</v>
      </c>
      <c r="H710" s="911">
        <f>DW682</f>
        <v>0</v>
      </c>
      <c r="I710" s="911">
        <f>DX682</f>
        <v>0</v>
      </c>
      <c r="J710" s="911">
        <f>DY682</f>
        <v>0</v>
      </c>
      <c r="K710" s="911">
        <f>DZ682</f>
        <v>0</v>
      </c>
      <c r="L710" s="911">
        <f>EA682</f>
        <v>0</v>
      </c>
      <c r="M710" s="911">
        <f t="shared" si="212"/>
        <v>0</v>
      </c>
      <c r="N710" s="565"/>
      <c r="Q710" s="1058">
        <f t="shared" si="213"/>
        <v>0</v>
      </c>
      <c r="R710" s="1058"/>
      <c r="S710" s="1058"/>
      <c r="T710" s="1575"/>
      <c r="U710" s="1575"/>
      <c r="V710" s="581"/>
      <c r="W710" s="581"/>
      <c r="X710" s="585"/>
      <c r="Y710" s="581"/>
      <c r="Z710" s="582"/>
      <c r="AA710" s="583"/>
      <c r="AB710" s="583"/>
      <c r="AC710" s="583"/>
      <c r="AD710" s="583"/>
      <c r="AE710" s="583"/>
      <c r="AF710" s="583"/>
      <c r="AG710" s="565"/>
      <c r="AH710" s="581"/>
      <c r="FY710" s="830"/>
      <c r="FZ710" s="830"/>
      <c r="GA710" s="830"/>
      <c r="GB710" s="830"/>
      <c r="GC710" s="830"/>
      <c r="GD710" s="830"/>
      <c r="GE710" s="830"/>
      <c r="GF710" s="830"/>
      <c r="GG710" s="830"/>
      <c r="GH710" s="830"/>
      <c r="GI710" s="830"/>
      <c r="GJ710" s="830"/>
      <c r="GK710" s="830"/>
      <c r="GL710" s="830"/>
      <c r="GM710" s="830"/>
      <c r="GN710" s="830"/>
      <c r="GO710" s="830"/>
      <c r="GV710" s="833"/>
      <c r="GW710" s="833"/>
      <c r="HM710" s="833"/>
    </row>
    <row r="711" spans="1:221" ht="12" customHeight="1">
      <c r="C711" s="584"/>
      <c r="D711" s="581"/>
      <c r="E711" s="585"/>
      <c r="F711" s="581"/>
      <c r="G711" s="582" t="s">
        <v>33</v>
      </c>
      <c r="H711" s="911">
        <f>SUM(H709:H710)+EB682</f>
        <v>0</v>
      </c>
      <c r="I711" s="911">
        <f>SUM(I709:I710)+EC682</f>
        <v>0</v>
      </c>
      <c r="J711" s="911">
        <f>SUM(J709:J710)+ED682</f>
        <v>0</v>
      </c>
      <c r="K711" s="911">
        <f>SUM(K709:K710)+EE682</f>
        <v>0</v>
      </c>
      <c r="L711" s="911">
        <f>SUM(L709:L710)+EF682</f>
        <v>0</v>
      </c>
      <c r="M711" s="911">
        <f t="shared" si="212"/>
        <v>0</v>
      </c>
      <c r="N711" s="582"/>
      <c r="Q711" s="1058">
        <f t="shared" si="213"/>
        <v>0</v>
      </c>
      <c r="R711" s="1058"/>
      <c r="S711" s="1058"/>
      <c r="T711" s="1575"/>
      <c r="U711" s="1575"/>
      <c r="V711" s="584"/>
      <c r="W711" s="581"/>
      <c r="X711" s="585"/>
      <c r="Y711" s="581"/>
      <c r="Z711" s="582"/>
      <c r="AA711" s="583"/>
      <c r="AB711" s="583"/>
      <c r="AC711" s="583"/>
      <c r="AD711" s="583"/>
      <c r="AE711" s="583"/>
      <c r="AF711" s="583"/>
      <c r="AG711" s="582"/>
      <c r="AH711" s="581"/>
      <c r="FY711" s="830"/>
      <c r="FZ711" s="830"/>
      <c r="GA711" s="830"/>
      <c r="GB711" s="830"/>
      <c r="GC711" s="830"/>
      <c r="GD711" s="830"/>
      <c r="GE711" s="830"/>
      <c r="GF711" s="830"/>
      <c r="GG711" s="830"/>
      <c r="GH711" s="830"/>
      <c r="GI711" s="830"/>
      <c r="GJ711" s="830"/>
      <c r="GK711" s="830"/>
      <c r="GL711" s="830"/>
      <c r="GM711" s="830"/>
      <c r="GN711" s="830"/>
      <c r="GO711" s="830"/>
      <c r="GV711" s="833"/>
      <c r="GW711" s="833"/>
      <c r="HM711" s="833"/>
    </row>
    <row r="712" spans="1:221" ht="12" customHeight="1">
      <c r="C712" s="581"/>
      <c r="D712" s="581"/>
      <c r="E712" s="1621" t="s">
        <v>1512</v>
      </c>
      <c r="F712" s="1621"/>
      <c r="G712" s="582" t="s">
        <v>1526</v>
      </c>
      <c r="H712" s="911">
        <f>EG682</f>
        <v>0</v>
      </c>
      <c r="I712" s="911">
        <f>EH682</f>
        <v>0</v>
      </c>
      <c r="J712" s="911">
        <f>EI682</f>
        <v>0</v>
      </c>
      <c r="K712" s="911">
        <f>EJ682</f>
        <v>0</v>
      </c>
      <c r="L712" s="911">
        <f>EK682</f>
        <v>0</v>
      </c>
      <c r="M712" s="911">
        <f t="shared" si="212"/>
        <v>0</v>
      </c>
      <c r="Q712" s="1058">
        <f t="shared" si="213"/>
        <v>0</v>
      </c>
      <c r="R712" s="1058"/>
      <c r="S712" s="1058"/>
      <c r="T712" s="1575"/>
      <c r="U712" s="1575"/>
      <c r="V712" s="581"/>
      <c r="W712" s="581"/>
      <c r="X712" s="585"/>
      <c r="Y712" s="581"/>
      <c r="Z712" s="582"/>
      <c r="AA712" s="583"/>
      <c r="AB712" s="583"/>
      <c r="AC712" s="583"/>
      <c r="AD712" s="583"/>
      <c r="AE712" s="583"/>
      <c r="AF712" s="583"/>
      <c r="GV712" s="833"/>
      <c r="GW712" s="833"/>
      <c r="HM712" s="833"/>
    </row>
    <row r="713" spans="1:221" ht="12" customHeight="1">
      <c r="C713" s="581"/>
      <c r="D713" s="581"/>
      <c r="E713" s="1621"/>
      <c r="F713" s="1621"/>
      <c r="G713" s="582" t="s">
        <v>319</v>
      </c>
      <c r="H713" s="911">
        <f>EL682</f>
        <v>0</v>
      </c>
      <c r="I713" s="911">
        <f>EM682</f>
        <v>0</v>
      </c>
      <c r="J713" s="911">
        <f>EN682</f>
        <v>0</v>
      </c>
      <c r="K713" s="911">
        <f>EO682</f>
        <v>0</v>
      </c>
      <c r="L713" s="911">
        <f>EP682</f>
        <v>0</v>
      </c>
      <c r="M713" s="911">
        <f t="shared" si="212"/>
        <v>0</v>
      </c>
      <c r="N713" s="565"/>
      <c r="Q713" s="1058">
        <f t="shared" si="213"/>
        <v>0</v>
      </c>
      <c r="R713" s="1058"/>
      <c r="S713" s="1058"/>
      <c r="T713" s="1575"/>
      <c r="U713" s="1575"/>
      <c r="V713" s="581"/>
      <c r="W713" s="581"/>
      <c r="X713" s="581"/>
      <c r="Y713" s="581"/>
      <c r="Z713" s="582"/>
      <c r="AA713" s="583"/>
      <c r="AB713" s="583"/>
      <c r="AC713" s="583"/>
      <c r="AD713" s="583"/>
      <c r="AE713" s="583"/>
      <c r="AF713" s="583"/>
      <c r="AG713" s="565"/>
      <c r="AH713" s="581"/>
      <c r="FY713" s="830"/>
      <c r="FZ713" s="830"/>
      <c r="GA713" s="830"/>
      <c r="GB713" s="830"/>
      <c r="GC713" s="830"/>
      <c r="GD713" s="830"/>
      <c r="GE713" s="830"/>
      <c r="GF713" s="830"/>
      <c r="GG713" s="830"/>
      <c r="GH713" s="830"/>
      <c r="GI713" s="830"/>
      <c r="GJ713" s="830"/>
      <c r="GK713" s="830"/>
      <c r="GL713" s="830"/>
      <c r="GM713" s="830"/>
      <c r="GN713" s="830"/>
      <c r="GO713" s="830"/>
      <c r="GV713" s="833"/>
      <c r="GW713" s="833"/>
      <c r="HM713" s="833"/>
    </row>
    <row r="714" spans="1:221" ht="12" customHeight="1">
      <c r="C714" s="584"/>
      <c r="D714" s="581"/>
      <c r="E714" s="585"/>
      <c r="F714" s="581"/>
      <c r="G714" s="582" t="s">
        <v>33</v>
      </c>
      <c r="H714" s="911">
        <f>SUM(H712:H713)+EQ682</f>
        <v>0</v>
      </c>
      <c r="I714" s="911">
        <f>SUM(I712:I713)+ER682</f>
        <v>0</v>
      </c>
      <c r="J714" s="911">
        <f>SUM(J712:J713)+ES682</f>
        <v>0</v>
      </c>
      <c r="K714" s="911">
        <f>SUM(K712:K713)+ET682</f>
        <v>0</v>
      </c>
      <c r="L714" s="911">
        <f>SUM(L712:L713)+EU682</f>
        <v>0</v>
      </c>
      <c r="M714" s="911">
        <f t="shared" si="212"/>
        <v>0</v>
      </c>
      <c r="N714" s="582"/>
      <c r="Q714" s="1058">
        <f t="shared" si="213"/>
        <v>0</v>
      </c>
      <c r="R714" s="1058"/>
      <c r="S714" s="1058"/>
      <c r="T714" s="1575"/>
      <c r="U714" s="1575"/>
      <c r="V714" s="584"/>
      <c r="W714" s="581"/>
      <c r="X714" s="585"/>
      <c r="Y714" s="581"/>
      <c r="Z714" s="582"/>
      <c r="AA714" s="583"/>
      <c r="AB714" s="583"/>
      <c r="AC714" s="583"/>
      <c r="AD714" s="583"/>
      <c r="AE714" s="583"/>
      <c r="AF714" s="583"/>
      <c r="AG714" s="582"/>
      <c r="AH714" s="581"/>
      <c r="FY714" s="830"/>
      <c r="FZ714" s="830"/>
      <c r="GA714" s="830"/>
      <c r="GB714" s="830"/>
      <c r="GC714" s="830"/>
      <c r="GD714" s="830"/>
      <c r="GE714" s="830"/>
      <c r="GF714" s="830"/>
      <c r="GG714" s="830"/>
      <c r="GH714" s="830"/>
      <c r="GI714" s="830"/>
      <c r="GJ714" s="830"/>
      <c r="GK714" s="830"/>
      <c r="GL714" s="830"/>
      <c r="GM714" s="830"/>
      <c r="GN714" s="830"/>
      <c r="GO714" s="830"/>
      <c r="GV714" s="833"/>
      <c r="GW714" s="833"/>
      <c r="HM714" s="833"/>
    </row>
    <row r="715" spans="1:221" ht="12" customHeight="1">
      <c r="C715" s="581"/>
      <c r="D715" s="581"/>
      <c r="E715" s="585" t="s">
        <v>384</v>
      </c>
      <c r="F715" s="581"/>
      <c r="G715" s="582"/>
      <c r="H715" s="911">
        <f>'Part VI-Revenues &amp; Expenses'!H81</f>
        <v>0</v>
      </c>
      <c r="I715" s="911">
        <f>'Part VI-Revenues &amp; Expenses'!I81</f>
        <v>0</v>
      </c>
      <c r="J715" s="911">
        <f>'Part VI-Revenues &amp; Expenses'!J81</f>
        <v>0</v>
      </c>
      <c r="K715" s="911">
        <f>'Part VI-Revenues &amp; Expenses'!K81</f>
        <v>0</v>
      </c>
      <c r="L715" s="911">
        <f>'Part VI-Revenues &amp; Expenses'!L81</f>
        <v>0</v>
      </c>
      <c r="M715" s="911">
        <f t="shared" si="212"/>
        <v>0</v>
      </c>
      <c r="T715" s="1575"/>
      <c r="U715" s="1575"/>
      <c r="V715" s="581"/>
      <c r="W715" s="581"/>
      <c r="X715" s="581"/>
      <c r="Y715" s="581"/>
      <c r="Z715" s="582"/>
      <c r="AA715" s="583"/>
      <c r="AB715" s="583"/>
      <c r="AC715" s="583"/>
      <c r="AD715" s="583"/>
      <c r="AE715" s="583"/>
      <c r="AF715" s="583"/>
      <c r="AG715" s="565"/>
      <c r="AH715" s="581"/>
      <c r="FY715" s="830"/>
      <c r="FZ715" s="830"/>
      <c r="GA715" s="830"/>
      <c r="GB715" s="830"/>
      <c r="GC715" s="830"/>
      <c r="GD715" s="830"/>
      <c r="GE715" s="830"/>
      <c r="GF715" s="830"/>
      <c r="GG715" s="830"/>
      <c r="GH715" s="830"/>
      <c r="GI715" s="830"/>
      <c r="GJ715" s="830"/>
      <c r="GK715" s="830"/>
      <c r="GL715" s="830"/>
      <c r="GM715" s="830"/>
      <c r="GN715" s="830"/>
      <c r="GO715" s="830"/>
      <c r="GV715" s="833"/>
      <c r="GW715" s="833"/>
      <c r="HM715" s="833"/>
    </row>
    <row r="716" spans="1:221" ht="12" customHeight="1">
      <c r="A716" s="1622" t="str">
        <f>IF(AND('Part IV-Uses of Funds'!$T$163="Yes",'Part IX A-Scoring Criteria'!$O$241&gt;0,M716&lt;1),"SHOW HISTORIC UNITS HERE &gt;&gt;&gt;&gt;","")</f>
        <v/>
      </c>
      <c r="B716" s="1622"/>
      <c r="C716" s="1622"/>
      <c r="D716" s="1622"/>
      <c r="E716" s="585" t="s">
        <v>385</v>
      </c>
      <c r="F716" s="581"/>
      <c r="G716" s="582"/>
      <c r="H716" s="911">
        <f>'Part VI-Revenues &amp; Expenses'!H82</f>
        <v>0</v>
      </c>
      <c r="I716" s="911">
        <f>'Part VI-Revenues &amp; Expenses'!I82</f>
        <v>0</v>
      </c>
      <c r="J716" s="911">
        <f>'Part VI-Revenues &amp; Expenses'!J82</f>
        <v>0</v>
      </c>
      <c r="K716" s="911">
        <f>'Part VI-Revenues &amp; Expenses'!K82</f>
        <v>0</v>
      </c>
      <c r="L716" s="911">
        <f>'Part VI-Revenues &amp; Expenses'!L82</f>
        <v>0</v>
      </c>
      <c r="M716" s="911">
        <f t="shared" si="212"/>
        <v>0</v>
      </c>
      <c r="N716" s="565"/>
      <c r="T716" s="1575"/>
      <c r="U716" s="1575"/>
      <c r="V716" s="581"/>
      <c r="W716" s="581"/>
      <c r="X716" s="581"/>
      <c r="Y716" s="581"/>
      <c r="Z716" s="582"/>
      <c r="AA716" s="583"/>
      <c r="AB716" s="583"/>
      <c r="AC716" s="583"/>
      <c r="AD716" s="583"/>
      <c r="AE716" s="583"/>
      <c r="AF716" s="583"/>
      <c r="AG716" s="565"/>
      <c r="AH716" s="581"/>
      <c r="FY716" s="830"/>
      <c r="FZ716" s="830"/>
      <c r="GA716" s="830"/>
      <c r="GB716" s="830"/>
      <c r="GC716" s="830"/>
      <c r="GD716" s="830"/>
      <c r="GE716" s="830"/>
      <c r="GF716" s="830"/>
      <c r="GG716" s="830"/>
      <c r="GH716" s="830"/>
      <c r="GI716" s="830"/>
      <c r="GJ716" s="830"/>
      <c r="GK716" s="830"/>
      <c r="GL716" s="830"/>
      <c r="GM716" s="830"/>
      <c r="GN716" s="830"/>
      <c r="GO716" s="830"/>
      <c r="GV716" s="833"/>
      <c r="GW716" s="833"/>
      <c r="HM716" s="833"/>
    </row>
    <row r="717" spans="1:221" ht="12" customHeight="1">
      <c r="C717" s="581" t="s">
        <v>41</v>
      </c>
      <c r="D717" s="581"/>
      <c r="E717" s="585"/>
      <c r="F717" s="581"/>
      <c r="G717" s="582"/>
      <c r="H717" s="910"/>
      <c r="I717" s="910"/>
      <c r="J717" s="910"/>
      <c r="K717" s="910"/>
      <c r="L717" s="910"/>
      <c r="M717" s="910"/>
      <c r="Q717" s="1058"/>
      <c r="R717" s="1058"/>
      <c r="S717" s="1058"/>
      <c r="T717" s="1095" t="str">
        <f>C717</f>
        <v>Building Type:</v>
      </c>
      <c r="V717" s="581"/>
      <c r="W717" s="581"/>
      <c r="X717" s="585"/>
      <c r="Y717" s="581"/>
      <c r="Z717" s="582"/>
      <c r="AA717" s="581"/>
      <c r="AB717" s="581"/>
      <c r="AC717" s="581"/>
      <c r="AD717" s="581"/>
      <c r="AE717" s="581"/>
      <c r="AF717" s="581"/>
      <c r="AH717" s="581"/>
      <c r="FY717" s="830"/>
      <c r="FZ717" s="830"/>
      <c r="GA717" s="830"/>
      <c r="GB717" s="830"/>
      <c r="GC717" s="830"/>
      <c r="GD717" s="830"/>
      <c r="GE717" s="830"/>
      <c r="GF717" s="830"/>
      <c r="GG717" s="830"/>
      <c r="GH717" s="830"/>
      <c r="GI717" s="830"/>
      <c r="GJ717" s="830"/>
      <c r="GK717" s="830"/>
      <c r="GL717" s="830"/>
      <c r="GM717" s="830"/>
      <c r="GN717" s="830"/>
      <c r="GO717" s="830"/>
      <c r="GV717" s="833"/>
      <c r="GW717" s="833"/>
      <c r="HM717" s="833"/>
    </row>
    <row r="718" spans="1:221" ht="12" customHeight="1">
      <c r="C718" s="581"/>
      <c r="D718" s="581"/>
      <c r="E718" s="585" t="s">
        <v>42</v>
      </c>
      <c r="F718" s="581"/>
      <c r="G718" s="582"/>
      <c r="H718" s="911">
        <f>SUM(H719:H722)</f>
        <v>0</v>
      </c>
      <c r="I718" s="911">
        <f>SUM(I719:I722)</f>
        <v>24</v>
      </c>
      <c r="J718" s="911">
        <f>SUM(J719:J722)</f>
        <v>30</v>
      </c>
      <c r="K718" s="911">
        <f>SUM(K719:K722)</f>
        <v>15</v>
      </c>
      <c r="L718" s="911">
        <f>SUM(L719:L722)</f>
        <v>0</v>
      </c>
      <c r="M718" s="911">
        <f t="shared" ref="M718:M726" si="214">SUM(H718:L718)</f>
        <v>69</v>
      </c>
      <c r="Q718" s="1058">
        <f>ABS(M718-AF718)</f>
        <v>69</v>
      </c>
      <c r="R718" s="1058"/>
      <c r="S718" s="1058"/>
      <c r="T718" s="1575"/>
      <c r="U718" s="1575"/>
      <c r="V718" s="581"/>
      <c r="W718" s="581"/>
      <c r="X718" s="585"/>
      <c r="Y718" s="581"/>
      <c r="Z718" s="582"/>
      <c r="AA718" s="583"/>
      <c r="AB718" s="583"/>
      <c r="AC718" s="583"/>
      <c r="AD718" s="583"/>
      <c r="AE718" s="583"/>
      <c r="AF718" s="583"/>
      <c r="GV718" s="833"/>
      <c r="GW718" s="833"/>
      <c r="HM718" s="833"/>
    </row>
    <row r="719" spans="1:221" ht="12" customHeight="1">
      <c r="C719" s="581"/>
      <c r="D719" s="581"/>
      <c r="E719" s="585"/>
      <c r="F719" s="581"/>
      <c r="G719" s="582" t="s">
        <v>2789</v>
      </c>
      <c r="H719" s="911">
        <f>FU682</f>
        <v>0</v>
      </c>
      <c r="I719" s="911">
        <f>FV682</f>
        <v>0</v>
      </c>
      <c r="J719" s="911">
        <f>FW682</f>
        <v>0</v>
      </c>
      <c r="K719" s="911">
        <f>FX682</f>
        <v>0</v>
      </c>
      <c r="L719" s="911">
        <f>FY682</f>
        <v>0</v>
      </c>
      <c r="M719" s="911">
        <f t="shared" si="214"/>
        <v>0</v>
      </c>
      <c r="Q719" s="1058"/>
      <c r="R719" s="1058"/>
      <c r="S719" s="1058"/>
      <c r="T719" s="1575"/>
      <c r="U719" s="1575"/>
      <c r="V719" s="581"/>
      <c r="W719" s="581"/>
      <c r="X719" s="585"/>
      <c r="Y719" s="581"/>
      <c r="Z719" s="582"/>
      <c r="AA719" s="583"/>
      <c r="AB719" s="583"/>
      <c r="AC719" s="583"/>
      <c r="AD719" s="583"/>
      <c r="AE719" s="583"/>
      <c r="AF719" s="583"/>
      <c r="GV719" s="833"/>
      <c r="GW719" s="833"/>
      <c r="HM719" s="833"/>
    </row>
    <row r="720" spans="1:221" ht="12" customHeight="1">
      <c r="C720" s="581"/>
      <c r="D720" s="581"/>
      <c r="E720" s="585"/>
      <c r="F720" s="581"/>
      <c r="G720" s="582" t="s">
        <v>2790</v>
      </c>
      <c r="H720" s="911">
        <f>FZ682</f>
        <v>0</v>
      </c>
      <c r="I720" s="911">
        <f>GA682</f>
        <v>0</v>
      </c>
      <c r="J720" s="911">
        <f>GB682</f>
        <v>0</v>
      </c>
      <c r="K720" s="911">
        <f>GC682</f>
        <v>0</v>
      </c>
      <c r="L720" s="911">
        <f>GD682</f>
        <v>0</v>
      </c>
      <c r="M720" s="911">
        <f t="shared" si="214"/>
        <v>0</v>
      </c>
      <c r="Q720" s="1058"/>
      <c r="R720" s="1058"/>
      <c r="S720" s="1058"/>
      <c r="T720" s="1575"/>
      <c r="U720" s="1575"/>
      <c r="V720" s="581"/>
      <c r="W720" s="581"/>
      <c r="X720" s="585"/>
      <c r="Y720" s="581"/>
      <c r="Z720" s="582"/>
      <c r="AA720" s="583"/>
      <c r="AB720" s="583"/>
      <c r="AC720" s="583"/>
      <c r="AD720" s="583"/>
      <c r="AE720" s="583"/>
      <c r="AF720" s="583"/>
      <c r="GV720" s="833"/>
      <c r="GW720" s="833"/>
      <c r="HM720" s="833"/>
    </row>
    <row r="721" spans="1:222" ht="12" customHeight="1">
      <c r="C721" s="581"/>
      <c r="D721" s="581"/>
      <c r="E721" s="585"/>
      <c r="F721" s="581"/>
      <c r="G721" s="582" t="s">
        <v>2792</v>
      </c>
      <c r="H721" s="911">
        <f>GE682</f>
        <v>0</v>
      </c>
      <c r="I721" s="911">
        <f>GF682</f>
        <v>0</v>
      </c>
      <c r="J721" s="911">
        <f>GG682</f>
        <v>0</v>
      </c>
      <c r="K721" s="911">
        <f>GH682</f>
        <v>0</v>
      </c>
      <c r="L721" s="911">
        <f>GI682</f>
        <v>0</v>
      </c>
      <c r="M721" s="911">
        <f t="shared" si="214"/>
        <v>0</v>
      </c>
      <c r="Q721" s="1058"/>
      <c r="R721" s="1058"/>
      <c r="S721" s="1058"/>
      <c r="T721" s="1575"/>
      <c r="U721" s="1575"/>
      <c r="V721" s="581"/>
      <c r="W721" s="581"/>
      <c r="X721" s="585"/>
      <c r="Y721" s="581"/>
      <c r="Z721" s="582"/>
      <c r="AA721" s="583"/>
      <c r="AB721" s="583"/>
      <c r="AC721" s="583"/>
      <c r="AD721" s="583"/>
      <c r="AE721" s="583"/>
      <c r="AF721" s="583"/>
      <c r="GV721" s="833"/>
      <c r="GW721" s="833"/>
      <c r="HM721" s="833"/>
    </row>
    <row r="722" spans="1:222" ht="12" customHeight="1">
      <c r="C722" s="581"/>
      <c r="D722" s="581"/>
      <c r="E722" s="585"/>
      <c r="F722" s="581"/>
      <c r="G722" s="582" t="s">
        <v>2791</v>
      </c>
      <c r="H722" s="911">
        <f>GJ682</f>
        <v>0</v>
      </c>
      <c r="I722" s="911">
        <f>GK682</f>
        <v>24</v>
      </c>
      <c r="J722" s="911">
        <f>GL682</f>
        <v>30</v>
      </c>
      <c r="K722" s="911">
        <f>GM682</f>
        <v>15</v>
      </c>
      <c r="L722" s="911">
        <f>GN682</f>
        <v>0</v>
      </c>
      <c r="M722" s="911">
        <f t="shared" si="214"/>
        <v>69</v>
      </c>
      <c r="Q722" s="1058"/>
      <c r="R722" s="1058"/>
      <c r="S722" s="1058"/>
      <c r="T722" s="1575"/>
      <c r="U722" s="1575"/>
      <c r="V722" s="581"/>
      <c r="W722" s="581"/>
      <c r="X722" s="585"/>
      <c r="Y722" s="581"/>
      <c r="Z722" s="582"/>
      <c r="AA722" s="583"/>
      <c r="AB722" s="583"/>
      <c r="AC722" s="583"/>
      <c r="AD722" s="583"/>
      <c r="AE722" s="583"/>
      <c r="AF722" s="583"/>
      <c r="GV722" s="833"/>
      <c r="GW722" s="833"/>
      <c r="HM722" s="833"/>
    </row>
    <row r="723" spans="1:222" ht="12" customHeight="1">
      <c r="C723" s="581"/>
      <c r="D723" s="581"/>
      <c r="E723" s="585" t="s">
        <v>43</v>
      </c>
      <c r="F723" s="581"/>
      <c r="G723" s="582"/>
      <c r="H723" s="911">
        <f>FA682</f>
        <v>0</v>
      </c>
      <c r="I723" s="911">
        <f>FB682</f>
        <v>0</v>
      </c>
      <c r="J723" s="911">
        <f>FC682</f>
        <v>0</v>
      </c>
      <c r="K723" s="911">
        <f>FD682</f>
        <v>0</v>
      </c>
      <c r="L723" s="911">
        <f>FE682</f>
        <v>0</v>
      </c>
      <c r="M723" s="911">
        <f t="shared" si="214"/>
        <v>0</v>
      </c>
      <c r="N723" s="565"/>
      <c r="Q723" s="1058">
        <f>ABS(M723-AF723)</f>
        <v>0</v>
      </c>
      <c r="R723" s="1058"/>
      <c r="S723" s="1058"/>
      <c r="T723" s="1575"/>
      <c r="U723" s="1575"/>
      <c r="V723" s="581"/>
      <c r="W723" s="581"/>
      <c r="X723" s="585"/>
      <c r="Y723" s="581"/>
      <c r="Z723" s="582"/>
      <c r="AA723" s="583"/>
      <c r="AB723" s="583"/>
      <c r="AC723" s="583"/>
      <c r="AD723" s="583"/>
      <c r="AE723" s="583"/>
      <c r="AF723" s="583"/>
      <c r="AG723" s="565"/>
      <c r="AH723" s="581"/>
      <c r="FY723" s="830"/>
      <c r="FZ723" s="830"/>
      <c r="GA723" s="830"/>
      <c r="GB723" s="830"/>
      <c r="GC723" s="830"/>
      <c r="GD723" s="830"/>
      <c r="GE723" s="830"/>
      <c r="GF723" s="830"/>
      <c r="GG723" s="830"/>
      <c r="GH723" s="830"/>
      <c r="GI723" s="830"/>
      <c r="GJ723" s="830"/>
      <c r="GK723" s="830"/>
      <c r="GL723" s="830"/>
      <c r="GM723" s="830"/>
      <c r="GN723" s="830"/>
      <c r="GO723" s="830"/>
      <c r="GV723" s="833"/>
      <c r="GW723" s="833"/>
      <c r="HM723" s="833"/>
    </row>
    <row r="724" spans="1:222" ht="12" customHeight="1">
      <c r="C724" s="581"/>
      <c r="D724" s="581"/>
      <c r="E724" s="585" t="s">
        <v>44</v>
      </c>
      <c r="F724" s="581"/>
      <c r="G724" s="582"/>
      <c r="H724" s="911">
        <f>FP682</f>
        <v>0</v>
      </c>
      <c r="I724" s="911">
        <f>FQ682</f>
        <v>0</v>
      </c>
      <c r="J724" s="911">
        <f>FR682</f>
        <v>0</v>
      </c>
      <c r="K724" s="911">
        <f>FS682</f>
        <v>0</v>
      </c>
      <c r="L724" s="911">
        <f>FT682</f>
        <v>0</v>
      </c>
      <c r="M724" s="911">
        <f t="shared" si="214"/>
        <v>0</v>
      </c>
      <c r="Q724" s="1058">
        <f>ABS(M724-AF724)</f>
        <v>0</v>
      </c>
      <c r="R724" s="1058"/>
      <c r="S724" s="1058"/>
      <c r="T724" s="1575"/>
      <c r="U724" s="1575"/>
      <c r="V724" s="581"/>
      <c r="W724" s="581"/>
      <c r="X724" s="585"/>
      <c r="Y724" s="581"/>
      <c r="Z724" s="582"/>
      <c r="AA724" s="583"/>
      <c r="AB724" s="583"/>
      <c r="AC724" s="583"/>
      <c r="AD724" s="583"/>
      <c r="AE724" s="583"/>
      <c r="AF724" s="583"/>
      <c r="GV724" s="833"/>
      <c r="GW724" s="833"/>
      <c r="HM724" s="833"/>
    </row>
    <row r="725" spans="1:222" ht="12" customHeight="1">
      <c r="C725" s="581"/>
      <c r="D725" s="581"/>
      <c r="E725" s="585" t="s">
        <v>598</v>
      </c>
      <c r="F725" s="581"/>
      <c r="G725" s="582"/>
      <c r="H725" s="911">
        <f>FK682</f>
        <v>0</v>
      </c>
      <c r="I725" s="911">
        <f>FL682</f>
        <v>0</v>
      </c>
      <c r="J725" s="911">
        <f>FM682</f>
        <v>0</v>
      </c>
      <c r="K725" s="911">
        <f>FN682</f>
        <v>0</v>
      </c>
      <c r="L725" s="911">
        <f>FO682</f>
        <v>0</v>
      </c>
      <c r="M725" s="911">
        <f t="shared" si="214"/>
        <v>0</v>
      </c>
      <c r="N725" s="565"/>
      <c r="Q725" s="1058">
        <f>ABS(M725-AF725)</f>
        <v>0</v>
      </c>
      <c r="R725" s="1058"/>
      <c r="S725" s="1058"/>
      <c r="T725" s="1575"/>
      <c r="U725" s="1575"/>
      <c r="V725" s="581"/>
      <c r="W725" s="581"/>
      <c r="X725" s="585"/>
      <c r="Y725" s="581"/>
      <c r="Z725" s="582"/>
      <c r="AA725" s="583"/>
      <c r="AB725" s="583"/>
      <c r="AC725" s="583"/>
      <c r="AD725" s="583"/>
      <c r="AE725" s="583"/>
      <c r="AF725" s="583"/>
      <c r="AG725" s="565"/>
      <c r="AH725" s="581"/>
      <c r="FY725" s="830"/>
      <c r="FZ725" s="830"/>
      <c r="GA725" s="830"/>
      <c r="GB725" s="830"/>
      <c r="GC725" s="830"/>
      <c r="GD725" s="830"/>
      <c r="GE725" s="830"/>
      <c r="GF725" s="830"/>
      <c r="GG725" s="830"/>
      <c r="GH725" s="830"/>
      <c r="GI725" s="830"/>
      <c r="GJ725" s="830"/>
      <c r="GK725" s="830"/>
      <c r="GL725" s="830"/>
      <c r="GM725" s="830"/>
      <c r="GN725" s="830"/>
      <c r="GO725" s="830"/>
      <c r="GV725" s="833"/>
      <c r="GW725" s="833"/>
      <c r="HM725" s="833"/>
    </row>
    <row r="726" spans="1:222" ht="12" customHeight="1">
      <c r="C726" s="581"/>
      <c r="D726" s="581"/>
      <c r="E726" s="827" t="s">
        <v>599</v>
      </c>
      <c r="F726" s="581"/>
      <c r="G726" s="582"/>
      <c r="H726" s="911">
        <f>FF682</f>
        <v>0</v>
      </c>
      <c r="I726" s="911">
        <f>FG682</f>
        <v>0</v>
      </c>
      <c r="J726" s="911">
        <f>FH682</f>
        <v>0</v>
      </c>
      <c r="K726" s="911">
        <f>FI682</f>
        <v>0</v>
      </c>
      <c r="L726" s="911">
        <f>FJ682</f>
        <v>0</v>
      </c>
      <c r="M726" s="911">
        <f t="shared" si="214"/>
        <v>0</v>
      </c>
      <c r="Q726" s="1058">
        <f>ABS(M726-AF726)</f>
        <v>0</v>
      </c>
      <c r="R726" s="1058"/>
      <c r="S726" s="1058"/>
      <c r="T726" s="1575"/>
      <c r="U726" s="1575"/>
      <c r="V726" s="581"/>
      <c r="W726" s="581"/>
      <c r="X726" s="827"/>
      <c r="Y726" s="581"/>
      <c r="Z726" s="582"/>
      <c r="AA726" s="583"/>
      <c r="AB726" s="583"/>
      <c r="AC726" s="583"/>
      <c r="AD726" s="583"/>
      <c r="AE726" s="583"/>
      <c r="AF726" s="583"/>
      <c r="GV726" s="833"/>
      <c r="GW726" s="833"/>
      <c r="HM726" s="833"/>
    </row>
    <row r="727" spans="1:222" ht="12" customHeight="1">
      <c r="A727" s="833"/>
      <c r="B727" s="833" t="s">
        <v>2306</v>
      </c>
      <c r="C727" s="581"/>
      <c r="D727" s="581"/>
      <c r="E727" s="581"/>
      <c r="F727" s="581"/>
      <c r="G727" s="582"/>
      <c r="H727" s="581"/>
      <c r="I727" s="581"/>
      <c r="J727" s="581"/>
      <c r="K727" s="581"/>
      <c r="L727" s="581"/>
      <c r="M727" s="581"/>
      <c r="Q727" s="1058"/>
      <c r="R727" s="1058"/>
      <c r="S727" s="1058"/>
      <c r="T727" s="1095" t="str">
        <f>B727</f>
        <v>Unit Square Footage:</v>
      </c>
      <c r="U727" s="833" t="s">
        <v>1205</v>
      </c>
      <c r="V727" s="581"/>
      <c r="W727" s="581"/>
      <c r="X727" s="581"/>
      <c r="Y727" s="581"/>
      <c r="Z727" s="582"/>
      <c r="AA727" s="581"/>
      <c r="AB727" s="581"/>
      <c r="AC727" s="581"/>
      <c r="AD727" s="581"/>
      <c r="AE727" s="581"/>
      <c r="AF727" s="581"/>
      <c r="AH727" s="581"/>
      <c r="FY727" s="830"/>
      <c r="FZ727" s="830"/>
      <c r="GA727" s="830"/>
      <c r="GB727" s="830"/>
      <c r="GC727" s="830"/>
      <c r="GD727" s="830"/>
      <c r="GE727" s="830"/>
      <c r="GF727" s="830"/>
      <c r="GG727" s="830"/>
      <c r="GH727" s="830"/>
      <c r="GI727" s="830"/>
      <c r="GJ727" s="830"/>
      <c r="GK727" s="830"/>
      <c r="GL727" s="830"/>
      <c r="GM727" s="830"/>
      <c r="GN727" s="830"/>
      <c r="GO727" s="830"/>
      <c r="GV727" s="833"/>
      <c r="GW727" s="833"/>
      <c r="HM727" s="833"/>
    </row>
    <row r="728" spans="1:222" ht="12" customHeight="1">
      <c r="C728" s="581" t="s">
        <v>2276</v>
      </c>
      <c r="D728" s="581"/>
      <c r="E728" s="581"/>
      <c r="F728" s="581"/>
      <c r="G728" s="582" t="s">
        <v>1218</v>
      </c>
      <c r="H728" s="583">
        <f>BY682</f>
        <v>0</v>
      </c>
      <c r="I728" s="583">
        <f>BZ682</f>
        <v>13112</v>
      </c>
      <c r="J728" s="583">
        <f>CA682</f>
        <v>21642</v>
      </c>
      <c r="K728" s="583">
        <f>CB682</f>
        <v>17017</v>
      </c>
      <c r="L728" s="583">
        <f>CC682</f>
        <v>0</v>
      </c>
      <c r="M728" s="583">
        <f t="shared" ref="M728:M734" si="215">SUM(H728:L728)</f>
        <v>51771</v>
      </c>
      <c r="Q728" s="1058">
        <f t="shared" ref="Q728:Q734" si="216">ABS(M728-AF728)</f>
        <v>51771</v>
      </c>
      <c r="R728" s="1058"/>
      <c r="S728" s="1058"/>
      <c r="T728" s="1575"/>
      <c r="U728" s="1575"/>
      <c r="V728" s="581"/>
      <c r="W728" s="581"/>
      <c r="X728" s="581"/>
      <c r="Y728" s="581"/>
      <c r="Z728" s="582"/>
      <c r="AA728" s="583"/>
      <c r="AB728" s="583"/>
      <c r="AC728" s="583"/>
      <c r="AD728" s="583"/>
      <c r="AE728" s="583"/>
      <c r="AF728" s="583"/>
      <c r="AH728" s="581"/>
      <c r="FY728" s="830"/>
      <c r="FZ728" s="830"/>
      <c r="GA728" s="830"/>
      <c r="GB728" s="830"/>
      <c r="GC728" s="830"/>
      <c r="GD728" s="830"/>
      <c r="GE728" s="830"/>
      <c r="GF728" s="830"/>
      <c r="GG728" s="830"/>
      <c r="GH728" s="830"/>
      <c r="GI728" s="830"/>
      <c r="GJ728" s="830"/>
      <c r="GK728" s="830"/>
      <c r="GL728" s="830"/>
      <c r="GM728" s="830"/>
      <c r="GN728" s="830"/>
      <c r="GO728" s="830"/>
      <c r="GV728" s="833"/>
      <c r="GW728" s="833"/>
      <c r="HM728" s="833"/>
    </row>
    <row r="729" spans="1:222" ht="12" customHeight="1">
      <c r="C729" s="584"/>
      <c r="D729" s="581"/>
      <c r="E729" s="581"/>
      <c r="F729" s="581"/>
      <c r="G729" s="582" t="s">
        <v>121</v>
      </c>
      <c r="H729" s="583">
        <f>CD682</f>
        <v>0</v>
      </c>
      <c r="I729" s="583">
        <f>CE682</f>
        <v>3496</v>
      </c>
      <c r="J729" s="583">
        <f>CF682</f>
        <v>7680</v>
      </c>
      <c r="K729" s="583">
        <f>CG682</f>
        <v>2618</v>
      </c>
      <c r="L729" s="583">
        <f>CH682</f>
        <v>0</v>
      </c>
      <c r="M729" s="583">
        <f t="shared" si="215"/>
        <v>13794</v>
      </c>
      <c r="N729" s="581"/>
      <c r="Q729" s="1058">
        <f t="shared" si="216"/>
        <v>13794</v>
      </c>
      <c r="R729" s="1058"/>
      <c r="S729" s="1058"/>
      <c r="T729" s="1575"/>
      <c r="U729" s="1575"/>
      <c r="V729" s="584"/>
      <c r="W729" s="581"/>
      <c r="X729" s="581"/>
      <c r="Y729" s="581"/>
      <c r="Z729" s="582"/>
      <c r="AA729" s="583"/>
      <c r="AB729" s="583"/>
      <c r="AC729" s="583"/>
      <c r="AD729" s="583"/>
      <c r="AE729" s="583"/>
      <c r="AF729" s="583"/>
      <c r="AG729" s="581"/>
      <c r="AH729" s="581"/>
      <c r="FY729" s="830"/>
      <c r="FZ729" s="830"/>
      <c r="GA729" s="830"/>
      <c r="GB729" s="830"/>
      <c r="GC729" s="830"/>
      <c r="GD729" s="830"/>
      <c r="GE729" s="830"/>
      <c r="GF729" s="830"/>
      <c r="GG729" s="830"/>
      <c r="GH729" s="830"/>
      <c r="GI729" s="830"/>
      <c r="GJ729" s="830"/>
      <c r="GK729" s="830"/>
      <c r="GL729" s="830"/>
      <c r="GM729" s="830"/>
      <c r="GN729" s="830"/>
      <c r="GO729" s="830"/>
      <c r="GV729" s="833"/>
      <c r="GW729" s="833"/>
      <c r="HM729" s="833"/>
    </row>
    <row r="730" spans="1:222" ht="12" customHeight="1">
      <c r="C730" s="584"/>
      <c r="D730" s="581"/>
      <c r="E730" s="581"/>
      <c r="F730" s="581"/>
      <c r="G730" s="582" t="s">
        <v>572</v>
      </c>
      <c r="H730" s="583">
        <f>SUM(H728:H729)</f>
        <v>0</v>
      </c>
      <c r="I730" s="583">
        <f>SUM(I728:I729)</f>
        <v>16608</v>
      </c>
      <c r="J730" s="583">
        <f>SUM(J728:J729)</f>
        <v>29322</v>
      </c>
      <c r="K730" s="583">
        <f>SUM(K728:K729)</f>
        <v>19635</v>
      </c>
      <c r="L730" s="583">
        <f>SUM(L728:L729)</f>
        <v>0</v>
      </c>
      <c r="M730" s="583">
        <f t="shared" si="215"/>
        <v>65565</v>
      </c>
      <c r="N730" s="581"/>
      <c r="Q730" s="1058">
        <f t="shared" si="216"/>
        <v>65565</v>
      </c>
      <c r="R730" s="1058"/>
      <c r="S730" s="1058"/>
      <c r="T730" s="1575"/>
      <c r="U730" s="1575"/>
      <c r="V730" s="584"/>
      <c r="W730" s="581"/>
      <c r="X730" s="581"/>
      <c r="Y730" s="581"/>
      <c r="Z730" s="582"/>
      <c r="AA730" s="583"/>
      <c r="AB730" s="583"/>
      <c r="AC730" s="583"/>
      <c r="AD730" s="583"/>
      <c r="AE730" s="583"/>
      <c r="AF730" s="583"/>
      <c r="AG730" s="581"/>
      <c r="AH730" s="581"/>
      <c r="FY730" s="830"/>
      <c r="FZ730" s="830"/>
      <c r="GA730" s="830"/>
      <c r="GB730" s="830"/>
      <c r="GC730" s="830"/>
      <c r="GD730" s="830"/>
      <c r="GE730" s="830"/>
      <c r="GF730" s="830"/>
      <c r="GG730" s="830"/>
      <c r="GH730" s="830"/>
      <c r="GI730" s="830"/>
      <c r="GJ730" s="830"/>
      <c r="GK730" s="830"/>
      <c r="GL730" s="830"/>
      <c r="GM730" s="830"/>
      <c r="GN730" s="830"/>
      <c r="GO730" s="830"/>
      <c r="GV730" s="833"/>
      <c r="GW730" s="833"/>
      <c r="HM730" s="833"/>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1058">
        <f t="shared" si="216"/>
        <v>0</v>
      </c>
      <c r="R731" s="1058"/>
      <c r="S731" s="1058"/>
      <c r="T731" s="1575"/>
      <c r="U731" s="1575"/>
      <c r="V731" s="581"/>
      <c r="W731" s="581"/>
      <c r="X731" s="581"/>
      <c r="Y731" s="581"/>
      <c r="Z731" s="581"/>
      <c r="AA731" s="583"/>
      <c r="AB731" s="583"/>
      <c r="AC731" s="583"/>
      <c r="AD731" s="583"/>
      <c r="AE731" s="583"/>
      <c r="AF731" s="583"/>
      <c r="AH731" s="581"/>
      <c r="FY731" s="830"/>
      <c r="FZ731" s="830"/>
      <c r="GA731" s="830"/>
      <c r="GB731" s="830"/>
      <c r="GC731" s="830"/>
      <c r="GD731" s="830"/>
      <c r="GE731" s="830"/>
      <c r="GF731" s="830"/>
      <c r="GG731" s="830"/>
      <c r="GH731" s="830"/>
      <c r="GI731" s="830"/>
      <c r="GJ731" s="830"/>
      <c r="GK731" s="830"/>
      <c r="GL731" s="830"/>
      <c r="GM731" s="830"/>
      <c r="GN731" s="830"/>
      <c r="GO731" s="830"/>
      <c r="GV731" s="833"/>
      <c r="GW731" s="833"/>
      <c r="HM731" s="833"/>
    </row>
    <row r="732" spans="1:222" ht="12" customHeight="1">
      <c r="C732" s="581" t="s">
        <v>1207</v>
      </c>
      <c r="D732" s="581"/>
      <c r="E732" s="581"/>
      <c r="F732" s="581"/>
      <c r="G732" s="581"/>
      <c r="H732" s="583">
        <f>SUM(H730:H731)</f>
        <v>0</v>
      </c>
      <c r="I732" s="583">
        <f>SUM(I730:I731)</f>
        <v>16608</v>
      </c>
      <c r="J732" s="583">
        <f>SUM(J730:J731)</f>
        <v>29322</v>
      </c>
      <c r="K732" s="583">
        <f>SUM(K730:K731)</f>
        <v>19635</v>
      </c>
      <c r="L732" s="583">
        <f>SUM(L730:L731)</f>
        <v>0</v>
      </c>
      <c r="M732" s="583">
        <f t="shared" si="215"/>
        <v>65565</v>
      </c>
      <c r="Q732" s="1058">
        <f t="shared" si="216"/>
        <v>65565</v>
      </c>
      <c r="R732" s="1058"/>
      <c r="S732" s="1058"/>
      <c r="T732" s="1575"/>
      <c r="U732" s="1575"/>
      <c r="V732" s="581"/>
      <c r="W732" s="581"/>
      <c r="X732" s="581"/>
      <c r="Y732" s="581"/>
      <c r="Z732" s="581"/>
      <c r="AA732" s="583"/>
      <c r="AB732" s="583"/>
      <c r="AC732" s="583"/>
      <c r="AD732" s="583"/>
      <c r="AE732" s="583"/>
      <c r="AF732" s="583"/>
      <c r="AH732" s="581"/>
      <c r="FY732" s="830"/>
      <c r="FZ732" s="830"/>
      <c r="GA732" s="830"/>
      <c r="GB732" s="830"/>
      <c r="GC732" s="830"/>
      <c r="GD732" s="830"/>
      <c r="GE732" s="830"/>
      <c r="GF732" s="830"/>
      <c r="GG732" s="830"/>
      <c r="GH732" s="830"/>
      <c r="GI732" s="830"/>
      <c r="GJ732" s="830"/>
      <c r="GK732" s="830"/>
      <c r="GL732" s="830"/>
      <c r="GM732" s="830"/>
      <c r="GN732" s="830"/>
      <c r="GO732" s="830"/>
      <c r="GV732" s="833"/>
      <c r="GW732" s="833"/>
      <c r="HM732" s="833"/>
    </row>
    <row r="733" spans="1:222" ht="12" customHeight="1">
      <c r="C733" s="581" t="s">
        <v>2684</v>
      </c>
      <c r="D733" s="581"/>
      <c r="E733" s="581"/>
      <c r="F733" s="581"/>
      <c r="G733" s="581"/>
      <c r="H733" s="583">
        <f>CX682</f>
        <v>0</v>
      </c>
      <c r="I733" s="583">
        <f>CY682</f>
        <v>0</v>
      </c>
      <c r="J733" s="583">
        <f>CZ682</f>
        <v>0</v>
      </c>
      <c r="K733" s="583">
        <f>DA682</f>
        <v>0</v>
      </c>
      <c r="L733" s="583">
        <f>DB682</f>
        <v>0</v>
      </c>
      <c r="M733" s="583">
        <f t="shared" si="215"/>
        <v>0</v>
      </c>
      <c r="Q733" s="1058">
        <f t="shared" si="216"/>
        <v>0</v>
      </c>
      <c r="R733" s="1058"/>
      <c r="S733" s="1058"/>
      <c r="T733" s="1575"/>
      <c r="U733" s="1575"/>
      <c r="V733" s="581"/>
      <c r="W733" s="581"/>
      <c r="X733" s="581"/>
      <c r="Y733" s="581"/>
      <c r="Z733" s="581"/>
      <c r="AA733" s="583"/>
      <c r="AB733" s="583"/>
      <c r="AC733" s="583"/>
      <c r="AD733" s="583"/>
      <c r="AE733" s="583"/>
      <c r="AF733" s="583"/>
      <c r="AH733" s="581"/>
      <c r="FY733" s="830"/>
      <c r="FZ733" s="830"/>
      <c r="GA733" s="830"/>
      <c r="GB733" s="830"/>
      <c r="GC733" s="830"/>
      <c r="GD733" s="830"/>
      <c r="GE733" s="830"/>
      <c r="GF733" s="830"/>
      <c r="GG733" s="830"/>
      <c r="GH733" s="830"/>
      <c r="GI733" s="830"/>
      <c r="GJ733" s="830"/>
      <c r="GK733" s="830"/>
      <c r="GL733" s="830"/>
      <c r="GM733" s="830"/>
      <c r="GN733" s="830"/>
      <c r="GO733" s="830"/>
      <c r="GV733" s="833"/>
      <c r="GW733" s="833"/>
      <c r="HM733" s="833"/>
    </row>
    <row r="734" spans="1:222" ht="12" customHeight="1">
      <c r="C734" s="581" t="s">
        <v>572</v>
      </c>
      <c r="D734" s="581"/>
      <c r="E734" s="581"/>
      <c r="F734" s="581"/>
      <c r="G734" s="581"/>
      <c r="H734" s="583">
        <f>SUM(H732:H733)</f>
        <v>0</v>
      </c>
      <c r="I734" s="583">
        <f>SUM(I732:I733)</f>
        <v>16608</v>
      </c>
      <c r="J734" s="583">
        <f>SUM(J732:J733)</f>
        <v>29322</v>
      </c>
      <c r="K734" s="583">
        <f>SUM(K732:K733)</f>
        <v>19635</v>
      </c>
      <c r="L734" s="583">
        <f>SUM(L732:L733)</f>
        <v>0</v>
      </c>
      <c r="M734" s="583">
        <f t="shared" si="215"/>
        <v>65565</v>
      </c>
      <c r="Q734" s="1058">
        <f t="shared" si="216"/>
        <v>65565</v>
      </c>
      <c r="R734" s="1058"/>
      <c r="S734" s="1058"/>
      <c r="T734" s="1575"/>
      <c r="U734" s="1575"/>
      <c r="V734" s="581"/>
      <c r="W734" s="581"/>
      <c r="X734" s="581"/>
      <c r="Y734" s="581"/>
      <c r="Z734" s="581"/>
      <c r="AA734" s="583"/>
      <c r="AB734" s="583"/>
      <c r="AC734" s="583"/>
      <c r="AD734" s="583"/>
      <c r="AE734" s="583"/>
      <c r="AF734" s="583"/>
      <c r="AH734" s="581"/>
      <c r="FY734" s="830"/>
      <c r="FZ734" s="830"/>
      <c r="GA734" s="830"/>
      <c r="GB734" s="830"/>
      <c r="GC734" s="830"/>
      <c r="GD734" s="830"/>
      <c r="GE734" s="830"/>
      <c r="GF734" s="830"/>
      <c r="GG734" s="830"/>
      <c r="GH734" s="830"/>
      <c r="GI734" s="830"/>
      <c r="GJ734" s="830"/>
      <c r="GK734" s="830"/>
      <c r="GL734" s="830"/>
      <c r="GM734" s="830"/>
      <c r="GN734" s="830"/>
      <c r="GO734" s="830"/>
      <c r="GV734" s="833"/>
      <c r="GW734" s="833"/>
      <c r="HM734" s="833"/>
    </row>
    <row r="735" spans="1:222" ht="4.9000000000000004" customHeight="1">
      <c r="B735" s="833"/>
      <c r="O735" s="581"/>
      <c r="P735" s="581"/>
      <c r="FY735" s="830"/>
      <c r="FZ735" s="830"/>
      <c r="GA735" s="830"/>
      <c r="GB735" s="830"/>
      <c r="GC735" s="830"/>
      <c r="GD735" s="830"/>
      <c r="GE735" s="830"/>
      <c r="GF735" s="830"/>
      <c r="GG735" s="830"/>
      <c r="GH735" s="830"/>
      <c r="GI735" s="830"/>
      <c r="GJ735" s="830"/>
      <c r="GK735" s="830"/>
      <c r="GL735" s="830"/>
      <c r="GM735" s="830"/>
      <c r="GN735" s="830"/>
      <c r="GO735" s="830"/>
      <c r="GV735" s="833"/>
      <c r="GW735" s="833"/>
      <c r="HM735" s="833"/>
    </row>
    <row r="736" spans="1:222" ht="13.9" customHeight="1">
      <c r="A736" s="833" t="s">
        <v>792</v>
      </c>
      <c r="B736" s="833" t="s">
        <v>3674</v>
      </c>
      <c r="Q736" s="581"/>
      <c r="R736" s="581"/>
      <c r="S736" s="581"/>
      <c r="T736" s="833" t="s">
        <v>1975</v>
      </c>
      <c r="FZ736" s="830"/>
      <c r="GA736" s="830"/>
      <c r="GB736" s="830"/>
      <c r="GC736" s="830"/>
      <c r="GD736" s="830"/>
      <c r="GE736" s="830"/>
      <c r="GF736" s="830"/>
      <c r="GG736" s="830"/>
      <c r="GH736" s="830"/>
      <c r="GI736" s="830"/>
      <c r="GJ736" s="830"/>
      <c r="GK736" s="830"/>
      <c r="GL736" s="830"/>
      <c r="GM736" s="830"/>
      <c r="GN736" s="830"/>
      <c r="GO736" s="830"/>
      <c r="GP736" s="830"/>
      <c r="GW736" s="833"/>
      <c r="HM736" s="833"/>
      <c r="HN736" s="833"/>
    </row>
    <row r="737" spans="2:221" ht="9" customHeight="1">
      <c r="P737" s="581"/>
      <c r="FY737" s="830"/>
      <c r="FZ737" s="830"/>
      <c r="GA737" s="830"/>
      <c r="GB737" s="830"/>
      <c r="GC737" s="830"/>
      <c r="GD737" s="830"/>
      <c r="GE737" s="830"/>
      <c r="GF737" s="830"/>
      <c r="GG737" s="830"/>
      <c r="GH737" s="830"/>
      <c r="GI737" s="830"/>
      <c r="GJ737" s="830"/>
      <c r="GK737" s="830"/>
      <c r="GL737" s="830"/>
      <c r="GM737" s="830"/>
      <c r="GN737" s="830"/>
      <c r="GO737" s="830"/>
      <c r="GV737" s="833"/>
      <c r="HL737" s="833"/>
      <c r="HM737" s="833"/>
    </row>
    <row r="738" spans="2:221" ht="12.6" customHeight="1">
      <c r="B738" s="833" t="s">
        <v>1078</v>
      </c>
      <c r="D738" s="585"/>
      <c r="H738" s="1623">
        <f>'Part VI-Revenues &amp; Expenses'!H104</f>
        <v>10273.68</v>
      </c>
      <c r="I738" s="1623"/>
      <c r="K738" s="1126" t="s">
        <v>3675</v>
      </c>
      <c r="O738" s="912">
        <f>H738/L683</f>
        <v>0.02</v>
      </c>
      <c r="P738" s="585"/>
      <c r="T738" s="584" t="str">
        <f>B738</f>
        <v>Ancillary Income</v>
      </c>
      <c r="FY738" s="830"/>
      <c r="FZ738" s="830"/>
      <c r="GA738" s="830"/>
      <c r="GB738" s="830"/>
      <c r="GC738" s="830"/>
      <c r="GD738" s="830"/>
      <c r="GE738" s="830"/>
      <c r="GF738" s="830"/>
      <c r="GG738" s="830"/>
      <c r="GH738" s="830"/>
      <c r="GI738" s="830"/>
      <c r="GJ738" s="830"/>
      <c r="GK738" s="830"/>
      <c r="GL738" s="830"/>
      <c r="GM738" s="830"/>
      <c r="GN738" s="830"/>
      <c r="GO738" s="830"/>
      <c r="GV738" s="833"/>
      <c r="HL738" s="833"/>
      <c r="HM738" s="833"/>
    </row>
    <row r="739" spans="2:221" ht="15" customHeight="1">
      <c r="B739" s="833"/>
      <c r="D739" s="585"/>
      <c r="E739" s="913"/>
      <c r="I739" s="914"/>
      <c r="P739" s="585"/>
      <c r="FY739" s="830"/>
      <c r="FZ739" s="830"/>
      <c r="GA739" s="830"/>
      <c r="GB739" s="830"/>
      <c r="GC739" s="830"/>
      <c r="GD739" s="830"/>
      <c r="GE739" s="830"/>
      <c r="GF739" s="830"/>
      <c r="GG739" s="830"/>
      <c r="GH739" s="830"/>
      <c r="GI739" s="830"/>
      <c r="GJ739" s="830"/>
      <c r="GK739" s="830"/>
      <c r="GL739" s="830"/>
      <c r="GM739" s="830"/>
      <c r="GN739" s="830"/>
      <c r="GO739" s="830"/>
      <c r="GV739" s="833"/>
      <c r="HL739" s="833"/>
      <c r="HM739" s="833"/>
    </row>
    <row r="740" spans="2:221" ht="13.9" customHeight="1">
      <c r="B740" s="833" t="s">
        <v>1541</v>
      </c>
      <c r="I740" s="833"/>
      <c r="K740" s="915"/>
      <c r="T740" s="584" t="str">
        <f>B740</f>
        <v>Other Income (OI) by Year:</v>
      </c>
      <c r="FY740" s="830"/>
      <c r="FZ740" s="830"/>
      <c r="GA740" s="830"/>
      <c r="GB740" s="830"/>
      <c r="GC740" s="830"/>
      <c r="GD740" s="830"/>
      <c r="GE740" s="830"/>
      <c r="GF740" s="830"/>
      <c r="GG740" s="830"/>
      <c r="GH740" s="830"/>
      <c r="GI740" s="830"/>
      <c r="GJ740" s="830"/>
      <c r="GK740" s="830"/>
      <c r="GL740" s="830"/>
      <c r="GM740" s="830"/>
      <c r="GN740" s="830"/>
      <c r="GO740" s="830"/>
      <c r="GV740" s="833"/>
      <c r="HL740" s="833"/>
      <c r="HM740" s="833"/>
    </row>
    <row r="741" spans="2:221" ht="15" customHeight="1">
      <c r="B741" s="833"/>
      <c r="I741" s="833"/>
      <c r="K741" s="915"/>
      <c r="FY741" s="830"/>
      <c r="FZ741" s="830"/>
      <c r="GA741" s="830"/>
      <c r="GB741" s="830"/>
      <c r="GC741" s="830"/>
      <c r="GD741" s="830"/>
      <c r="GE741" s="830"/>
      <c r="GF741" s="830"/>
      <c r="GG741" s="830"/>
      <c r="GH741" s="830"/>
      <c r="GI741" s="830"/>
      <c r="GJ741" s="830"/>
      <c r="GK741" s="830"/>
      <c r="GL741" s="830"/>
      <c r="GM741" s="830"/>
      <c r="GN741" s="830"/>
      <c r="GO741" s="830"/>
      <c r="GV741" s="833"/>
      <c r="HL741" s="833"/>
      <c r="HM741" s="833"/>
    </row>
    <row r="742" spans="2:221" ht="13.9" customHeight="1">
      <c r="B742" s="916" t="s">
        <v>2436</v>
      </c>
      <c r="G742" s="917">
        <v>1</v>
      </c>
      <c r="H742" s="917">
        <v>2</v>
      </c>
      <c r="I742" s="917">
        <v>3</v>
      </c>
      <c r="J742" s="917">
        <v>4</v>
      </c>
      <c r="K742" s="917">
        <v>5</v>
      </c>
      <c r="L742" s="917">
        <v>6</v>
      </c>
      <c r="M742" s="917">
        <v>7</v>
      </c>
      <c r="N742" s="917">
        <v>8</v>
      </c>
      <c r="O742" s="917">
        <v>9</v>
      </c>
      <c r="P742" s="917">
        <v>10</v>
      </c>
      <c r="T742" s="581" t="str">
        <f>B742</f>
        <v>Included in Mgt Fee:</v>
      </c>
      <c r="FY742" s="830"/>
      <c r="FZ742" s="830"/>
      <c r="GA742" s="830"/>
      <c r="GB742" s="830"/>
      <c r="GC742" s="830"/>
      <c r="GD742" s="830"/>
      <c r="GE742" s="830"/>
      <c r="GF742" s="830"/>
      <c r="GG742" s="830"/>
      <c r="GH742" s="830"/>
      <c r="GI742" s="830"/>
      <c r="GJ742" s="830"/>
      <c r="GK742" s="830"/>
      <c r="GL742" s="830"/>
      <c r="GM742" s="830"/>
      <c r="GN742" s="830"/>
      <c r="GO742" s="830"/>
      <c r="GV742" s="833"/>
      <c r="HL742" s="833"/>
      <c r="HM742" s="833"/>
    </row>
    <row r="743" spans="2:221" ht="15" customHeight="1">
      <c r="B743" s="1070" t="s">
        <v>1079</v>
      </c>
      <c r="G743" s="1039">
        <f>'Part VI-Revenues &amp; Expenses'!G109</f>
        <v>0</v>
      </c>
      <c r="H743" s="1039">
        <f>'Part VI-Revenues &amp; Expenses'!H109</f>
        <v>0</v>
      </c>
      <c r="I743" s="1039">
        <f>'Part VI-Revenues &amp; Expenses'!I109</f>
        <v>0</v>
      </c>
      <c r="J743" s="1039">
        <f>'Part VI-Revenues &amp; Expenses'!J109</f>
        <v>0</v>
      </c>
      <c r="K743" s="1039">
        <f>'Part VI-Revenues &amp; Expenses'!K109</f>
        <v>0</v>
      </c>
      <c r="L743" s="1039">
        <f>'Part VI-Revenues &amp; Expenses'!L109</f>
        <v>0</v>
      </c>
      <c r="M743" s="1039">
        <f>'Part VI-Revenues &amp; Expenses'!M109</f>
        <v>0</v>
      </c>
      <c r="N743" s="1039">
        <f>'Part VI-Revenues &amp; Expenses'!N109</f>
        <v>0</v>
      </c>
      <c r="O743" s="1039">
        <f>'Part VI-Revenues &amp; Expenses'!O109</f>
        <v>0</v>
      </c>
      <c r="P743" s="1039">
        <f>'Part VI-Revenues &amp; Expenses'!P109</f>
        <v>0</v>
      </c>
      <c r="T743" s="1575"/>
      <c r="U743" s="1575"/>
      <c r="FY743" s="830"/>
      <c r="FZ743" s="830"/>
      <c r="GA743" s="830"/>
      <c r="GB743" s="830"/>
      <c r="GC743" s="830"/>
      <c r="GD743" s="830"/>
      <c r="GE743" s="830"/>
      <c r="GF743" s="830"/>
      <c r="GG743" s="830"/>
      <c r="GH743" s="830"/>
      <c r="GI743" s="830"/>
      <c r="GJ743" s="830"/>
      <c r="GK743" s="830"/>
      <c r="GL743" s="830"/>
      <c r="GM743" s="830"/>
      <c r="GN743" s="830"/>
      <c r="GO743" s="830"/>
      <c r="GV743" s="833"/>
      <c r="HL743" s="833"/>
      <c r="HM743" s="833"/>
    </row>
    <row r="744" spans="2:221" ht="15" customHeight="1">
      <c r="B744" s="1070" t="s">
        <v>791</v>
      </c>
      <c r="C744" s="1620">
        <f>'Part VI-Revenues &amp; Expenses'!C110</f>
        <v>0</v>
      </c>
      <c r="D744" s="1620"/>
      <c r="E744" s="1620"/>
      <c r="F744" s="1620"/>
      <c r="G744" s="1039">
        <f>'Part VI-Revenues &amp; Expenses'!G110</f>
        <v>0</v>
      </c>
      <c r="H744" s="1039">
        <f>'Part VI-Revenues &amp; Expenses'!H110</f>
        <v>0</v>
      </c>
      <c r="I744" s="1039">
        <f>'Part VI-Revenues &amp; Expenses'!I110</f>
        <v>0</v>
      </c>
      <c r="J744" s="1039">
        <f>'Part VI-Revenues &amp; Expenses'!J110</f>
        <v>0</v>
      </c>
      <c r="K744" s="1039">
        <f>'Part VI-Revenues &amp; Expenses'!K110</f>
        <v>0</v>
      </c>
      <c r="L744" s="1039">
        <f>'Part VI-Revenues &amp; Expenses'!L110</f>
        <v>0</v>
      </c>
      <c r="M744" s="1039">
        <f>'Part VI-Revenues &amp; Expenses'!M110</f>
        <v>0</v>
      </c>
      <c r="N744" s="1039">
        <f>'Part VI-Revenues &amp; Expenses'!N110</f>
        <v>0</v>
      </c>
      <c r="O744" s="1039">
        <f>'Part VI-Revenues &amp; Expenses'!O110</f>
        <v>0</v>
      </c>
      <c r="P744" s="1039">
        <f>'Part VI-Revenues &amp; Expenses'!P110</f>
        <v>0</v>
      </c>
      <c r="T744" s="1575"/>
      <c r="U744" s="1575"/>
      <c r="FY744" s="830"/>
      <c r="FZ744" s="830"/>
      <c r="GA744" s="830"/>
      <c r="GB744" s="830"/>
      <c r="GC744" s="830"/>
      <c r="GD744" s="830"/>
      <c r="GE744" s="830"/>
      <c r="GF744" s="830"/>
      <c r="GG744" s="830"/>
      <c r="GH744" s="830"/>
      <c r="GI744" s="830"/>
      <c r="GJ744" s="830"/>
      <c r="GK744" s="830"/>
      <c r="GL744" s="830"/>
      <c r="GM744" s="830"/>
      <c r="GN744" s="830"/>
      <c r="GO744" s="830"/>
      <c r="GV744" s="833"/>
      <c r="HL744" s="833"/>
      <c r="HM744" s="833"/>
    </row>
    <row r="745" spans="2:221" ht="15" customHeight="1">
      <c r="C745" s="827" t="s">
        <v>984</v>
      </c>
      <c r="G745" s="918">
        <f t="shared" ref="G745:P745" si="217">SUM(G743:G744)</f>
        <v>0</v>
      </c>
      <c r="H745" s="918">
        <f t="shared" si="217"/>
        <v>0</v>
      </c>
      <c r="I745" s="918">
        <f t="shared" si="217"/>
        <v>0</v>
      </c>
      <c r="J745" s="918">
        <f t="shared" si="217"/>
        <v>0</v>
      </c>
      <c r="K745" s="918">
        <f t="shared" si="217"/>
        <v>0</v>
      </c>
      <c r="L745" s="918">
        <f t="shared" si="217"/>
        <v>0</v>
      </c>
      <c r="M745" s="918">
        <f t="shared" si="217"/>
        <v>0</v>
      </c>
      <c r="N745" s="918">
        <f t="shared" si="217"/>
        <v>0</v>
      </c>
      <c r="O745" s="918">
        <f t="shared" si="217"/>
        <v>0</v>
      </c>
      <c r="P745" s="918">
        <f t="shared" si="217"/>
        <v>0</v>
      </c>
      <c r="T745" s="1575"/>
      <c r="U745" s="1575"/>
      <c r="FY745" s="830"/>
      <c r="FZ745" s="830"/>
      <c r="GA745" s="830"/>
      <c r="GB745" s="830"/>
      <c r="GC745" s="830"/>
      <c r="GD745" s="830"/>
      <c r="GE745" s="830"/>
      <c r="GF745" s="830"/>
      <c r="GG745" s="830"/>
      <c r="GH745" s="830"/>
      <c r="GI745" s="830"/>
      <c r="GJ745" s="830"/>
      <c r="GK745" s="830"/>
      <c r="GL745" s="830"/>
      <c r="GM745" s="830"/>
      <c r="GN745" s="830"/>
      <c r="GO745" s="830"/>
      <c r="GV745" s="833"/>
      <c r="HL745" s="833"/>
      <c r="HM745" s="833"/>
    </row>
    <row r="746" spans="2:221" ht="6.6" customHeight="1">
      <c r="C746" s="827"/>
      <c r="G746" s="918"/>
      <c r="H746" s="918"/>
      <c r="I746" s="918"/>
      <c r="J746" s="918"/>
      <c r="K746" s="918"/>
      <c r="L746" s="918"/>
      <c r="M746" s="918"/>
      <c r="N746" s="918"/>
      <c r="O746" s="918"/>
      <c r="P746" s="918"/>
      <c r="FY746" s="830"/>
      <c r="FZ746" s="830"/>
      <c r="GA746" s="830"/>
      <c r="GB746" s="830"/>
      <c r="GC746" s="830"/>
      <c r="GD746" s="830"/>
      <c r="GE746" s="830"/>
      <c r="GF746" s="830"/>
      <c r="GG746" s="830"/>
      <c r="GH746" s="830"/>
      <c r="GI746" s="830"/>
      <c r="GJ746" s="830"/>
      <c r="GK746" s="830"/>
      <c r="GL746" s="830"/>
      <c r="GM746" s="830"/>
      <c r="GN746" s="830"/>
      <c r="GO746" s="830"/>
      <c r="GV746" s="833"/>
      <c r="HL746" s="833"/>
      <c r="HM746" s="833"/>
    </row>
    <row r="747" spans="2:221" ht="15.6" customHeight="1">
      <c r="B747" s="916" t="s">
        <v>3676</v>
      </c>
      <c r="G747" s="919"/>
      <c r="T747" s="581" t="str">
        <f>B747</f>
        <v>NOT Included in Mgt Fee:</v>
      </c>
      <c r="FY747" s="830"/>
      <c r="FZ747" s="830"/>
      <c r="GA747" s="830"/>
      <c r="GB747" s="830"/>
      <c r="GC747" s="830"/>
      <c r="GD747" s="830"/>
      <c r="GE747" s="830"/>
      <c r="GF747" s="830"/>
      <c r="GG747" s="830"/>
      <c r="GH747" s="830"/>
      <c r="GI747" s="830"/>
      <c r="GJ747" s="830"/>
      <c r="GK747" s="830"/>
      <c r="GL747" s="830"/>
      <c r="GM747" s="830"/>
      <c r="GN747" s="830"/>
      <c r="GO747" s="830"/>
      <c r="GV747" s="833"/>
      <c r="HL747" s="833"/>
      <c r="HM747" s="833"/>
    </row>
    <row r="748" spans="2:221" ht="15" customHeight="1">
      <c r="B748" s="1070" t="s">
        <v>566</v>
      </c>
      <c r="G748" s="1039">
        <f>'Part VI-Revenues &amp; Expenses'!G114</f>
        <v>0</v>
      </c>
      <c r="H748" s="1039">
        <f>'Part VI-Revenues &amp; Expenses'!H114</f>
        <v>0</v>
      </c>
      <c r="I748" s="1039">
        <f>'Part VI-Revenues &amp; Expenses'!I114</f>
        <v>0</v>
      </c>
      <c r="J748" s="1039">
        <f>'Part VI-Revenues &amp; Expenses'!J114</f>
        <v>0</v>
      </c>
      <c r="K748" s="1039">
        <f>'Part VI-Revenues &amp; Expenses'!K114</f>
        <v>0</v>
      </c>
      <c r="L748" s="1039">
        <f>'Part VI-Revenues &amp; Expenses'!L114</f>
        <v>0</v>
      </c>
      <c r="M748" s="1039">
        <f>'Part VI-Revenues &amp; Expenses'!M114</f>
        <v>0</v>
      </c>
      <c r="N748" s="1039">
        <f>'Part VI-Revenues &amp; Expenses'!N114</f>
        <v>0</v>
      </c>
      <c r="O748" s="1039">
        <f>'Part VI-Revenues &amp; Expenses'!O114</f>
        <v>0</v>
      </c>
      <c r="P748" s="1039">
        <f>'Part VI-Revenues &amp; Expenses'!P114</f>
        <v>0</v>
      </c>
      <c r="T748" s="1575"/>
      <c r="U748" s="1575"/>
      <c r="FY748" s="830"/>
      <c r="FZ748" s="830"/>
      <c r="GA748" s="830"/>
      <c r="GB748" s="830"/>
      <c r="GC748" s="830"/>
      <c r="GD748" s="830"/>
      <c r="GE748" s="830"/>
      <c r="GF748" s="830"/>
      <c r="GG748" s="830"/>
      <c r="GH748" s="830"/>
      <c r="GI748" s="830"/>
      <c r="GJ748" s="830"/>
      <c r="GK748" s="830"/>
      <c r="GL748" s="830"/>
      <c r="GM748" s="830"/>
      <c r="GN748" s="830"/>
      <c r="GO748" s="830"/>
      <c r="GV748" s="833"/>
      <c r="HL748" s="833"/>
      <c r="HM748" s="833"/>
    </row>
    <row r="749" spans="2:221" ht="15" customHeight="1">
      <c r="B749" s="1070" t="s">
        <v>791</v>
      </c>
      <c r="C749" s="1620">
        <f>'Part VI-Revenues &amp; Expenses'!C115</f>
        <v>0</v>
      </c>
      <c r="D749" s="1620"/>
      <c r="E749" s="1620"/>
      <c r="F749" s="1620"/>
      <c r="G749" s="1039">
        <f>'Part VI-Revenues &amp; Expenses'!G115</f>
        <v>0</v>
      </c>
      <c r="H749" s="1039">
        <f>'Part VI-Revenues &amp; Expenses'!H115</f>
        <v>0</v>
      </c>
      <c r="I749" s="1039">
        <f>'Part VI-Revenues &amp; Expenses'!I115</f>
        <v>0</v>
      </c>
      <c r="J749" s="1039">
        <f>'Part VI-Revenues &amp; Expenses'!J115</f>
        <v>0</v>
      </c>
      <c r="K749" s="1039">
        <f>'Part VI-Revenues &amp; Expenses'!K115</f>
        <v>0</v>
      </c>
      <c r="L749" s="1039">
        <f>'Part VI-Revenues &amp; Expenses'!L115</f>
        <v>0</v>
      </c>
      <c r="M749" s="1039">
        <f>'Part VI-Revenues &amp; Expenses'!M115</f>
        <v>0</v>
      </c>
      <c r="N749" s="1039">
        <f>'Part VI-Revenues &amp; Expenses'!N115</f>
        <v>0</v>
      </c>
      <c r="O749" s="1039">
        <f>'Part VI-Revenues &amp; Expenses'!O115</f>
        <v>0</v>
      </c>
      <c r="P749" s="1039">
        <f>'Part VI-Revenues &amp; Expenses'!P115</f>
        <v>0</v>
      </c>
      <c r="T749" s="1575"/>
      <c r="U749" s="1575"/>
      <c r="FY749" s="830"/>
      <c r="FZ749" s="830"/>
      <c r="GA749" s="830"/>
      <c r="GB749" s="830"/>
      <c r="GC749" s="830"/>
      <c r="GD749" s="830"/>
      <c r="GE749" s="830"/>
      <c r="GF749" s="830"/>
      <c r="GG749" s="830"/>
      <c r="GH749" s="830"/>
      <c r="GI749" s="830"/>
      <c r="GJ749" s="830"/>
      <c r="GK749" s="830"/>
      <c r="GL749" s="830"/>
      <c r="GM749" s="830"/>
      <c r="GN749" s="830"/>
      <c r="GO749" s="830"/>
      <c r="GV749" s="833"/>
      <c r="HL749" s="833"/>
      <c r="HM749" s="833"/>
    </row>
    <row r="750" spans="2:221" ht="15" customHeight="1">
      <c r="C750" s="827" t="s">
        <v>3677</v>
      </c>
      <c r="G750" s="918">
        <f t="shared" ref="G750:P750" si="218">SUM(G748:G749)</f>
        <v>0</v>
      </c>
      <c r="H750" s="918">
        <f t="shared" si="218"/>
        <v>0</v>
      </c>
      <c r="I750" s="918">
        <f t="shared" si="218"/>
        <v>0</v>
      </c>
      <c r="J750" s="918">
        <f t="shared" si="218"/>
        <v>0</v>
      </c>
      <c r="K750" s="918">
        <f t="shared" si="218"/>
        <v>0</v>
      </c>
      <c r="L750" s="918">
        <f t="shared" si="218"/>
        <v>0</v>
      </c>
      <c r="M750" s="918">
        <f t="shared" si="218"/>
        <v>0</v>
      </c>
      <c r="N750" s="918">
        <f t="shared" si="218"/>
        <v>0</v>
      </c>
      <c r="O750" s="918">
        <f t="shared" si="218"/>
        <v>0</v>
      </c>
      <c r="P750" s="918">
        <f t="shared" si="218"/>
        <v>0</v>
      </c>
      <c r="T750" s="1575"/>
      <c r="U750" s="1575"/>
      <c r="FY750" s="830"/>
      <c r="FZ750" s="830"/>
      <c r="GA750" s="830"/>
      <c r="GB750" s="830"/>
      <c r="GC750" s="830"/>
      <c r="GD750" s="830"/>
      <c r="GE750" s="830"/>
      <c r="GF750" s="830"/>
      <c r="GG750" s="830"/>
      <c r="GH750" s="830"/>
      <c r="GI750" s="830"/>
      <c r="GJ750" s="830"/>
      <c r="GK750" s="830"/>
      <c r="GL750" s="830"/>
      <c r="GM750" s="830"/>
      <c r="GN750" s="830"/>
      <c r="GO750" s="830"/>
      <c r="GV750" s="833"/>
      <c r="HL750" s="833"/>
      <c r="HM750" s="833"/>
    </row>
    <row r="751" spans="2:221" ht="42.6" customHeight="1">
      <c r="B751" s="833"/>
      <c r="G751" s="919"/>
      <c r="T751" s="903" t="s">
        <v>2807</v>
      </c>
      <c r="FY751" s="830"/>
      <c r="FZ751" s="830"/>
      <c r="GA751" s="830"/>
      <c r="GB751" s="830"/>
      <c r="GC751" s="830"/>
      <c r="GD751" s="830"/>
      <c r="GE751" s="830"/>
      <c r="GF751" s="830"/>
      <c r="GG751" s="830"/>
      <c r="GH751" s="830"/>
      <c r="GI751" s="830"/>
      <c r="GJ751" s="830"/>
      <c r="GK751" s="830"/>
      <c r="GL751" s="830"/>
      <c r="GM751" s="830"/>
      <c r="GN751" s="830"/>
      <c r="GO751" s="830"/>
      <c r="GV751" s="833"/>
      <c r="HL751" s="833"/>
      <c r="HM751" s="833"/>
    </row>
    <row r="752" spans="2:221" ht="13.9" customHeight="1">
      <c r="B752" s="916" t="s">
        <v>2436</v>
      </c>
      <c r="G752" s="917">
        <v>11</v>
      </c>
      <c r="H752" s="917">
        <v>12</v>
      </c>
      <c r="I752" s="917">
        <v>13</v>
      </c>
      <c r="J752" s="917">
        <v>14</v>
      </c>
      <c r="K752" s="917">
        <v>15</v>
      </c>
      <c r="L752" s="917">
        <v>16</v>
      </c>
      <c r="M752" s="917">
        <v>17</v>
      </c>
      <c r="N752" s="917">
        <v>18</v>
      </c>
      <c r="O752" s="917">
        <v>19</v>
      </c>
      <c r="P752" s="917">
        <v>20</v>
      </c>
      <c r="T752" s="581" t="str">
        <f>B752</f>
        <v>Included in Mgt Fee:</v>
      </c>
      <c r="FY752" s="830"/>
      <c r="FZ752" s="830"/>
      <c r="GA752" s="830"/>
      <c r="GB752" s="830"/>
      <c r="GC752" s="830"/>
      <c r="GD752" s="830"/>
      <c r="GE752" s="830"/>
      <c r="GF752" s="830"/>
      <c r="GG752" s="830"/>
      <c r="GH752" s="830"/>
      <c r="GI752" s="830"/>
      <c r="GJ752" s="830"/>
      <c r="GK752" s="830"/>
      <c r="GL752" s="830"/>
      <c r="GM752" s="830"/>
      <c r="GN752" s="830"/>
      <c r="GO752" s="830"/>
      <c r="GV752" s="833"/>
      <c r="HL752" s="833"/>
      <c r="HM752" s="833"/>
    </row>
    <row r="753" spans="2:221" ht="15" customHeight="1">
      <c r="B753" s="1070" t="s">
        <v>1079</v>
      </c>
      <c r="G753" s="1039">
        <f>'Part VI-Revenues &amp; Expenses'!G119</f>
        <v>0</v>
      </c>
      <c r="H753" s="1039">
        <f>'Part VI-Revenues &amp; Expenses'!H119</f>
        <v>0</v>
      </c>
      <c r="I753" s="1039">
        <f>'Part VI-Revenues &amp; Expenses'!I119</f>
        <v>0</v>
      </c>
      <c r="J753" s="1039">
        <f>'Part VI-Revenues &amp; Expenses'!J119</f>
        <v>0</v>
      </c>
      <c r="K753" s="1039">
        <f>'Part VI-Revenues &amp; Expenses'!K119</f>
        <v>0</v>
      </c>
      <c r="L753" s="1039">
        <f>'Part VI-Revenues &amp; Expenses'!L119</f>
        <v>0</v>
      </c>
      <c r="M753" s="1039">
        <f>'Part VI-Revenues &amp; Expenses'!M119</f>
        <v>0</v>
      </c>
      <c r="N753" s="1039">
        <f>'Part VI-Revenues &amp; Expenses'!N119</f>
        <v>0</v>
      </c>
      <c r="O753" s="1039">
        <f>'Part VI-Revenues &amp; Expenses'!O119</f>
        <v>0</v>
      </c>
      <c r="P753" s="1039">
        <f>'Part VI-Revenues &amp; Expenses'!P119</f>
        <v>0</v>
      </c>
      <c r="T753" s="1575"/>
      <c r="U753" s="1575"/>
      <c r="FY753" s="830"/>
      <c r="FZ753" s="830"/>
      <c r="GA753" s="830"/>
      <c r="GB753" s="830"/>
      <c r="GC753" s="830"/>
      <c r="GD753" s="830"/>
      <c r="GE753" s="830"/>
      <c r="GF753" s="830"/>
      <c r="GG753" s="830"/>
      <c r="GH753" s="830"/>
      <c r="GI753" s="830"/>
      <c r="GJ753" s="830"/>
      <c r="GK753" s="830"/>
      <c r="GL753" s="830"/>
      <c r="GM753" s="830"/>
      <c r="GN753" s="830"/>
      <c r="GO753" s="830"/>
      <c r="GV753" s="833"/>
      <c r="HL753" s="833"/>
      <c r="HM753" s="833"/>
    </row>
    <row r="754" spans="2:221" ht="15" customHeight="1">
      <c r="B754" s="1070" t="s">
        <v>791</v>
      </c>
      <c r="C754" s="1620">
        <f>'Part VI-Revenues &amp; Expenses'!C120</f>
        <v>0</v>
      </c>
      <c r="D754" s="1620"/>
      <c r="E754" s="1620"/>
      <c r="F754" s="1620"/>
      <c r="G754" s="1039">
        <f>'Part VI-Revenues &amp; Expenses'!G120</f>
        <v>0</v>
      </c>
      <c r="H754" s="1039">
        <f>'Part VI-Revenues &amp; Expenses'!H120</f>
        <v>0</v>
      </c>
      <c r="I754" s="1039">
        <f>'Part VI-Revenues &amp; Expenses'!I120</f>
        <v>0</v>
      </c>
      <c r="J754" s="1039">
        <f>'Part VI-Revenues &amp; Expenses'!J120</f>
        <v>0</v>
      </c>
      <c r="K754" s="1039">
        <f>'Part VI-Revenues &amp; Expenses'!K120</f>
        <v>0</v>
      </c>
      <c r="L754" s="1039">
        <f>'Part VI-Revenues &amp; Expenses'!L120</f>
        <v>0</v>
      </c>
      <c r="M754" s="1039">
        <f>'Part VI-Revenues &amp; Expenses'!M120</f>
        <v>0</v>
      </c>
      <c r="N754" s="1039">
        <f>'Part VI-Revenues &amp; Expenses'!N120</f>
        <v>0</v>
      </c>
      <c r="O754" s="1039">
        <f>'Part VI-Revenues &amp; Expenses'!O120</f>
        <v>0</v>
      </c>
      <c r="P754" s="1039">
        <f>'Part VI-Revenues &amp; Expenses'!P120</f>
        <v>0</v>
      </c>
      <c r="T754" s="1575"/>
      <c r="U754" s="1575"/>
      <c r="FY754" s="830"/>
      <c r="FZ754" s="830"/>
      <c r="GA754" s="830"/>
      <c r="GB754" s="830"/>
      <c r="GC754" s="830"/>
      <c r="GD754" s="830"/>
      <c r="GE754" s="830"/>
      <c r="GF754" s="830"/>
      <c r="GG754" s="830"/>
      <c r="GH754" s="830"/>
      <c r="GI754" s="830"/>
      <c r="GJ754" s="830"/>
      <c r="GK754" s="830"/>
      <c r="GL754" s="830"/>
      <c r="GM754" s="830"/>
      <c r="GN754" s="830"/>
      <c r="GO754" s="830"/>
      <c r="GV754" s="833"/>
      <c r="HL754" s="833"/>
      <c r="HM754" s="833"/>
    </row>
    <row r="755" spans="2:221" ht="15" customHeight="1">
      <c r="C755" s="827" t="s">
        <v>984</v>
      </c>
      <c r="G755" s="918">
        <f t="shared" ref="G755:P755" si="219">SUM(G753:G754)</f>
        <v>0</v>
      </c>
      <c r="H755" s="918">
        <f t="shared" si="219"/>
        <v>0</v>
      </c>
      <c r="I755" s="918">
        <f t="shared" si="219"/>
        <v>0</v>
      </c>
      <c r="J755" s="918">
        <f t="shared" si="219"/>
        <v>0</v>
      </c>
      <c r="K755" s="918">
        <f t="shared" si="219"/>
        <v>0</v>
      </c>
      <c r="L755" s="918">
        <f t="shared" si="219"/>
        <v>0</v>
      </c>
      <c r="M755" s="918">
        <f t="shared" si="219"/>
        <v>0</v>
      </c>
      <c r="N755" s="918">
        <f t="shared" si="219"/>
        <v>0</v>
      </c>
      <c r="O755" s="918">
        <f t="shared" si="219"/>
        <v>0</v>
      </c>
      <c r="P755" s="918">
        <f t="shared" si="219"/>
        <v>0</v>
      </c>
      <c r="T755" s="1575"/>
      <c r="U755" s="1575"/>
      <c r="FY755" s="830"/>
      <c r="FZ755" s="830"/>
      <c r="GA755" s="830"/>
      <c r="GB755" s="830"/>
      <c r="GC755" s="830"/>
      <c r="GD755" s="830"/>
      <c r="GE755" s="830"/>
      <c r="GF755" s="830"/>
      <c r="GG755" s="830"/>
      <c r="GH755" s="830"/>
      <c r="GI755" s="830"/>
      <c r="GJ755" s="830"/>
      <c r="GK755" s="830"/>
      <c r="GL755" s="830"/>
      <c r="GM755" s="830"/>
      <c r="GN755" s="830"/>
      <c r="GO755" s="830"/>
      <c r="GV755" s="833"/>
      <c r="HL755" s="833"/>
      <c r="HM755" s="833"/>
    </row>
    <row r="756" spans="2:221" ht="6.6" customHeight="1">
      <c r="C756" s="827"/>
      <c r="G756" s="918"/>
      <c r="H756" s="918"/>
      <c r="I756" s="918"/>
      <c r="J756" s="918"/>
      <c r="K756" s="918"/>
      <c r="L756" s="918"/>
      <c r="M756" s="918"/>
      <c r="N756" s="918"/>
      <c r="O756" s="918"/>
      <c r="P756" s="918"/>
      <c r="FY756" s="830"/>
      <c r="FZ756" s="830"/>
      <c r="GA756" s="830"/>
      <c r="GB756" s="830"/>
      <c r="GC756" s="830"/>
      <c r="GD756" s="830"/>
      <c r="GE756" s="830"/>
      <c r="GF756" s="830"/>
      <c r="GG756" s="830"/>
      <c r="GH756" s="830"/>
      <c r="GI756" s="830"/>
      <c r="GJ756" s="830"/>
      <c r="GK756" s="830"/>
      <c r="GL756" s="830"/>
      <c r="GM756" s="830"/>
      <c r="GN756" s="830"/>
      <c r="GO756" s="830"/>
      <c r="GV756" s="833"/>
      <c r="HL756" s="833"/>
      <c r="HM756" s="833"/>
    </row>
    <row r="757" spans="2:221" ht="15.6" customHeight="1">
      <c r="B757" s="916" t="s">
        <v>3676</v>
      </c>
      <c r="G757" s="919"/>
      <c r="T757" s="581" t="str">
        <f>B757</f>
        <v>NOT Included in Mgt Fee:</v>
      </c>
      <c r="FY757" s="830"/>
      <c r="FZ757" s="830"/>
      <c r="GA757" s="830"/>
      <c r="GB757" s="830"/>
      <c r="GC757" s="830"/>
      <c r="GD757" s="830"/>
      <c r="GE757" s="830"/>
      <c r="GF757" s="830"/>
      <c r="GG757" s="830"/>
      <c r="GH757" s="830"/>
      <c r="GI757" s="830"/>
      <c r="GJ757" s="830"/>
      <c r="GK757" s="830"/>
      <c r="GL757" s="830"/>
      <c r="GM757" s="830"/>
      <c r="GN757" s="830"/>
      <c r="GO757" s="830"/>
      <c r="GV757" s="833"/>
      <c r="HL757" s="833"/>
      <c r="HM757" s="833"/>
    </row>
    <row r="758" spans="2:221" ht="15" customHeight="1">
      <c r="B758" s="1070" t="s">
        <v>566</v>
      </c>
      <c r="G758" s="1039">
        <f>'Part VI-Revenues &amp; Expenses'!G124</f>
        <v>0</v>
      </c>
      <c r="H758" s="1039">
        <f>'Part VI-Revenues &amp; Expenses'!H124</f>
        <v>0</v>
      </c>
      <c r="I758" s="1039">
        <f>'Part VI-Revenues &amp; Expenses'!I124</f>
        <v>0</v>
      </c>
      <c r="J758" s="1039">
        <f>'Part VI-Revenues &amp; Expenses'!J124</f>
        <v>0</v>
      </c>
      <c r="K758" s="1039">
        <f>'Part VI-Revenues &amp; Expenses'!K124</f>
        <v>0</v>
      </c>
      <c r="L758" s="1039">
        <f>'Part VI-Revenues &amp; Expenses'!L124</f>
        <v>0</v>
      </c>
      <c r="M758" s="1039">
        <f>'Part VI-Revenues &amp; Expenses'!M124</f>
        <v>0</v>
      </c>
      <c r="N758" s="1039">
        <f>'Part VI-Revenues &amp; Expenses'!N124</f>
        <v>0</v>
      </c>
      <c r="O758" s="1039">
        <f>'Part VI-Revenues &amp; Expenses'!O124</f>
        <v>0</v>
      </c>
      <c r="P758" s="1039">
        <f>'Part VI-Revenues &amp; Expenses'!P124</f>
        <v>0</v>
      </c>
      <c r="T758" s="1575"/>
      <c r="U758" s="1575"/>
      <c r="FY758" s="830"/>
      <c r="FZ758" s="830"/>
      <c r="GA758" s="830"/>
      <c r="GB758" s="830"/>
      <c r="GC758" s="830"/>
      <c r="GD758" s="830"/>
      <c r="GE758" s="830"/>
      <c r="GF758" s="830"/>
      <c r="GG758" s="830"/>
      <c r="GH758" s="830"/>
      <c r="GI758" s="830"/>
      <c r="GJ758" s="830"/>
      <c r="GK758" s="830"/>
      <c r="GL758" s="830"/>
      <c r="GM758" s="830"/>
      <c r="GN758" s="830"/>
      <c r="GO758" s="830"/>
      <c r="GV758" s="833"/>
      <c r="HL758" s="833"/>
      <c r="HM758" s="833"/>
    </row>
    <row r="759" spans="2:221" ht="15" customHeight="1">
      <c r="B759" s="1070" t="s">
        <v>791</v>
      </c>
      <c r="C759" s="1620">
        <f>'Part VI-Revenues &amp; Expenses'!C125</f>
        <v>0</v>
      </c>
      <c r="D759" s="1620"/>
      <c r="E759" s="1620"/>
      <c r="F759" s="1620"/>
      <c r="G759" s="1039">
        <f>'Part VI-Revenues &amp; Expenses'!G125</f>
        <v>0</v>
      </c>
      <c r="H759" s="1039">
        <f>'Part VI-Revenues &amp; Expenses'!H125</f>
        <v>0</v>
      </c>
      <c r="I759" s="1039">
        <f>'Part VI-Revenues &amp; Expenses'!I125</f>
        <v>0</v>
      </c>
      <c r="J759" s="1039">
        <f>'Part VI-Revenues &amp; Expenses'!J125</f>
        <v>0</v>
      </c>
      <c r="K759" s="1039">
        <f>'Part VI-Revenues &amp; Expenses'!K125</f>
        <v>0</v>
      </c>
      <c r="L759" s="1039">
        <f>'Part VI-Revenues &amp; Expenses'!L125</f>
        <v>0</v>
      </c>
      <c r="M759" s="1039">
        <f>'Part VI-Revenues &amp; Expenses'!M125</f>
        <v>0</v>
      </c>
      <c r="N759" s="1039">
        <f>'Part VI-Revenues &amp; Expenses'!N125</f>
        <v>0</v>
      </c>
      <c r="O759" s="1039">
        <f>'Part VI-Revenues &amp; Expenses'!O125</f>
        <v>0</v>
      </c>
      <c r="P759" s="1039">
        <f>'Part VI-Revenues &amp; Expenses'!P125</f>
        <v>0</v>
      </c>
      <c r="T759" s="1575"/>
      <c r="U759" s="1575"/>
      <c r="FY759" s="830"/>
      <c r="FZ759" s="830"/>
      <c r="GA759" s="830"/>
      <c r="GB759" s="830"/>
      <c r="GC759" s="830"/>
      <c r="GD759" s="830"/>
      <c r="GE759" s="830"/>
      <c r="GF759" s="830"/>
      <c r="GG759" s="830"/>
      <c r="GH759" s="830"/>
      <c r="GI759" s="830"/>
      <c r="GJ759" s="830"/>
      <c r="GK759" s="830"/>
      <c r="GL759" s="830"/>
      <c r="GM759" s="830"/>
      <c r="GN759" s="830"/>
      <c r="GO759" s="830"/>
      <c r="GV759" s="833"/>
      <c r="HL759" s="833"/>
      <c r="HM759" s="833"/>
    </row>
    <row r="760" spans="2:221" ht="15" customHeight="1">
      <c r="C760" s="827" t="s">
        <v>3677</v>
      </c>
      <c r="G760" s="918">
        <f t="shared" ref="G760:P760" si="220">SUM(G758:G759)</f>
        <v>0</v>
      </c>
      <c r="H760" s="918">
        <f t="shared" si="220"/>
        <v>0</v>
      </c>
      <c r="I760" s="918">
        <f t="shared" si="220"/>
        <v>0</v>
      </c>
      <c r="J760" s="918">
        <f t="shared" si="220"/>
        <v>0</v>
      </c>
      <c r="K760" s="918">
        <f t="shared" si="220"/>
        <v>0</v>
      </c>
      <c r="L760" s="918">
        <f t="shared" si="220"/>
        <v>0</v>
      </c>
      <c r="M760" s="918">
        <f t="shared" si="220"/>
        <v>0</v>
      </c>
      <c r="N760" s="918">
        <f t="shared" si="220"/>
        <v>0</v>
      </c>
      <c r="O760" s="918">
        <f t="shared" si="220"/>
        <v>0</v>
      </c>
      <c r="P760" s="918">
        <f t="shared" si="220"/>
        <v>0</v>
      </c>
      <c r="T760" s="1575"/>
      <c r="U760" s="1575"/>
      <c r="FY760" s="830"/>
      <c r="FZ760" s="830"/>
      <c r="GA760" s="830"/>
      <c r="GB760" s="830"/>
      <c r="GC760" s="830"/>
      <c r="GD760" s="830"/>
      <c r="GE760" s="830"/>
      <c r="GF760" s="830"/>
      <c r="GG760" s="830"/>
      <c r="GH760" s="830"/>
      <c r="GI760" s="830"/>
      <c r="GJ760" s="830"/>
      <c r="GK760" s="830"/>
      <c r="GL760" s="830"/>
      <c r="GM760" s="830"/>
      <c r="GN760" s="830"/>
      <c r="GO760" s="830"/>
      <c r="GV760" s="833"/>
      <c r="HL760" s="833"/>
      <c r="HM760" s="833"/>
    </row>
    <row r="761" spans="2:221" ht="42.6" customHeight="1">
      <c r="B761" s="833"/>
      <c r="G761" s="919"/>
      <c r="T761" s="903" t="s">
        <v>2808</v>
      </c>
      <c r="FY761" s="830"/>
      <c r="FZ761" s="830"/>
      <c r="GA761" s="830"/>
      <c r="GB761" s="830"/>
      <c r="GC761" s="830"/>
      <c r="GD761" s="830"/>
      <c r="GE761" s="830"/>
      <c r="GF761" s="830"/>
      <c r="GG761" s="830"/>
      <c r="GH761" s="830"/>
      <c r="GI761" s="830"/>
      <c r="GJ761" s="830"/>
      <c r="GK761" s="830"/>
      <c r="GL761" s="830"/>
      <c r="GM761" s="830"/>
      <c r="GN761" s="830"/>
      <c r="GO761" s="830"/>
      <c r="GV761" s="833"/>
      <c r="HL761" s="833"/>
      <c r="HM761" s="833"/>
    </row>
    <row r="762" spans="2:221" ht="13.9" customHeight="1">
      <c r="B762" s="916" t="s">
        <v>2436</v>
      </c>
      <c r="G762" s="917">
        <v>21</v>
      </c>
      <c r="H762" s="917">
        <v>22</v>
      </c>
      <c r="I762" s="917">
        <v>23</v>
      </c>
      <c r="J762" s="917">
        <v>24</v>
      </c>
      <c r="K762" s="917">
        <v>25</v>
      </c>
      <c r="L762" s="917">
        <v>26</v>
      </c>
      <c r="M762" s="917">
        <v>27</v>
      </c>
      <c r="N762" s="917">
        <v>28</v>
      </c>
      <c r="O762" s="917">
        <v>29</v>
      </c>
      <c r="P762" s="917">
        <v>30</v>
      </c>
      <c r="T762" s="581" t="str">
        <f>B762</f>
        <v>Included in Mgt Fee:</v>
      </c>
      <c r="FY762" s="830"/>
      <c r="FZ762" s="830"/>
      <c r="GA762" s="830"/>
      <c r="GB762" s="830"/>
      <c r="GC762" s="830"/>
      <c r="GD762" s="830"/>
      <c r="GE762" s="830"/>
      <c r="GF762" s="830"/>
      <c r="GG762" s="830"/>
      <c r="GH762" s="830"/>
      <c r="GI762" s="830"/>
      <c r="GJ762" s="830"/>
      <c r="GK762" s="830"/>
      <c r="GL762" s="830"/>
      <c r="GM762" s="830"/>
      <c r="GN762" s="830"/>
      <c r="GO762" s="830"/>
      <c r="GV762" s="833"/>
      <c r="HL762" s="833"/>
      <c r="HM762" s="833"/>
    </row>
    <row r="763" spans="2:221" ht="15" customHeight="1">
      <c r="B763" s="1070" t="s">
        <v>1079</v>
      </c>
      <c r="G763" s="1039">
        <f>'Part VI-Revenues &amp; Expenses'!G129</f>
        <v>0</v>
      </c>
      <c r="H763" s="1039">
        <f>'Part VI-Revenues &amp; Expenses'!H129</f>
        <v>0</v>
      </c>
      <c r="I763" s="1039">
        <f>'Part VI-Revenues &amp; Expenses'!I129</f>
        <v>0</v>
      </c>
      <c r="J763" s="1039">
        <f>'Part VI-Revenues &amp; Expenses'!J129</f>
        <v>0</v>
      </c>
      <c r="K763" s="1039">
        <f>'Part VI-Revenues &amp; Expenses'!K129</f>
        <v>0</v>
      </c>
      <c r="L763" s="1039">
        <f>'Part VI-Revenues &amp; Expenses'!L129</f>
        <v>0</v>
      </c>
      <c r="M763" s="1039">
        <f>'Part VI-Revenues &amp; Expenses'!M129</f>
        <v>0</v>
      </c>
      <c r="N763" s="1039">
        <f>'Part VI-Revenues &amp; Expenses'!N129</f>
        <v>0</v>
      </c>
      <c r="O763" s="1039">
        <f>'Part VI-Revenues &amp; Expenses'!O129</f>
        <v>0</v>
      </c>
      <c r="P763" s="1039">
        <f>'Part VI-Revenues &amp; Expenses'!P129</f>
        <v>0</v>
      </c>
      <c r="T763" s="1575"/>
      <c r="U763" s="1575"/>
      <c r="FY763" s="830"/>
      <c r="FZ763" s="830"/>
      <c r="GA763" s="830"/>
      <c r="GB763" s="830"/>
      <c r="GC763" s="830"/>
      <c r="GD763" s="830"/>
      <c r="GE763" s="830"/>
      <c r="GF763" s="830"/>
      <c r="GG763" s="830"/>
      <c r="GH763" s="830"/>
      <c r="GI763" s="830"/>
      <c r="GJ763" s="830"/>
      <c r="GK763" s="830"/>
      <c r="GL763" s="830"/>
      <c r="GM763" s="830"/>
      <c r="GN763" s="830"/>
      <c r="GO763" s="830"/>
      <c r="GV763" s="833"/>
      <c r="HL763" s="833"/>
      <c r="HM763" s="833"/>
    </row>
    <row r="764" spans="2:221" ht="15" customHeight="1">
      <c r="B764" s="1070" t="s">
        <v>791</v>
      </c>
      <c r="C764" s="1620">
        <f>'Part VI-Revenues &amp; Expenses'!C130</f>
        <v>0</v>
      </c>
      <c r="D764" s="1620"/>
      <c r="E764" s="1620"/>
      <c r="F764" s="1620"/>
      <c r="G764" s="1039">
        <f>'Part VI-Revenues &amp; Expenses'!G130</f>
        <v>0</v>
      </c>
      <c r="H764" s="1039">
        <f>'Part VI-Revenues &amp; Expenses'!H130</f>
        <v>0</v>
      </c>
      <c r="I764" s="1039">
        <f>'Part VI-Revenues &amp; Expenses'!I130</f>
        <v>0</v>
      </c>
      <c r="J764" s="1039">
        <f>'Part VI-Revenues &amp; Expenses'!J130</f>
        <v>0</v>
      </c>
      <c r="K764" s="1039">
        <f>'Part VI-Revenues &amp; Expenses'!K130</f>
        <v>0</v>
      </c>
      <c r="L764" s="1039">
        <f>'Part VI-Revenues &amp; Expenses'!L130</f>
        <v>0</v>
      </c>
      <c r="M764" s="1039">
        <f>'Part VI-Revenues &amp; Expenses'!M130</f>
        <v>0</v>
      </c>
      <c r="N764" s="1039">
        <f>'Part VI-Revenues &amp; Expenses'!N130</f>
        <v>0</v>
      </c>
      <c r="O764" s="1039">
        <f>'Part VI-Revenues &amp; Expenses'!O130</f>
        <v>0</v>
      </c>
      <c r="P764" s="1039">
        <f>'Part VI-Revenues &amp; Expenses'!P130</f>
        <v>0</v>
      </c>
      <c r="T764" s="1575"/>
      <c r="U764" s="1575"/>
      <c r="FY764" s="830"/>
      <c r="FZ764" s="830"/>
      <c r="GA764" s="830"/>
      <c r="GB764" s="830"/>
      <c r="GC764" s="830"/>
      <c r="GD764" s="830"/>
      <c r="GE764" s="830"/>
      <c r="GF764" s="830"/>
      <c r="GG764" s="830"/>
      <c r="GH764" s="830"/>
      <c r="GI764" s="830"/>
      <c r="GJ764" s="830"/>
      <c r="GK764" s="830"/>
      <c r="GL764" s="830"/>
      <c r="GM764" s="830"/>
      <c r="GN764" s="830"/>
      <c r="GO764" s="830"/>
      <c r="GV764" s="833"/>
      <c r="HL764" s="833"/>
      <c r="HM764" s="833"/>
    </row>
    <row r="765" spans="2:221" ht="15" customHeight="1">
      <c r="C765" s="827" t="s">
        <v>984</v>
      </c>
      <c r="G765" s="918">
        <f t="shared" ref="G765:P765" si="221">SUM(G763:G764)</f>
        <v>0</v>
      </c>
      <c r="H765" s="918">
        <f t="shared" si="221"/>
        <v>0</v>
      </c>
      <c r="I765" s="918">
        <f t="shared" si="221"/>
        <v>0</v>
      </c>
      <c r="J765" s="918">
        <f t="shared" si="221"/>
        <v>0</v>
      </c>
      <c r="K765" s="918">
        <f t="shared" si="221"/>
        <v>0</v>
      </c>
      <c r="L765" s="918">
        <f t="shared" si="221"/>
        <v>0</v>
      </c>
      <c r="M765" s="918">
        <f t="shared" si="221"/>
        <v>0</v>
      </c>
      <c r="N765" s="918">
        <f t="shared" si="221"/>
        <v>0</v>
      </c>
      <c r="O765" s="918">
        <f t="shared" si="221"/>
        <v>0</v>
      </c>
      <c r="P765" s="918">
        <f t="shared" si="221"/>
        <v>0</v>
      </c>
      <c r="T765" s="1575"/>
      <c r="U765" s="1575"/>
      <c r="FY765" s="830"/>
      <c r="FZ765" s="830"/>
      <c r="GA765" s="830"/>
      <c r="GB765" s="830"/>
      <c r="GC765" s="830"/>
      <c r="GD765" s="830"/>
      <c r="GE765" s="830"/>
      <c r="GF765" s="830"/>
      <c r="GG765" s="830"/>
      <c r="GH765" s="830"/>
      <c r="GI765" s="830"/>
      <c r="GJ765" s="830"/>
      <c r="GK765" s="830"/>
      <c r="GL765" s="830"/>
      <c r="GM765" s="830"/>
      <c r="GN765" s="830"/>
      <c r="GO765" s="830"/>
      <c r="GV765" s="833"/>
      <c r="HL765" s="833"/>
      <c r="HM765" s="833"/>
    </row>
    <row r="766" spans="2:221" ht="6.6" customHeight="1">
      <c r="C766" s="827"/>
      <c r="G766" s="918"/>
      <c r="H766" s="918"/>
      <c r="I766" s="918"/>
      <c r="J766" s="918"/>
      <c r="K766" s="918"/>
      <c r="L766" s="918"/>
      <c r="M766" s="918"/>
      <c r="N766" s="918"/>
      <c r="O766" s="918"/>
      <c r="P766" s="918"/>
      <c r="FY766" s="830"/>
      <c r="FZ766" s="830"/>
      <c r="GA766" s="830"/>
      <c r="GB766" s="830"/>
      <c r="GC766" s="830"/>
      <c r="GD766" s="830"/>
      <c r="GE766" s="830"/>
      <c r="GF766" s="830"/>
      <c r="GG766" s="830"/>
      <c r="GH766" s="830"/>
      <c r="GI766" s="830"/>
      <c r="GJ766" s="830"/>
      <c r="GK766" s="830"/>
      <c r="GL766" s="830"/>
      <c r="GM766" s="830"/>
      <c r="GN766" s="830"/>
      <c r="GO766" s="830"/>
      <c r="GV766" s="833"/>
      <c r="HL766" s="833"/>
      <c r="HM766" s="833"/>
    </row>
    <row r="767" spans="2:221" ht="15" customHeight="1">
      <c r="B767" s="916" t="s">
        <v>3676</v>
      </c>
      <c r="G767" s="919"/>
      <c r="T767" s="581" t="str">
        <f>B767</f>
        <v>NOT Included in Mgt Fee:</v>
      </c>
      <c r="FY767" s="830"/>
      <c r="FZ767" s="830"/>
      <c r="GA767" s="830"/>
      <c r="GB767" s="830"/>
      <c r="GC767" s="830"/>
      <c r="GD767" s="830"/>
      <c r="GE767" s="830"/>
      <c r="GF767" s="830"/>
      <c r="GG767" s="830"/>
      <c r="GH767" s="830"/>
      <c r="GI767" s="830"/>
      <c r="GJ767" s="830"/>
      <c r="GK767" s="830"/>
      <c r="GL767" s="830"/>
      <c r="GM767" s="830"/>
      <c r="GN767" s="830"/>
      <c r="GO767" s="830"/>
      <c r="GV767" s="833"/>
      <c r="HL767" s="833"/>
      <c r="HM767" s="833"/>
    </row>
    <row r="768" spans="2:221" ht="15" customHeight="1">
      <c r="B768" s="1070" t="s">
        <v>566</v>
      </c>
      <c r="G768" s="1039">
        <f>'Part VI-Revenues &amp; Expenses'!G134</f>
        <v>0</v>
      </c>
      <c r="H768" s="1039">
        <f>'Part VI-Revenues &amp; Expenses'!H134</f>
        <v>0</v>
      </c>
      <c r="I768" s="1039">
        <f>'Part VI-Revenues &amp; Expenses'!I134</f>
        <v>0</v>
      </c>
      <c r="J768" s="1039">
        <f>'Part VI-Revenues &amp; Expenses'!J134</f>
        <v>0</v>
      </c>
      <c r="K768" s="1039">
        <f>'Part VI-Revenues &amp; Expenses'!K134</f>
        <v>0</v>
      </c>
      <c r="L768" s="1039">
        <f>'Part VI-Revenues &amp; Expenses'!L134</f>
        <v>0</v>
      </c>
      <c r="M768" s="1039">
        <f>'Part VI-Revenues &amp; Expenses'!M134</f>
        <v>0</v>
      </c>
      <c r="N768" s="1039">
        <f>'Part VI-Revenues &amp; Expenses'!N134</f>
        <v>0</v>
      </c>
      <c r="O768" s="1039">
        <f>'Part VI-Revenues &amp; Expenses'!O134</f>
        <v>0</v>
      </c>
      <c r="P768" s="1039">
        <f>'Part VI-Revenues &amp; Expenses'!P134</f>
        <v>0</v>
      </c>
      <c r="T768" s="1575"/>
      <c r="U768" s="1575"/>
      <c r="FY768" s="830"/>
      <c r="FZ768" s="830"/>
      <c r="GA768" s="830"/>
      <c r="GB768" s="830"/>
      <c r="GC768" s="830"/>
      <c r="GD768" s="830"/>
      <c r="GE768" s="830"/>
      <c r="GF768" s="830"/>
      <c r="GG768" s="830"/>
      <c r="GH768" s="830"/>
      <c r="GI768" s="830"/>
      <c r="GJ768" s="830"/>
      <c r="GK768" s="830"/>
      <c r="GL768" s="830"/>
      <c r="GM768" s="830"/>
      <c r="GN768" s="830"/>
      <c r="GO768" s="830"/>
      <c r="GV768" s="833"/>
      <c r="HL768" s="833"/>
      <c r="HM768" s="833"/>
    </row>
    <row r="769" spans="1:221" ht="15" customHeight="1">
      <c r="B769" s="1070" t="s">
        <v>791</v>
      </c>
      <c r="C769" s="1620">
        <f>'Part VI-Revenues &amp; Expenses'!C135</f>
        <v>0</v>
      </c>
      <c r="D769" s="1620"/>
      <c r="E769" s="1620"/>
      <c r="F769" s="1620"/>
      <c r="G769" s="1039">
        <f>'Part VI-Revenues &amp; Expenses'!G135</f>
        <v>0</v>
      </c>
      <c r="H769" s="1039">
        <f>'Part VI-Revenues &amp; Expenses'!H135</f>
        <v>0</v>
      </c>
      <c r="I769" s="1039">
        <f>'Part VI-Revenues &amp; Expenses'!I135</f>
        <v>0</v>
      </c>
      <c r="J769" s="1039">
        <f>'Part VI-Revenues &amp; Expenses'!J135</f>
        <v>0</v>
      </c>
      <c r="K769" s="1039">
        <f>'Part VI-Revenues &amp; Expenses'!K135</f>
        <v>0</v>
      </c>
      <c r="L769" s="1039">
        <f>'Part VI-Revenues &amp; Expenses'!L135</f>
        <v>0</v>
      </c>
      <c r="M769" s="1039">
        <f>'Part VI-Revenues &amp; Expenses'!M135</f>
        <v>0</v>
      </c>
      <c r="N769" s="1039">
        <f>'Part VI-Revenues &amp; Expenses'!N135</f>
        <v>0</v>
      </c>
      <c r="O769" s="1039">
        <f>'Part VI-Revenues &amp; Expenses'!O135</f>
        <v>0</v>
      </c>
      <c r="P769" s="1039">
        <f>'Part VI-Revenues &amp; Expenses'!P135</f>
        <v>0</v>
      </c>
      <c r="T769" s="1575"/>
      <c r="U769" s="1575"/>
      <c r="FY769" s="830"/>
      <c r="FZ769" s="830"/>
      <c r="GA769" s="830"/>
      <c r="GB769" s="830"/>
      <c r="GC769" s="830"/>
      <c r="GD769" s="830"/>
      <c r="GE769" s="830"/>
      <c r="GF769" s="830"/>
      <c r="GG769" s="830"/>
      <c r="GH769" s="830"/>
      <c r="GI769" s="830"/>
      <c r="GJ769" s="830"/>
      <c r="GK769" s="830"/>
      <c r="GL769" s="830"/>
      <c r="GM769" s="830"/>
      <c r="GN769" s="830"/>
      <c r="GO769" s="830"/>
      <c r="GV769" s="833"/>
      <c r="HL769" s="833"/>
      <c r="HM769" s="833"/>
    </row>
    <row r="770" spans="1:221" ht="15" customHeight="1">
      <c r="C770" s="827" t="s">
        <v>3677</v>
      </c>
      <c r="G770" s="918">
        <f t="shared" ref="G770:P770" si="222">SUM(G768:G769)</f>
        <v>0</v>
      </c>
      <c r="H770" s="918">
        <f t="shared" si="222"/>
        <v>0</v>
      </c>
      <c r="I770" s="918">
        <f t="shared" si="222"/>
        <v>0</v>
      </c>
      <c r="J770" s="918">
        <f t="shared" si="222"/>
        <v>0</v>
      </c>
      <c r="K770" s="918">
        <f t="shared" si="222"/>
        <v>0</v>
      </c>
      <c r="L770" s="918">
        <f t="shared" si="222"/>
        <v>0</v>
      </c>
      <c r="M770" s="918">
        <f t="shared" si="222"/>
        <v>0</v>
      </c>
      <c r="N770" s="918">
        <f t="shared" si="222"/>
        <v>0</v>
      </c>
      <c r="O770" s="918">
        <f t="shared" si="222"/>
        <v>0</v>
      </c>
      <c r="P770" s="918">
        <f t="shared" si="222"/>
        <v>0</v>
      </c>
      <c r="T770" s="1575"/>
      <c r="U770" s="1575"/>
      <c r="FY770" s="830"/>
      <c r="FZ770" s="830"/>
      <c r="GA770" s="830"/>
      <c r="GB770" s="830"/>
      <c r="GC770" s="830"/>
      <c r="GD770" s="830"/>
      <c r="GE770" s="830"/>
      <c r="GF770" s="830"/>
      <c r="GG770" s="830"/>
      <c r="GH770" s="830"/>
      <c r="GI770" s="830"/>
      <c r="GJ770" s="830"/>
      <c r="GK770" s="830"/>
      <c r="GL770" s="830"/>
      <c r="GM770" s="830"/>
      <c r="GN770" s="830"/>
      <c r="GO770" s="830"/>
      <c r="GV770" s="833"/>
      <c r="HL770" s="833"/>
      <c r="HM770" s="833"/>
    </row>
    <row r="771" spans="1:221" ht="9.6" customHeight="1">
      <c r="B771" s="833"/>
      <c r="F771" s="919"/>
      <c r="G771" s="919"/>
      <c r="FY771" s="830"/>
      <c r="FZ771" s="830"/>
      <c r="GA771" s="830"/>
      <c r="GB771" s="830"/>
      <c r="GC771" s="830"/>
      <c r="GD771" s="830"/>
      <c r="GE771" s="830"/>
      <c r="GF771" s="830"/>
      <c r="GG771" s="830"/>
      <c r="GH771" s="830"/>
      <c r="GI771" s="830"/>
      <c r="GJ771" s="830"/>
      <c r="GK771" s="830"/>
      <c r="GL771" s="830"/>
      <c r="GM771" s="830"/>
      <c r="GN771" s="830"/>
      <c r="GO771" s="830"/>
      <c r="GV771" s="833"/>
      <c r="HL771" s="833"/>
      <c r="HM771" s="833"/>
    </row>
    <row r="772" spans="1:221" s="581" customFormat="1" ht="11.25" customHeight="1">
      <c r="A772" s="584" t="s">
        <v>1916</v>
      </c>
      <c r="B772" s="1125" t="s">
        <v>1081</v>
      </c>
      <c r="C772" s="1125"/>
      <c r="D772" s="1125"/>
      <c r="E772" s="1125"/>
      <c r="F772" s="1125"/>
      <c r="G772" s="1125"/>
      <c r="H772" s="1125"/>
      <c r="I772" s="1125"/>
      <c r="J772" s="1125"/>
      <c r="K772" s="1125"/>
      <c r="M772" s="909"/>
      <c r="N772" s="826"/>
      <c r="O772" s="826"/>
      <c r="T772" s="584" t="str">
        <f>B772</f>
        <v>ANNUAL OPERATING EXPENSE BUDGET</v>
      </c>
      <c r="U772" s="1070"/>
      <c r="V772" s="1070"/>
      <c r="W772" s="1070"/>
      <c r="X772" s="1070"/>
      <c r="FY772" s="826"/>
      <c r="FZ772" s="826"/>
      <c r="GA772" s="826"/>
      <c r="GB772" s="826"/>
      <c r="GC772" s="826"/>
      <c r="GD772" s="826"/>
      <c r="GE772" s="826"/>
      <c r="GF772" s="826"/>
      <c r="GG772" s="826"/>
      <c r="GH772" s="826"/>
      <c r="GI772" s="826"/>
      <c r="GJ772" s="826"/>
      <c r="GK772" s="826"/>
      <c r="GL772" s="826"/>
      <c r="GM772" s="826"/>
      <c r="GN772" s="826"/>
      <c r="GO772" s="826"/>
      <c r="GV772" s="584"/>
      <c r="HL772" s="584"/>
      <c r="HM772" s="584"/>
    </row>
    <row r="773" spans="1:221" s="581" customFormat="1" ht="9" customHeight="1">
      <c r="B773" s="1125"/>
      <c r="C773" s="1125"/>
      <c r="D773" s="1125"/>
      <c r="E773" s="1125"/>
      <c r="F773" s="1125"/>
      <c r="G773" s="1125"/>
      <c r="H773" s="1125"/>
      <c r="I773" s="1125"/>
      <c r="J773" s="1125"/>
      <c r="T773" s="1593" t="s">
        <v>1975</v>
      </c>
      <c r="U773" s="1593"/>
      <c r="FY773" s="826"/>
      <c r="FZ773" s="826"/>
      <c r="GA773" s="826"/>
      <c r="GB773" s="826"/>
      <c r="GC773" s="826"/>
      <c r="GD773" s="826"/>
      <c r="GE773" s="826"/>
      <c r="GF773" s="826"/>
      <c r="GG773" s="826"/>
      <c r="GH773" s="826"/>
      <c r="GI773" s="826"/>
      <c r="GJ773" s="826"/>
      <c r="GK773" s="826"/>
      <c r="GL773" s="826"/>
      <c r="GM773" s="826"/>
      <c r="GN773" s="826"/>
      <c r="GO773" s="826"/>
      <c r="GV773" s="584"/>
      <c r="HL773" s="584"/>
      <c r="HM773" s="584"/>
    </row>
    <row r="774" spans="1:221" s="581" customFormat="1" ht="13.15" customHeight="1">
      <c r="B774" s="584" t="s">
        <v>1376</v>
      </c>
      <c r="F774" s="1070"/>
      <c r="G774" s="1070"/>
      <c r="I774" s="584" t="s">
        <v>1464</v>
      </c>
      <c r="N774" s="584" t="s">
        <v>1463</v>
      </c>
      <c r="T774" s="1575"/>
      <c r="U774" s="1575"/>
      <c r="V774" s="1070"/>
      <c r="W774" s="1070"/>
      <c r="X774" s="1070"/>
      <c r="FY774" s="826"/>
      <c r="FZ774" s="826"/>
      <c r="GA774" s="826"/>
      <c r="GB774" s="826"/>
      <c r="GC774" s="826"/>
      <c r="GD774" s="826"/>
      <c r="GE774" s="826"/>
      <c r="GF774" s="826"/>
      <c r="GG774" s="826"/>
      <c r="GH774" s="826"/>
      <c r="GI774" s="826"/>
      <c r="GJ774" s="826"/>
      <c r="GK774" s="826"/>
      <c r="GL774" s="826"/>
      <c r="GM774" s="826"/>
      <c r="GN774" s="826"/>
      <c r="GO774" s="826"/>
      <c r="GV774" s="584"/>
      <c r="HL774" s="584"/>
      <c r="HM774" s="584"/>
    </row>
    <row r="775" spans="1:221" s="581" customFormat="1" ht="15.6" customHeight="1">
      <c r="B775" s="581" t="s">
        <v>2338</v>
      </c>
      <c r="F775" s="1613">
        <f>'Part VI-Revenues &amp; Expenses'!F141</f>
        <v>30869</v>
      </c>
      <c r="G775" s="1613"/>
      <c r="I775" s="581" t="s">
        <v>1465</v>
      </c>
      <c r="K775" s="1613">
        <f>'Part VI-Revenues &amp; Expenses'!K141</f>
        <v>0</v>
      </c>
      <c r="L775" s="1613"/>
      <c r="N775" s="581" t="s">
        <v>985</v>
      </c>
      <c r="P775" s="921">
        <f>'Part VI-Revenues &amp; Expenses'!P141</f>
        <v>0</v>
      </c>
      <c r="T775" s="1575"/>
      <c r="U775" s="1575"/>
      <c r="V775" s="1070"/>
      <c r="W775" s="1070"/>
      <c r="X775" s="1070"/>
      <c r="FY775" s="826"/>
      <c r="FZ775" s="826"/>
      <c r="GA775" s="826"/>
      <c r="GB775" s="826"/>
      <c r="GC775" s="826"/>
      <c r="GD775" s="826"/>
      <c r="GE775" s="826"/>
      <c r="GF775" s="826"/>
      <c r="GG775" s="826"/>
      <c r="GH775" s="826"/>
      <c r="GI775" s="826"/>
      <c r="GJ775" s="826"/>
      <c r="GK775" s="826"/>
      <c r="GL775" s="826"/>
      <c r="GM775" s="826"/>
      <c r="GN775" s="826"/>
      <c r="GO775" s="826"/>
      <c r="GV775" s="584"/>
      <c r="HL775" s="584"/>
      <c r="HM775" s="584"/>
    </row>
    <row r="776" spans="1:221" s="581" customFormat="1" ht="15.6" customHeight="1">
      <c r="B776" s="581" t="s">
        <v>1454</v>
      </c>
      <c r="F776" s="1613">
        <f>'Part VI-Revenues &amp; Expenses'!F142</f>
        <v>27083</v>
      </c>
      <c r="G776" s="1613"/>
      <c r="I776" s="581" t="s">
        <v>1466</v>
      </c>
      <c r="K776" s="1613">
        <f>'Part VI-Revenues &amp; Expenses'!K142</f>
        <v>0</v>
      </c>
      <c r="L776" s="1613"/>
      <c r="N776" s="581" t="s">
        <v>153</v>
      </c>
      <c r="P776" s="921">
        <f>'Part VI-Revenues &amp; Expenses'!P142</f>
        <v>24450</v>
      </c>
      <c r="T776" s="1575"/>
      <c r="U776" s="1575"/>
      <c r="V776" s="1070"/>
      <c r="W776" s="1070"/>
      <c r="X776" s="1070"/>
      <c r="FY776" s="826"/>
      <c r="FZ776" s="826"/>
      <c r="GA776" s="826"/>
      <c r="GB776" s="826"/>
      <c r="GC776" s="826"/>
      <c r="GD776" s="826"/>
      <c r="GE776" s="826"/>
      <c r="GF776" s="826"/>
      <c r="GG776" s="826"/>
      <c r="GH776" s="826"/>
      <c r="GI776" s="826"/>
      <c r="GJ776" s="826"/>
      <c r="GK776" s="826"/>
      <c r="GL776" s="826"/>
      <c r="GM776" s="826"/>
      <c r="GN776" s="826"/>
      <c r="GO776" s="826"/>
      <c r="GV776" s="584"/>
      <c r="HL776" s="584"/>
      <c r="HM776" s="584"/>
    </row>
    <row r="777" spans="1:221" s="581" customFormat="1" ht="15.6" customHeight="1">
      <c r="B777" s="581" t="s">
        <v>1317</v>
      </c>
      <c r="F777" s="1613">
        <f>'Part VI-Revenues &amp; Expenses'!F143</f>
        <v>23381</v>
      </c>
      <c r="G777" s="1613"/>
      <c r="J777" s="920" t="s">
        <v>199</v>
      </c>
      <c r="K777" s="1613">
        <f>SUM(K775:L776)</f>
        <v>0</v>
      </c>
      <c r="L777" s="1613"/>
      <c r="N777" s="1618" t="str">
        <f>'Part VI-Revenues &amp; Expenses'!N143</f>
        <v>PILOT</v>
      </c>
      <c r="O777" s="1618"/>
      <c r="P777" s="921">
        <f>'Part VI-Revenues &amp; Expenses'!P143</f>
        <v>5788</v>
      </c>
      <c r="T777" s="1575"/>
      <c r="U777" s="1575"/>
      <c r="V777" s="1070"/>
      <c r="W777" s="1070"/>
      <c r="X777" s="1070"/>
      <c r="FY777" s="826"/>
      <c r="FZ777" s="826"/>
      <c r="GA777" s="826"/>
      <c r="GB777" s="826"/>
      <c r="GC777" s="826"/>
      <c r="GD777" s="826"/>
      <c r="GE777" s="826"/>
      <c r="GF777" s="826"/>
      <c r="GG777" s="826"/>
      <c r="GH777" s="826"/>
      <c r="GI777" s="826"/>
      <c r="GJ777" s="826"/>
      <c r="GK777" s="826"/>
      <c r="GL777" s="826"/>
      <c r="GM777" s="826"/>
      <c r="GN777" s="826"/>
      <c r="GO777" s="826"/>
      <c r="GV777" s="584"/>
      <c r="HL777" s="584"/>
      <c r="HM777" s="584"/>
    </row>
    <row r="778" spans="1:221" s="581" customFormat="1" ht="15.6" customHeight="1">
      <c r="B778" s="1617" t="str">
        <f>'Part VI-Revenues &amp; Expenses'!B144</f>
        <v>Other (describe here)</v>
      </c>
      <c r="C778" s="1617"/>
      <c r="D778" s="1617"/>
      <c r="E778" s="1617"/>
      <c r="F778" s="1613">
        <f>'Part VI-Revenues &amp; Expenses'!F144</f>
        <v>2737</v>
      </c>
      <c r="G778" s="1613"/>
      <c r="N778" s="920" t="s">
        <v>199</v>
      </c>
      <c r="P778" s="921">
        <f>SUM(P775:P777)</f>
        <v>30238</v>
      </c>
      <c r="T778" s="1575"/>
      <c r="U778" s="1575"/>
      <c r="V778" s="1070"/>
      <c r="W778" s="1070"/>
      <c r="X778" s="1070"/>
      <c r="FY778" s="826"/>
      <c r="FZ778" s="826"/>
      <c r="GA778" s="826"/>
      <c r="GB778" s="826"/>
      <c r="GC778" s="826"/>
      <c r="GD778" s="826"/>
      <c r="GE778" s="826"/>
      <c r="GF778" s="826"/>
      <c r="GG778" s="826"/>
      <c r="GH778" s="826"/>
      <c r="GI778" s="826"/>
      <c r="GJ778" s="826"/>
      <c r="GK778" s="826"/>
      <c r="GL778" s="826"/>
      <c r="GM778" s="826"/>
      <c r="GN778" s="826"/>
      <c r="GO778" s="826"/>
      <c r="GV778" s="584"/>
      <c r="HL778" s="584"/>
      <c r="HM778" s="584"/>
    </row>
    <row r="779" spans="1:221" s="581" customFormat="1" ht="15.6" customHeight="1">
      <c r="C779" s="920" t="s">
        <v>199</v>
      </c>
      <c r="F779" s="1613">
        <f>SUM(F775:G778)</f>
        <v>84070</v>
      </c>
      <c r="G779" s="1613"/>
      <c r="J779" s="1119"/>
      <c r="T779" s="1575"/>
      <c r="U779" s="1575"/>
      <c r="V779" s="1070"/>
      <c r="W779" s="1070"/>
      <c r="X779" s="1070"/>
      <c r="FY779" s="826"/>
      <c r="FZ779" s="826"/>
      <c r="GA779" s="826"/>
      <c r="GB779" s="826"/>
      <c r="GC779" s="826"/>
      <c r="GD779" s="826"/>
      <c r="GE779" s="826"/>
      <c r="GF779" s="826"/>
      <c r="GG779" s="826"/>
      <c r="GH779" s="826"/>
      <c r="GI779" s="826"/>
      <c r="GJ779" s="826"/>
      <c r="GK779" s="826"/>
      <c r="GL779" s="826"/>
      <c r="GM779" s="826"/>
      <c r="GN779" s="826"/>
      <c r="GO779" s="826"/>
      <c r="GV779" s="584"/>
      <c r="HL779" s="584"/>
      <c r="HM779" s="584"/>
    </row>
    <row r="780" spans="1:221" s="581" customFormat="1" ht="6" customHeight="1">
      <c r="C780" s="584"/>
      <c r="D780" s="920"/>
      <c r="F780" s="1119"/>
      <c r="G780" s="1119"/>
      <c r="J780" s="1119"/>
      <c r="M780" s="584"/>
      <c r="O780" s="920"/>
      <c r="T780" s="1575"/>
      <c r="U780" s="1575"/>
      <c r="FY780" s="826"/>
      <c r="FZ780" s="826"/>
      <c r="GA780" s="826"/>
      <c r="GB780" s="826"/>
      <c r="GC780" s="826"/>
      <c r="GD780" s="826"/>
      <c r="GE780" s="826"/>
      <c r="GF780" s="826"/>
      <c r="GG780" s="826"/>
      <c r="GH780" s="826"/>
      <c r="GI780" s="826"/>
      <c r="GJ780" s="826"/>
      <c r="GK780" s="826"/>
      <c r="GL780" s="826"/>
      <c r="GM780" s="826"/>
      <c r="GN780" s="826"/>
      <c r="GO780" s="826"/>
      <c r="GV780" s="584"/>
      <c r="HL780" s="584"/>
      <c r="HM780" s="584"/>
    </row>
    <row r="781" spans="1:221" s="581" customFormat="1" ht="13.15" customHeight="1">
      <c r="B781" s="584" t="s">
        <v>1377</v>
      </c>
      <c r="D781" s="922"/>
      <c r="I781" s="584" t="s">
        <v>1378</v>
      </c>
      <c r="N781" s="584" t="s">
        <v>1467</v>
      </c>
      <c r="P781" s="923">
        <f>IF(OR('Part VII-Pro Forma'!$B$20 = "Choose Mgt Fee",'Part VII-Pro Forma'!$B$20 = "Choose One!"), 0,- 'Part VII-Pro Forma'!$B$20)</f>
        <v>48728</v>
      </c>
      <c r="T781" s="1575"/>
      <c r="U781" s="1575"/>
      <c r="V781" s="1070"/>
      <c r="W781" s="1070"/>
      <c r="X781" s="1070"/>
      <c r="FY781" s="826"/>
      <c r="FZ781" s="826"/>
      <c r="GA781" s="826"/>
      <c r="GB781" s="826"/>
      <c r="GC781" s="826"/>
      <c r="GD781" s="826"/>
      <c r="GE781" s="826"/>
      <c r="GF781" s="826"/>
      <c r="GG781" s="826"/>
      <c r="GH781" s="826"/>
      <c r="GI781" s="826"/>
      <c r="GJ781" s="826"/>
      <c r="GK781" s="826"/>
      <c r="GL781" s="826"/>
      <c r="GM781" s="826"/>
      <c r="GN781" s="826"/>
      <c r="GO781" s="826"/>
      <c r="GV781" s="584"/>
      <c r="HL781" s="584"/>
      <c r="HM781" s="584"/>
    </row>
    <row r="782" spans="1:221" s="581" customFormat="1" ht="15.6" customHeight="1">
      <c r="B782" s="581" t="s">
        <v>1459</v>
      </c>
      <c r="D782" s="922"/>
      <c r="F782" s="1613">
        <f>'Part VI-Revenues &amp; Expenses'!F148</f>
        <v>2153</v>
      </c>
      <c r="G782" s="1613"/>
      <c r="I782" s="581" t="s">
        <v>1711</v>
      </c>
      <c r="K782" s="1613">
        <f>'Part VI-Revenues &amp; Expenses'!K148</f>
        <v>7529</v>
      </c>
      <c r="L782" s="1613"/>
      <c r="N782" s="924">
        <f>+P781/(M696*0.93)</f>
        <v>759.3579554308867</v>
      </c>
      <c r="O782" s="925" t="s">
        <v>3139</v>
      </c>
      <c r="T782" s="1575"/>
      <c r="U782" s="1575"/>
      <c r="V782" s="1070"/>
      <c r="W782" s="1070"/>
      <c r="X782" s="1070"/>
      <c r="FY782" s="826"/>
      <c r="FZ782" s="826"/>
      <c r="GA782" s="826"/>
      <c r="GB782" s="826"/>
      <c r="GC782" s="826"/>
      <c r="GD782" s="826"/>
      <c r="GE782" s="826"/>
      <c r="GF782" s="826"/>
      <c r="GG782" s="826"/>
      <c r="GH782" s="826"/>
      <c r="GI782" s="826"/>
      <c r="GJ782" s="826"/>
      <c r="GK782" s="826"/>
      <c r="GL782" s="826"/>
      <c r="GM782" s="826"/>
      <c r="GN782" s="826"/>
      <c r="GO782" s="826"/>
      <c r="GV782" s="584"/>
      <c r="HL782" s="584"/>
      <c r="HM782" s="584"/>
    </row>
    <row r="783" spans="1:221" s="581" customFormat="1" ht="15.6" customHeight="1">
      <c r="B783" s="581" t="s">
        <v>1460</v>
      </c>
      <c r="D783" s="922"/>
      <c r="F783" s="1613">
        <f>'Part VI-Revenues &amp; Expenses'!F149</f>
        <v>4007</v>
      </c>
      <c r="G783" s="1613"/>
      <c r="I783" s="581" t="s">
        <v>2188</v>
      </c>
      <c r="K783" s="1613">
        <f>'Part VI-Revenues &amp; Expenses'!K149</f>
        <v>8984</v>
      </c>
      <c r="L783" s="1613"/>
      <c r="N783" s="924">
        <f>+P781/(M696*0.93)/12</f>
        <v>63.279829619240559</v>
      </c>
      <c r="O783" s="925" t="s">
        <v>3141</v>
      </c>
      <c r="T783" s="1575"/>
      <c r="U783" s="1575"/>
      <c r="V783" s="1070"/>
      <c r="W783" s="1070"/>
      <c r="X783" s="1070"/>
      <c r="FY783" s="826"/>
      <c r="FZ783" s="826"/>
      <c r="GA783" s="826"/>
      <c r="GB783" s="826"/>
      <c r="GC783" s="826"/>
      <c r="GD783" s="826"/>
      <c r="GE783" s="826"/>
      <c r="GF783" s="826"/>
      <c r="GG783" s="826"/>
      <c r="GH783" s="826"/>
      <c r="GI783" s="826"/>
      <c r="GJ783" s="826"/>
      <c r="GK783" s="826"/>
      <c r="GL783" s="826"/>
      <c r="GM783" s="826"/>
      <c r="GN783" s="826"/>
      <c r="GO783" s="826"/>
      <c r="GV783" s="584"/>
      <c r="HL783" s="584"/>
      <c r="HM783" s="584"/>
    </row>
    <row r="784" spans="1:221" s="581" customFormat="1" ht="15.6" customHeight="1">
      <c r="B784" s="581" t="s">
        <v>1461</v>
      </c>
      <c r="D784" s="922"/>
      <c r="F784" s="1613">
        <f>'Part VI-Revenues &amp; Expenses'!F150</f>
        <v>2281</v>
      </c>
      <c r="G784" s="1613"/>
      <c r="I784" s="581" t="s">
        <v>1712</v>
      </c>
      <c r="K784" s="1613">
        <f>'Part VI-Revenues &amp; Expenses'!K150</f>
        <v>0</v>
      </c>
      <c r="L784" s="1613"/>
      <c r="T784" s="1575"/>
      <c r="U784" s="1575"/>
      <c r="V784" s="1070"/>
      <c r="W784" s="1070"/>
      <c r="X784" s="1070"/>
      <c r="FY784" s="826"/>
      <c r="FZ784" s="826"/>
      <c r="GA784" s="826"/>
      <c r="GB784" s="826"/>
      <c r="GC784" s="826"/>
      <c r="GD784" s="826"/>
      <c r="GE784" s="826"/>
      <c r="GF784" s="826"/>
      <c r="GG784" s="826"/>
      <c r="GH784" s="826"/>
      <c r="GI784" s="826"/>
      <c r="GJ784" s="826"/>
      <c r="GK784" s="826"/>
      <c r="GL784" s="826"/>
      <c r="GM784" s="826"/>
      <c r="GN784" s="826"/>
      <c r="GO784" s="826"/>
      <c r="GV784" s="584"/>
      <c r="HL784" s="584"/>
      <c r="HM784" s="584"/>
    </row>
    <row r="785" spans="2:221" s="581" customFormat="1" ht="15.6" customHeight="1">
      <c r="B785" s="581" t="s">
        <v>2493</v>
      </c>
      <c r="D785" s="922"/>
      <c r="F785" s="1613">
        <f>'Part VI-Revenues &amp; Expenses'!F151</f>
        <v>0</v>
      </c>
      <c r="G785" s="1613"/>
      <c r="I785" s="1618" t="str">
        <f>'Part VI-Revenues &amp; Expenses'!I151</f>
        <v>Other (describe here)</v>
      </c>
      <c r="J785" s="1618"/>
      <c r="K785" s="1613">
        <f>'Part VI-Revenues &amp; Expenses'!K151</f>
        <v>2070</v>
      </c>
      <c r="L785" s="1613"/>
      <c r="N785" s="1595" t="s">
        <v>2630</v>
      </c>
      <c r="O785" s="1595"/>
      <c r="P785" s="1595"/>
      <c r="T785" s="1575"/>
      <c r="U785" s="1575"/>
      <c r="V785" s="1070"/>
      <c r="W785" s="1070"/>
      <c r="X785" s="1070"/>
      <c r="FY785" s="826"/>
      <c r="FZ785" s="826"/>
      <c r="GA785" s="826"/>
      <c r="GB785" s="826"/>
      <c r="GC785" s="826"/>
      <c r="GD785" s="826"/>
      <c r="GE785" s="826"/>
      <c r="GF785" s="826"/>
      <c r="GG785" s="826"/>
      <c r="GH785" s="826"/>
      <c r="GI785" s="826"/>
      <c r="GJ785" s="826"/>
      <c r="GK785" s="826"/>
      <c r="GL785" s="826"/>
      <c r="GM785" s="826"/>
      <c r="GN785" s="826"/>
      <c r="GO785" s="826"/>
      <c r="GV785" s="584"/>
      <c r="HL785" s="584"/>
      <c r="HM785" s="584"/>
    </row>
    <row r="786" spans="2:221" s="581" customFormat="1" ht="15.6" customHeight="1">
      <c r="B786" s="581" t="s">
        <v>1709</v>
      </c>
      <c r="D786" s="922"/>
      <c r="F786" s="1613">
        <f>'Part VI-Revenues &amp; Expenses'!F152</f>
        <v>3475</v>
      </c>
      <c r="G786" s="1613"/>
      <c r="I786" s="584"/>
      <c r="J786" s="920" t="s">
        <v>199</v>
      </c>
      <c r="K786" s="1619">
        <f>SUM(K782:K785)</f>
        <v>18583</v>
      </c>
      <c r="L786" s="1619"/>
      <c r="N786" s="1595"/>
      <c r="O786" s="1595"/>
      <c r="P786" s="1595"/>
      <c r="T786" s="1575"/>
      <c r="U786" s="1575"/>
      <c r="V786" s="1070"/>
      <c r="W786" s="1070"/>
      <c r="X786" s="1070"/>
      <c r="FY786" s="826"/>
      <c r="FZ786" s="826"/>
      <c r="GA786" s="826"/>
      <c r="GB786" s="826"/>
      <c r="GC786" s="826"/>
      <c r="GD786" s="826"/>
      <c r="GE786" s="826"/>
      <c r="GF786" s="826"/>
      <c r="GG786" s="826"/>
      <c r="GH786" s="826"/>
      <c r="GI786" s="826"/>
      <c r="GJ786" s="826"/>
      <c r="GK786" s="826"/>
      <c r="GL786" s="826"/>
      <c r="GM786" s="826"/>
      <c r="GN786" s="826"/>
      <c r="GO786" s="826"/>
      <c r="GV786" s="584"/>
      <c r="HL786" s="584"/>
      <c r="HM786" s="584"/>
    </row>
    <row r="787" spans="2:221" s="581" customFormat="1" ht="15.6" customHeight="1">
      <c r="B787" s="1617" t="str">
        <f>'Part VI-Revenues &amp; Expenses'!B153</f>
        <v>Other (describe here)</v>
      </c>
      <c r="C787" s="1617"/>
      <c r="D787" s="1617"/>
      <c r="E787" s="1617"/>
      <c r="F787" s="1613">
        <f>'Part VI-Revenues &amp; Expenses'!F153</f>
        <v>6165</v>
      </c>
      <c r="G787" s="1613"/>
      <c r="J787" s="1119"/>
      <c r="T787" s="1575"/>
      <c r="U787" s="1575"/>
      <c r="V787" s="1070"/>
      <c r="W787" s="1070"/>
      <c r="X787" s="1070"/>
      <c r="FY787" s="826"/>
      <c r="FZ787" s="826"/>
      <c r="GA787" s="826"/>
      <c r="GB787" s="826"/>
      <c r="GC787" s="826"/>
      <c r="GD787" s="826"/>
      <c r="GE787" s="826"/>
      <c r="GF787" s="826"/>
      <c r="GG787" s="826"/>
      <c r="GH787" s="826"/>
      <c r="GI787" s="826"/>
      <c r="GJ787" s="826"/>
      <c r="GK787" s="826"/>
      <c r="GL787" s="826"/>
      <c r="GM787" s="826"/>
      <c r="GN787" s="826"/>
      <c r="GO787" s="826"/>
      <c r="GV787" s="584"/>
      <c r="HL787" s="584"/>
      <c r="HM787" s="584"/>
    </row>
    <row r="788" spans="2:221" s="581" customFormat="1" ht="15.6" customHeight="1">
      <c r="C788" s="920" t="s">
        <v>199</v>
      </c>
      <c r="F788" s="1613">
        <f>SUM(F782:G787)</f>
        <v>18081</v>
      </c>
      <c r="G788" s="1613"/>
      <c r="J788" s="1119"/>
      <c r="T788" s="1575"/>
      <c r="U788" s="1575"/>
      <c r="V788" s="1070"/>
      <c r="W788" s="1070"/>
      <c r="X788" s="1070"/>
      <c r="FY788" s="826"/>
      <c r="FZ788" s="826"/>
      <c r="GA788" s="826"/>
      <c r="GB788" s="826"/>
      <c r="GC788" s="826"/>
      <c r="GD788" s="826"/>
      <c r="GE788" s="826"/>
      <c r="GF788" s="826"/>
      <c r="GG788" s="826"/>
      <c r="GH788" s="826"/>
      <c r="GI788" s="826"/>
      <c r="GJ788" s="826"/>
      <c r="GK788" s="826"/>
      <c r="GL788" s="826"/>
      <c r="GM788" s="826"/>
      <c r="GN788" s="826"/>
      <c r="GO788" s="826"/>
      <c r="GV788" s="584"/>
      <c r="HL788" s="584"/>
      <c r="HM788" s="584"/>
    </row>
    <row r="789" spans="2:221" s="581" customFormat="1" ht="6" customHeight="1">
      <c r="D789" s="920"/>
      <c r="F789" s="1119"/>
      <c r="G789" s="1119"/>
      <c r="J789" s="1119"/>
      <c r="T789" s="1575"/>
      <c r="U789" s="1575"/>
      <c r="FY789" s="826"/>
      <c r="FZ789" s="826"/>
      <c r="GA789" s="826"/>
      <c r="GB789" s="826"/>
      <c r="GC789" s="826"/>
      <c r="GD789" s="826"/>
      <c r="GE789" s="826"/>
      <c r="GF789" s="826"/>
      <c r="GG789" s="826"/>
      <c r="GH789" s="826"/>
      <c r="GI789" s="826"/>
      <c r="GJ789" s="826"/>
      <c r="GK789" s="826"/>
      <c r="GL789" s="826"/>
      <c r="GM789" s="826"/>
      <c r="GN789" s="826"/>
      <c r="GO789" s="826"/>
      <c r="GV789" s="584"/>
      <c r="HL789" s="584"/>
      <c r="HM789" s="584"/>
    </row>
    <row r="790" spans="2:221" s="581" customFormat="1" ht="13.15" customHeight="1">
      <c r="B790" s="584" t="s">
        <v>1379</v>
      </c>
      <c r="D790" s="922"/>
      <c r="I790" s="584" t="s">
        <v>1462</v>
      </c>
      <c r="J790" s="1087" t="s">
        <v>3138</v>
      </c>
      <c r="N790" s="584" t="s">
        <v>2328</v>
      </c>
      <c r="T790" s="1575"/>
      <c r="U790" s="1575"/>
      <c r="V790" s="1070"/>
      <c r="W790" s="1070"/>
      <c r="X790" s="1070"/>
      <c r="FY790" s="826"/>
      <c r="FZ790" s="826"/>
      <c r="GA790" s="826"/>
      <c r="GB790" s="826"/>
      <c r="GC790" s="826"/>
      <c r="GD790" s="826"/>
      <c r="GE790" s="826"/>
      <c r="GF790" s="826"/>
      <c r="GG790" s="826"/>
      <c r="GH790" s="826"/>
      <c r="GI790" s="826"/>
      <c r="GJ790" s="826"/>
      <c r="GK790" s="826"/>
      <c r="GL790" s="826"/>
      <c r="GM790" s="826"/>
      <c r="GN790" s="826"/>
      <c r="GO790" s="826"/>
      <c r="GV790" s="584"/>
      <c r="HL790" s="584"/>
      <c r="HM790" s="584"/>
    </row>
    <row r="791" spans="2:221" s="581" customFormat="1" ht="15.6" customHeight="1">
      <c r="B791" s="581" t="s">
        <v>1713</v>
      </c>
      <c r="D791" s="922"/>
      <c r="F791" s="1613">
        <f>'Part VI-Revenues &amp; Expenses'!F157</f>
        <v>11405</v>
      </c>
      <c r="G791" s="1613"/>
      <c r="I791" s="581" t="s">
        <v>1455</v>
      </c>
      <c r="J791" s="1097">
        <f>K791/12/M696</f>
        <v>16.004830917874393</v>
      </c>
      <c r="K791" s="1613">
        <f>'Part VI-Revenues &amp; Expenses'!K157</f>
        <v>13252</v>
      </c>
      <c r="L791" s="1613"/>
      <c r="N791" s="924">
        <f>+P791/M696</f>
        <v>4871.782608695652</v>
      </c>
      <c r="O791" s="925" t="s">
        <v>3142</v>
      </c>
      <c r="P791" s="921">
        <f>F779+F788+F799+K777+K786+K796+P778+P781</f>
        <v>336153</v>
      </c>
      <c r="T791" s="1575"/>
      <c r="U791" s="1575"/>
      <c r="V791" s="1070"/>
      <c r="W791" s="1070"/>
      <c r="X791" s="1070"/>
      <c r="FY791" s="826"/>
      <c r="FZ791" s="826"/>
      <c r="GA791" s="826"/>
      <c r="GB791" s="826"/>
      <c r="GC791" s="826"/>
      <c r="GD791" s="826"/>
      <c r="GE791" s="826"/>
      <c r="GF791" s="826"/>
      <c r="GG791" s="826"/>
      <c r="GH791" s="826"/>
      <c r="GI791" s="826"/>
      <c r="GJ791" s="826"/>
      <c r="GK791" s="826"/>
      <c r="GL791" s="826"/>
      <c r="GM791" s="826"/>
      <c r="GN791" s="826"/>
      <c r="GO791" s="826"/>
      <c r="GV791" s="584"/>
      <c r="HL791" s="584"/>
      <c r="HM791" s="584"/>
    </row>
    <row r="792" spans="2:221" s="581" customFormat="1" ht="15.6" customHeight="1">
      <c r="B792" s="581" t="s">
        <v>1714</v>
      </c>
      <c r="D792" s="922"/>
      <c r="F792" s="1613">
        <f>'Part VI-Revenues &amp; Expenses'!F158</f>
        <v>10350</v>
      </c>
      <c r="G792" s="1613"/>
      <c r="I792" s="581" t="s">
        <v>1456</v>
      </c>
      <c r="J792" s="1097">
        <f>K792/12/M696</f>
        <v>0</v>
      </c>
      <c r="K792" s="1613">
        <f>'Part VI-Revenues &amp; Expenses'!K158</f>
        <v>0</v>
      </c>
      <c r="L792" s="1613"/>
      <c r="T792" s="1575"/>
      <c r="U792" s="1575"/>
      <c r="V792" s="1070"/>
      <c r="W792" s="1070"/>
      <c r="X792" s="1070"/>
      <c r="FY792" s="826"/>
      <c r="FZ792" s="826"/>
      <c r="GA792" s="826"/>
      <c r="GB792" s="826"/>
      <c r="GC792" s="826"/>
      <c r="GD792" s="826"/>
      <c r="GE792" s="826"/>
      <c r="GF792" s="826"/>
      <c r="GG792" s="826"/>
      <c r="GH792" s="826"/>
      <c r="GI792" s="826"/>
      <c r="GJ792" s="826"/>
      <c r="GK792" s="826"/>
      <c r="GL792" s="826"/>
      <c r="GM792" s="826"/>
      <c r="GN792" s="826"/>
      <c r="GO792" s="826"/>
      <c r="GV792" s="584"/>
      <c r="HL792" s="584"/>
      <c r="HM792" s="584"/>
    </row>
    <row r="793" spans="2:221" s="581" customFormat="1" ht="15.6" customHeight="1">
      <c r="B793" s="581" t="s">
        <v>1715</v>
      </c>
      <c r="D793" s="922"/>
      <c r="F793" s="1613">
        <f>'Part VI-Revenues &amp; Expenses'!F159</f>
        <v>14256</v>
      </c>
      <c r="G793" s="1613"/>
      <c r="I793" s="581" t="s">
        <v>2507</v>
      </c>
      <c r="J793" s="1097">
        <f>K793/12/M696</f>
        <v>61.551932367149753</v>
      </c>
      <c r="K793" s="1613">
        <f>'Part VI-Revenues &amp; Expenses'!K159</f>
        <v>50965</v>
      </c>
      <c r="L793" s="1613"/>
      <c r="T793" s="1575"/>
      <c r="U793" s="1575"/>
      <c r="V793" s="1070"/>
      <c r="W793" s="1070"/>
      <c r="X793" s="1070"/>
      <c r="FY793" s="826"/>
      <c r="FZ793" s="826"/>
      <c r="GA793" s="826"/>
      <c r="GB793" s="826"/>
      <c r="GC793" s="826"/>
      <c r="GD793" s="826"/>
      <c r="GE793" s="826"/>
      <c r="GF793" s="826"/>
      <c r="GG793" s="826"/>
      <c r="GH793" s="826"/>
      <c r="GI793" s="826"/>
      <c r="GJ793" s="826"/>
      <c r="GK793" s="826"/>
      <c r="GL793" s="826"/>
      <c r="GM793" s="826"/>
      <c r="GN793" s="826"/>
      <c r="GO793" s="826"/>
      <c r="GV793" s="584"/>
      <c r="HL793" s="584"/>
      <c r="HM793" s="584"/>
    </row>
    <row r="794" spans="2:221" s="581" customFormat="1" ht="15.6" customHeight="1">
      <c r="B794" s="581" t="s">
        <v>1063</v>
      </c>
      <c r="D794" s="922"/>
      <c r="F794" s="1613">
        <f>'Part VI-Revenues &amp; Expenses'!F160</f>
        <v>2156</v>
      </c>
      <c r="G794" s="1613"/>
      <c r="I794" s="581" t="s">
        <v>1458</v>
      </c>
      <c r="K794" s="1613">
        <f>'Part VI-Revenues &amp; Expenses'!K160</f>
        <v>10427</v>
      </c>
      <c r="L794" s="1613"/>
      <c r="N794" s="584" t="s">
        <v>1322</v>
      </c>
      <c r="O794" s="584"/>
      <c r="P794" s="923">
        <f>P795*M696</f>
        <v>17250</v>
      </c>
      <c r="T794" s="1575"/>
      <c r="U794" s="1575"/>
      <c r="V794" s="1070"/>
      <c r="W794" s="1070"/>
      <c r="X794" s="1070"/>
      <c r="FY794" s="826"/>
      <c r="FZ794" s="826"/>
      <c r="GA794" s="826"/>
      <c r="GB794" s="826"/>
      <c r="GC794" s="826"/>
      <c r="GD794" s="826"/>
      <c r="GE794" s="826"/>
      <c r="GF794" s="826"/>
      <c r="GG794" s="826"/>
      <c r="GH794" s="826"/>
      <c r="GI794" s="826"/>
      <c r="GJ794" s="826"/>
      <c r="GK794" s="826"/>
      <c r="GL794" s="826"/>
      <c r="GM794" s="826"/>
      <c r="GN794" s="826"/>
      <c r="GO794" s="826"/>
      <c r="GV794" s="584"/>
      <c r="HL794" s="584"/>
      <c r="HM794" s="584"/>
    </row>
    <row r="795" spans="2:221" s="581" customFormat="1" ht="15.6" customHeight="1">
      <c r="B795" s="581" t="s">
        <v>1064</v>
      </c>
      <c r="D795" s="922"/>
      <c r="F795" s="1613">
        <f>'Part VI-Revenues &amp; Expenses'!F161</f>
        <v>5433</v>
      </c>
      <c r="G795" s="1613"/>
      <c r="I795" s="1618" t="str">
        <f>'Part VI-Revenues &amp; Expenses'!I161</f>
        <v>Other (describe here)</v>
      </c>
      <c r="J795" s="1618"/>
      <c r="K795" s="1613">
        <f>'Part VI-Revenues &amp; Expenses'!K161</f>
        <v>1929</v>
      </c>
      <c r="L795" s="1613"/>
      <c r="N795" s="925" t="s">
        <v>489</v>
      </c>
      <c r="P795" s="923">
        <f>'Part VI-Revenues &amp; Expenses'!P161</f>
        <v>250</v>
      </c>
      <c r="T795" s="1575"/>
      <c r="U795" s="1575"/>
      <c r="V795" s="1070"/>
      <c r="W795" s="1070"/>
      <c r="X795" s="1070"/>
      <c r="FY795" s="826"/>
      <c r="FZ795" s="826"/>
      <c r="GA795" s="826"/>
      <c r="GB795" s="826"/>
      <c r="GC795" s="826"/>
      <c r="GD795" s="826"/>
      <c r="GE795" s="826"/>
      <c r="GF795" s="826"/>
      <c r="GG795" s="826"/>
      <c r="GH795" s="826"/>
      <c r="GI795" s="826"/>
      <c r="GJ795" s="826"/>
      <c r="GK795" s="826"/>
      <c r="GL795" s="826"/>
      <c r="GM795" s="826"/>
      <c r="GN795" s="826"/>
      <c r="GO795" s="826"/>
      <c r="GV795" s="584"/>
      <c r="HL795" s="584"/>
      <c r="HM795" s="584"/>
    </row>
    <row r="796" spans="2:221" s="581" customFormat="1" ht="15.6" customHeight="1">
      <c r="B796" s="581" t="s">
        <v>1065</v>
      </c>
      <c r="D796" s="922"/>
      <c r="F796" s="1613">
        <f>'Part VI-Revenues &amp; Expenses'!F162</f>
        <v>0</v>
      </c>
      <c r="G796" s="1613"/>
      <c r="J796" s="920" t="s">
        <v>199</v>
      </c>
      <c r="K796" s="1619">
        <f>SUM(K791:K795)</f>
        <v>76573</v>
      </c>
      <c r="L796" s="1619"/>
      <c r="T796" s="1575"/>
      <c r="U796" s="1575"/>
      <c r="V796" s="1070"/>
      <c r="W796" s="1070"/>
      <c r="X796" s="1070"/>
      <c r="FY796" s="826"/>
      <c r="FZ796" s="826"/>
      <c r="GA796" s="826"/>
      <c r="GB796" s="826"/>
      <c r="GC796" s="826"/>
      <c r="GD796" s="826"/>
      <c r="GE796" s="826"/>
      <c r="GF796" s="826"/>
      <c r="GG796" s="826"/>
      <c r="GH796" s="826"/>
      <c r="GI796" s="826"/>
      <c r="GJ796" s="826"/>
      <c r="GK796" s="826"/>
      <c r="GL796" s="826"/>
      <c r="GM796" s="826"/>
      <c r="GN796" s="826"/>
      <c r="GO796" s="826"/>
      <c r="GV796" s="584"/>
      <c r="HL796" s="584"/>
      <c r="HM796" s="584"/>
    </row>
    <row r="797" spans="2:221" s="581" customFormat="1" ht="15.6" customHeight="1">
      <c r="B797" s="581" t="s">
        <v>922</v>
      </c>
      <c r="D797" s="922"/>
      <c r="F797" s="1613">
        <f>'Part VI-Revenues &amp; Expenses'!F163</f>
        <v>6016</v>
      </c>
      <c r="G797" s="1613"/>
      <c r="J797" s="1119"/>
      <c r="T797" s="1575"/>
      <c r="U797" s="1575"/>
      <c r="V797" s="1070"/>
      <c r="W797" s="1070"/>
      <c r="X797" s="1070"/>
      <c r="FY797" s="826"/>
      <c r="FZ797" s="826"/>
      <c r="GA797" s="826"/>
      <c r="GB797" s="826"/>
      <c r="GC797" s="826"/>
      <c r="GD797" s="826"/>
      <c r="GE797" s="826"/>
      <c r="GF797" s="826"/>
      <c r="GG797" s="826"/>
      <c r="GH797" s="826"/>
      <c r="GI797" s="826"/>
      <c r="GJ797" s="826"/>
      <c r="GK797" s="826"/>
      <c r="GL797" s="826"/>
      <c r="GM797" s="826"/>
      <c r="GN797" s="826"/>
      <c r="GO797" s="826"/>
      <c r="GV797" s="584"/>
      <c r="HL797" s="584"/>
      <c r="HM797" s="584"/>
    </row>
    <row r="798" spans="2:221" s="581" customFormat="1" ht="15.6" customHeight="1">
      <c r="B798" s="1617" t="str">
        <f>'Part VI-Revenues &amp; Expenses'!B164</f>
        <v>Other (describe here)</v>
      </c>
      <c r="C798" s="1617"/>
      <c r="D798" s="1617"/>
      <c r="E798" s="1617"/>
      <c r="F798" s="1613">
        <f>'Part VI-Revenues &amp; Expenses'!F164</f>
        <v>10264</v>
      </c>
      <c r="G798" s="1613"/>
      <c r="J798" s="1119"/>
      <c r="N798" s="584" t="s">
        <v>2329</v>
      </c>
      <c r="O798" s="584"/>
      <c r="P798" s="584"/>
      <c r="T798" s="1575"/>
      <c r="U798" s="1575"/>
      <c r="V798" s="1070"/>
      <c r="W798" s="1070"/>
      <c r="X798" s="1070"/>
      <c r="FY798" s="826"/>
      <c r="FZ798" s="826"/>
      <c r="GA798" s="826"/>
      <c r="GB798" s="826"/>
      <c r="GC798" s="826"/>
      <c r="GD798" s="826"/>
      <c r="GE798" s="826"/>
      <c r="GF798" s="826"/>
      <c r="GG798" s="826"/>
      <c r="GH798" s="826"/>
      <c r="GI798" s="826"/>
      <c r="GJ798" s="826"/>
      <c r="GK798" s="826"/>
      <c r="GL798" s="826"/>
      <c r="GM798" s="826"/>
      <c r="GN798" s="826"/>
      <c r="GO798" s="826"/>
      <c r="GV798" s="584"/>
      <c r="HL798" s="584"/>
      <c r="HM798" s="584"/>
    </row>
    <row r="799" spans="2:221" s="581" customFormat="1" ht="15.6" customHeight="1">
      <c r="B799" s="584"/>
      <c r="C799" s="920" t="s">
        <v>199</v>
      </c>
      <c r="F799" s="1613">
        <f>SUM(F791:G798)</f>
        <v>59880</v>
      </c>
      <c r="G799" s="1613"/>
      <c r="J799" s="1119"/>
      <c r="P799" s="921">
        <f>P791+P794</f>
        <v>353403</v>
      </c>
      <c r="T799" s="1575"/>
      <c r="U799" s="1575"/>
      <c r="V799" s="1070"/>
      <c r="W799" s="1070"/>
      <c r="X799" s="1070"/>
      <c r="FY799" s="826"/>
      <c r="FZ799" s="826"/>
      <c r="GA799" s="826"/>
      <c r="GB799" s="826"/>
      <c r="GC799" s="826"/>
      <c r="GD799" s="826"/>
      <c r="GE799" s="826"/>
      <c r="GF799" s="826"/>
      <c r="GG799" s="826"/>
      <c r="GH799" s="826"/>
      <c r="GI799" s="826"/>
      <c r="GJ799" s="826"/>
      <c r="GK799" s="826"/>
      <c r="GL799" s="826"/>
      <c r="GM799" s="826"/>
      <c r="GN799" s="826"/>
      <c r="GO799" s="826"/>
      <c r="GV799" s="584"/>
      <c r="HL799" s="584"/>
      <c r="HM799" s="584"/>
    </row>
    <row r="800" spans="2:221" s="581" customFormat="1" ht="10.9" customHeight="1">
      <c r="B800" s="584"/>
      <c r="D800" s="920"/>
      <c r="F800" s="1119"/>
      <c r="G800" s="1119"/>
      <c r="FY800" s="826"/>
      <c r="FZ800" s="826"/>
      <c r="GA800" s="826"/>
      <c r="GB800" s="826"/>
      <c r="GC800" s="826"/>
      <c r="GD800" s="826"/>
      <c r="GE800" s="826"/>
      <c r="GF800" s="826"/>
      <c r="GG800" s="826"/>
      <c r="GH800" s="826"/>
      <c r="GI800" s="826"/>
      <c r="GJ800" s="826"/>
      <c r="GK800" s="826"/>
      <c r="GL800" s="826"/>
      <c r="GM800" s="826"/>
      <c r="GN800" s="826"/>
      <c r="GO800" s="826"/>
      <c r="GV800" s="584"/>
      <c r="HL800" s="584"/>
      <c r="HM800" s="584"/>
    </row>
    <row r="801" spans="1:221" ht="12" customHeight="1">
      <c r="A801" s="833" t="s">
        <v>1918</v>
      </c>
      <c r="B801" s="833" t="s">
        <v>608</v>
      </c>
      <c r="K801" s="833" t="s">
        <v>563</v>
      </c>
      <c r="L801" s="833" t="s">
        <v>1975</v>
      </c>
      <c r="FY801" s="830"/>
      <c r="FZ801" s="830"/>
      <c r="GA801" s="830"/>
      <c r="GB801" s="830"/>
      <c r="GC801" s="830"/>
      <c r="GD801" s="830"/>
      <c r="GE801" s="830"/>
      <c r="GF801" s="830"/>
      <c r="GG801" s="830"/>
      <c r="GH801" s="830"/>
      <c r="GI801" s="830"/>
      <c r="GJ801" s="830"/>
      <c r="GK801" s="830"/>
      <c r="GL801" s="830"/>
      <c r="GM801" s="830"/>
      <c r="GN801" s="830"/>
      <c r="GO801" s="830"/>
      <c r="GV801" s="833"/>
      <c r="HL801" s="833"/>
      <c r="HM801" s="833"/>
    </row>
    <row r="802" spans="1:221" ht="145.5" customHeight="1">
      <c r="A802" s="1616" t="str">
        <f>'Part VI-Revenues &amp; Expenses'!A168</f>
        <v xml:space="preserve">PROPOSED GROSS RENTS - Based on current HUD Form 92458 dated 06/01/2011; which is included in Tab #1; also see electronic document 010100TW1PHARents.
REAL ESTATE TAXES - Currently, the property does not pay Real Estate Taxes per the PILOT agreement with the City of Decatur.  The amount shown for PILOT is based on a prorata adjustment of the actual amount paid currently.  For backup and details of the prorata adjustment, see Tab #1 or electronic document 010600TW1REtaxEst.
INSURANCE - The amount for insurance is based on a quote from Manry &amp; Heston, Inc., a copy of which is in Tab #1.  Also electronic document 010600TW1InsQuote.
</v>
      </c>
      <c r="B802" s="1616"/>
      <c r="C802" s="1616"/>
      <c r="D802" s="1616"/>
      <c r="E802" s="1616"/>
      <c r="F802" s="1616"/>
      <c r="G802" s="1616"/>
      <c r="H802" s="1616"/>
      <c r="I802" s="1616"/>
      <c r="J802" s="1616"/>
      <c r="K802" s="1616">
        <f>'Part VI-Revenues &amp; Expenses'!K168</f>
        <v>0</v>
      </c>
      <c r="L802" s="1616"/>
      <c r="M802" s="1616"/>
      <c r="N802" s="1616"/>
      <c r="O802" s="1616"/>
      <c r="P802" s="1616"/>
      <c r="T802" s="1614" t="s">
        <v>2925</v>
      </c>
      <c r="U802" s="1614"/>
      <c r="FY802" s="830"/>
      <c r="FZ802" s="830"/>
      <c r="GA802" s="830"/>
      <c r="GB802" s="830"/>
      <c r="GC802" s="830"/>
      <c r="GD802" s="830"/>
      <c r="GE802" s="830"/>
      <c r="GF802" s="830"/>
      <c r="GG802" s="830"/>
      <c r="GH802" s="830"/>
      <c r="GI802" s="830"/>
      <c r="GJ802" s="830"/>
      <c r="GK802" s="830"/>
      <c r="GL802" s="830"/>
      <c r="GM802" s="830"/>
      <c r="GN802" s="830"/>
      <c r="GO802" s="830"/>
      <c r="GV802" s="833"/>
      <c r="HL802" s="833"/>
      <c r="HM802" s="833"/>
    </row>
    <row r="805" spans="1:221">
      <c r="A805" s="1598" t="str">
        <f>CONCATENATE("PART SEVEN - OPERATING PRO FORMA","  -  ",'Part I-Project Information'!$O$4," ",'Part I-Project Information'!$F$23,", ",'Part I-Project Information'!F831,", ",'Part I-Project Information'!J832," County")</f>
        <v>PART SEVEN - OPERATING PRO FORMA  -  2014-055 Trinity Walk Phase I, ,  County</v>
      </c>
      <c r="B805" s="1615"/>
      <c r="C805" s="1615"/>
      <c r="D805" s="1615"/>
      <c r="E805" s="1615"/>
      <c r="F805" s="1615"/>
      <c r="G805" s="1615"/>
      <c r="H805" s="1615"/>
      <c r="I805" s="1615"/>
      <c r="J805" s="1615"/>
      <c r="K805" s="1615"/>
    </row>
    <row r="806" spans="1:221">
      <c r="A806" s="926"/>
      <c r="B806" s="926"/>
      <c r="C806" s="926"/>
      <c r="D806" s="926"/>
      <c r="E806" s="926"/>
      <c r="F806" s="926"/>
      <c r="G806" s="926"/>
      <c r="H806" s="926"/>
      <c r="I806" s="926"/>
      <c r="J806" s="926"/>
      <c r="K806" s="926"/>
    </row>
    <row r="807" spans="1:221" ht="13.5">
      <c r="A807" s="833" t="s">
        <v>93</v>
      </c>
      <c r="D807" s="833" t="s">
        <v>83</v>
      </c>
      <c r="E807" s="1082"/>
      <c r="F807" s="1086" t="s">
        <v>3678</v>
      </c>
    </row>
    <row r="809" spans="1:221">
      <c r="A809" s="1070" t="s">
        <v>2330</v>
      </c>
      <c r="B809" s="927">
        <v>0.02</v>
      </c>
      <c r="D809" s="1070" t="s">
        <v>838</v>
      </c>
      <c r="G809" s="1040">
        <f>'Part VII-Pro Forma'!G5</f>
        <v>7500</v>
      </c>
      <c r="H809" s="1114" t="s">
        <v>2042</v>
      </c>
      <c r="K809" s="928" t="str">
        <f>IF(($B$14+$B$15+$B$16+$B$17)=0,"",B832/($B$14+$B$15+$B$16+$B$17))</f>
        <v/>
      </c>
    </row>
    <row r="810" spans="1:221">
      <c r="A810" s="1070" t="s">
        <v>2331</v>
      </c>
      <c r="B810" s="927">
        <v>0.03</v>
      </c>
    </row>
    <row r="811" spans="1:221">
      <c r="A811" s="1070" t="s">
        <v>2333</v>
      </c>
      <c r="B811" s="927">
        <v>0.03</v>
      </c>
      <c r="D811" s="581" t="s">
        <v>284</v>
      </c>
      <c r="G811" s="929"/>
      <c r="H811" s="1114" t="s">
        <v>2532</v>
      </c>
      <c r="K811" s="928" t="str">
        <f>IF(($B$14+$B$15+$B$16+$B$17)=0,"",-B824/($B$14+$B$15+$B$16+$B$17))</f>
        <v/>
      </c>
    </row>
    <row r="812" spans="1:221">
      <c r="A812" s="1070" t="s">
        <v>2332</v>
      </c>
      <c r="B812" s="927">
        <f>'Part VII-Pro Forma'!B8</f>
        <v>7.0000000000000007E-2</v>
      </c>
      <c r="D812" s="581" t="s">
        <v>2679</v>
      </c>
      <c r="G812" s="1041" t="str">
        <f>'Part VII-Pro Forma'!G8</f>
        <v>No</v>
      </c>
      <c r="H812" s="930" t="s">
        <v>1540</v>
      </c>
      <c r="K812" s="1042">
        <f>'Part VII-Pro Forma'!K8</f>
        <v>0</v>
      </c>
    </row>
    <row r="813" spans="1:221">
      <c r="A813" s="1070" t="s">
        <v>1510</v>
      </c>
      <c r="B813" s="927">
        <v>0.02</v>
      </c>
      <c r="D813" s="581" t="s">
        <v>1839</v>
      </c>
      <c r="G813" s="1041" t="str">
        <f>'Part VII-Pro Forma'!G9</f>
        <v>Yes</v>
      </c>
      <c r="H813" s="930" t="s">
        <v>2512</v>
      </c>
      <c r="K813" s="1043">
        <f>'Part VII-Pro Forma'!K9</f>
        <v>0.1</v>
      </c>
    </row>
    <row r="815" spans="1:221">
      <c r="A815" s="833" t="s">
        <v>94</v>
      </c>
    </row>
    <row r="817" spans="1:11">
      <c r="A817" s="833" t="s">
        <v>2650</v>
      </c>
      <c r="B817" s="833">
        <v>1</v>
      </c>
      <c r="C817" s="833">
        <f t="shared" ref="C817:K817" si="223">B817+1</f>
        <v>2</v>
      </c>
      <c r="D817" s="833">
        <f t="shared" si="223"/>
        <v>3</v>
      </c>
      <c r="E817" s="833">
        <f t="shared" si="223"/>
        <v>4</v>
      </c>
      <c r="F817" s="833">
        <f t="shared" si="223"/>
        <v>5</v>
      </c>
      <c r="G817" s="833">
        <f t="shared" si="223"/>
        <v>6</v>
      </c>
      <c r="H817" s="833">
        <f t="shared" si="223"/>
        <v>7</v>
      </c>
      <c r="I817" s="833">
        <f t="shared" si="223"/>
        <v>8</v>
      </c>
      <c r="J817" s="833">
        <f t="shared" si="223"/>
        <v>9</v>
      </c>
      <c r="K817" s="833">
        <f t="shared" si="223"/>
        <v>10</v>
      </c>
    </row>
    <row r="818" spans="1:11">
      <c r="A818" s="1070" t="s">
        <v>2567</v>
      </c>
      <c r="B818" s="918">
        <f>'Part VI-Revenues &amp; Expenses'!L853</f>
        <v>0</v>
      </c>
      <c r="C818" s="918">
        <f t="shared" ref="C818:K818" si="224">$B$14*(1+$B$5)^(C817-1)</f>
        <v>0</v>
      </c>
      <c r="D818" s="918">
        <f t="shared" si="224"/>
        <v>0</v>
      </c>
      <c r="E818" s="918">
        <f t="shared" si="224"/>
        <v>0</v>
      </c>
      <c r="F818" s="918">
        <f t="shared" si="224"/>
        <v>0</v>
      </c>
      <c r="G818" s="918">
        <f t="shared" si="224"/>
        <v>0</v>
      </c>
      <c r="H818" s="918">
        <f t="shared" si="224"/>
        <v>0</v>
      </c>
      <c r="I818" s="918">
        <f t="shared" si="224"/>
        <v>0</v>
      </c>
      <c r="J818" s="918">
        <f t="shared" si="224"/>
        <v>0</v>
      </c>
      <c r="K818" s="918">
        <f t="shared" si="224"/>
        <v>0</v>
      </c>
    </row>
    <row r="819" spans="1:11">
      <c r="A819" s="1070" t="s">
        <v>1078</v>
      </c>
      <c r="B819" s="918">
        <f>MIN(B818*B813,'Part VI-Revenues &amp; Expenses'!H908)</f>
        <v>0</v>
      </c>
      <c r="C819" s="918">
        <f t="shared" ref="C819:K819" si="225">$B$15*(1+$B$5)^(C817-1)</f>
        <v>0</v>
      </c>
      <c r="D819" s="918">
        <f t="shared" si="225"/>
        <v>0</v>
      </c>
      <c r="E819" s="918">
        <f t="shared" si="225"/>
        <v>0</v>
      </c>
      <c r="F819" s="918">
        <f t="shared" si="225"/>
        <v>0</v>
      </c>
      <c r="G819" s="918">
        <f t="shared" si="225"/>
        <v>0</v>
      </c>
      <c r="H819" s="918">
        <f t="shared" si="225"/>
        <v>0</v>
      </c>
      <c r="I819" s="918">
        <f t="shared" si="225"/>
        <v>0</v>
      </c>
      <c r="J819" s="918">
        <f t="shared" si="225"/>
        <v>0</v>
      </c>
      <c r="K819" s="918">
        <f t="shared" si="225"/>
        <v>0</v>
      </c>
    </row>
    <row r="820" spans="1:11">
      <c r="A820" s="1070" t="s">
        <v>2568</v>
      </c>
      <c r="B820" s="918">
        <f t="shared" ref="B820:K820" si="226">-(B818+B819)*$B$8</f>
        <v>0</v>
      </c>
      <c r="C820" s="918">
        <f t="shared" si="226"/>
        <v>0</v>
      </c>
      <c r="D820" s="918">
        <f t="shared" si="226"/>
        <v>0</v>
      </c>
      <c r="E820" s="918">
        <f t="shared" si="226"/>
        <v>0</v>
      </c>
      <c r="F820" s="918">
        <f t="shared" si="226"/>
        <v>0</v>
      </c>
      <c r="G820" s="918">
        <f t="shared" si="226"/>
        <v>0</v>
      </c>
      <c r="H820" s="918">
        <f t="shared" si="226"/>
        <v>0</v>
      </c>
      <c r="I820" s="918">
        <f t="shared" si="226"/>
        <v>0</v>
      </c>
      <c r="J820" s="918">
        <f t="shared" si="226"/>
        <v>0</v>
      </c>
      <c r="K820" s="918">
        <f t="shared" si="226"/>
        <v>0</v>
      </c>
    </row>
    <row r="821" spans="1:11">
      <c r="A821" s="1070" t="s">
        <v>55</v>
      </c>
      <c r="B821" s="918">
        <f>+'Part VI-Revenues &amp; Expenses'!G915</f>
        <v>0</v>
      </c>
      <c r="C821" s="918">
        <f>+'Part VI-Revenues &amp; Expenses'!H915</f>
        <v>0</v>
      </c>
      <c r="D821" s="918">
        <f>+'Part VI-Revenues &amp; Expenses'!I915</f>
        <v>0</v>
      </c>
      <c r="E821" s="918">
        <f>+'Part VI-Revenues &amp; Expenses'!J915</f>
        <v>0</v>
      </c>
      <c r="F821" s="918">
        <f>+'Part VI-Revenues &amp; Expenses'!K915</f>
        <v>0</v>
      </c>
      <c r="G821" s="918">
        <f>+'Part VI-Revenues &amp; Expenses'!L915</f>
        <v>0</v>
      </c>
      <c r="H821" s="918">
        <f>+'Part VI-Revenues &amp; Expenses'!M915</f>
        <v>0</v>
      </c>
      <c r="I821" s="918">
        <f>+'Part VI-Revenues &amp; Expenses'!N915</f>
        <v>0</v>
      </c>
      <c r="J821" s="918">
        <f>+'Part VI-Revenues &amp; Expenses'!O915</f>
        <v>0</v>
      </c>
      <c r="K821" s="918">
        <f>+'Part VI-Revenues &amp; Expenses'!P915</f>
        <v>0</v>
      </c>
    </row>
    <row r="822" spans="1:11">
      <c r="A822" s="1070" t="s">
        <v>56</v>
      </c>
      <c r="B822" s="918">
        <f>'Part VI-Revenues &amp; Expenses'!G920</f>
        <v>0</v>
      </c>
      <c r="C822" s="918">
        <f>'Part VI-Revenues &amp; Expenses'!H920</f>
        <v>0</v>
      </c>
      <c r="D822" s="918">
        <f>'Part VI-Revenues &amp; Expenses'!I920</f>
        <v>0</v>
      </c>
      <c r="E822" s="918">
        <f>'Part VI-Revenues &amp; Expenses'!J920</f>
        <v>0</v>
      </c>
      <c r="F822" s="918">
        <f>'Part VI-Revenues &amp; Expenses'!K920</f>
        <v>0</v>
      </c>
      <c r="G822" s="918">
        <f>'Part VI-Revenues &amp; Expenses'!L920</f>
        <v>0</v>
      </c>
      <c r="H822" s="918">
        <f>'Part VI-Revenues &amp; Expenses'!M920</f>
        <v>0</v>
      </c>
      <c r="I822" s="918">
        <f>'Part VI-Revenues &amp; Expenses'!N920</f>
        <v>0</v>
      </c>
      <c r="J822" s="918">
        <f>'Part VI-Revenues &amp; Expenses'!O920</f>
        <v>0</v>
      </c>
      <c r="K822" s="918">
        <f>'Part VI-Revenues &amp; Expenses'!P920</f>
        <v>0</v>
      </c>
    </row>
    <row r="823" spans="1:11">
      <c r="A823" s="1070" t="s">
        <v>655</v>
      </c>
      <c r="B823" s="918">
        <f>-('Part VI-Revenues &amp; Expenses'!P961-'Part VI-Revenues &amp; Expenses'!P951)</f>
        <v>0</v>
      </c>
      <c r="C823" s="918">
        <f t="shared" ref="C823:K823" si="227">$B$19*(1+$B$6)^(C817-1)</f>
        <v>0</v>
      </c>
      <c r="D823" s="918">
        <f t="shared" si="227"/>
        <v>0</v>
      </c>
      <c r="E823" s="918">
        <f t="shared" si="227"/>
        <v>0</v>
      </c>
      <c r="F823" s="918">
        <f t="shared" si="227"/>
        <v>0</v>
      </c>
      <c r="G823" s="918">
        <f t="shared" si="227"/>
        <v>0</v>
      </c>
      <c r="H823" s="918">
        <f t="shared" si="227"/>
        <v>0</v>
      </c>
      <c r="I823" s="918">
        <f t="shared" si="227"/>
        <v>0</v>
      </c>
      <c r="J823" s="918">
        <f t="shared" si="227"/>
        <v>0</v>
      </c>
      <c r="K823" s="918">
        <f t="shared" si="227"/>
        <v>0</v>
      </c>
    </row>
    <row r="824" spans="1:11">
      <c r="A824" s="1070" t="s">
        <v>1180</v>
      </c>
      <c r="B824" s="918">
        <f>IF(AND('Part VII-Pro Forma'!$G$8="Yes",'Part VII-Pro Forma'!$G$9="Yes"),"Choose One!",IF('Part VII-Pro Forma'!$G$8="Yes",ROUND((-$K$8*(1+'Part VII-Pro Forma'!$B$6)^('Part VII-Pro Forma'!B817-1)),),IF('Part VII-Pro Forma'!$G$9="Yes",ROUND((-(SUM(B818:B821)*'Part VII-Pro Forma'!$K$9)),),"Choose mgt fee")))</f>
        <v>0</v>
      </c>
      <c r="C824" s="918">
        <f>IF(AND('Part VII-Pro Forma'!$G$8="Yes",'Part VII-Pro Forma'!$G$9="Yes"),"Choose One!",IF('Part VII-Pro Forma'!$G$8="Yes",ROUND((-$K$8*(1+'Part VII-Pro Forma'!$B$6)^('Part VII-Pro Forma'!C817-1)),),IF('Part VII-Pro Forma'!$G$9="Yes",ROUND((-(SUM(C818:C821)*'Part VII-Pro Forma'!$K$9)),),"Choose mgt fee")))</f>
        <v>0</v>
      </c>
      <c r="D824" s="918">
        <f>IF(AND('Part VII-Pro Forma'!$G$8="Yes",'Part VII-Pro Forma'!$G$9="Yes"),"Choose One!",IF('Part VII-Pro Forma'!$G$8="Yes",ROUND((-$K$8*(1+'Part VII-Pro Forma'!$B$6)^('Part VII-Pro Forma'!D817-1)),),IF('Part VII-Pro Forma'!$G$9="Yes",ROUND((-(SUM(D818:D821)*'Part VII-Pro Forma'!$K$9)),),"Choose mgt fee")))</f>
        <v>0</v>
      </c>
      <c r="E824" s="918">
        <f>IF(AND('Part VII-Pro Forma'!$G$8="Yes",'Part VII-Pro Forma'!$G$9="Yes"),"Choose One!",IF('Part VII-Pro Forma'!$G$8="Yes",ROUND((-$K$8*(1+'Part VII-Pro Forma'!$B$6)^('Part VII-Pro Forma'!E817-1)),),IF('Part VII-Pro Forma'!$G$9="Yes",ROUND((-(SUM(E818:E821)*'Part VII-Pro Forma'!$K$9)),),"Choose mgt fee")))</f>
        <v>0</v>
      </c>
      <c r="F824" s="918">
        <f>IF(AND('Part VII-Pro Forma'!$G$8="Yes",'Part VII-Pro Forma'!$G$9="Yes"),"Choose One!",IF('Part VII-Pro Forma'!$G$8="Yes",ROUND((-$K$8*(1+'Part VII-Pro Forma'!$B$6)^('Part VII-Pro Forma'!F817-1)),),IF('Part VII-Pro Forma'!$G$9="Yes",ROUND((-(SUM(F818:F821)*'Part VII-Pro Forma'!$K$9)),),"Choose mgt fee")))</f>
        <v>0</v>
      </c>
      <c r="G824" s="918">
        <f>IF(AND('Part VII-Pro Forma'!$G$8="Yes",'Part VII-Pro Forma'!$G$9="Yes"),"Choose One!",IF('Part VII-Pro Forma'!$G$8="Yes",ROUND((-$K$8*(1+'Part VII-Pro Forma'!$B$6)^('Part VII-Pro Forma'!G817-1)),),IF('Part VII-Pro Forma'!$G$9="Yes",ROUND((-(SUM(G818:G821)*'Part VII-Pro Forma'!$K$9)),),"Choose mgt fee")))</f>
        <v>0</v>
      </c>
      <c r="H824" s="918">
        <f>IF(AND('Part VII-Pro Forma'!$G$8="Yes",'Part VII-Pro Forma'!$G$9="Yes"),"Choose One!",IF('Part VII-Pro Forma'!$G$8="Yes",ROUND((-$K$8*(1+'Part VII-Pro Forma'!$B$6)^('Part VII-Pro Forma'!H817-1)),),IF('Part VII-Pro Forma'!$G$9="Yes",ROUND((-(SUM(H818:H821)*'Part VII-Pro Forma'!$K$9)),),"Choose mgt fee")))</f>
        <v>0</v>
      </c>
      <c r="I824" s="918">
        <f>IF(AND('Part VII-Pro Forma'!$G$8="Yes",'Part VII-Pro Forma'!$G$9="Yes"),"Choose One!",IF('Part VII-Pro Forma'!$G$8="Yes",ROUND((-$K$8*(1+'Part VII-Pro Forma'!$B$6)^('Part VII-Pro Forma'!I817-1)),),IF('Part VII-Pro Forma'!$G$9="Yes",ROUND((-(SUM(I818:I821)*'Part VII-Pro Forma'!$K$9)),),"Choose mgt fee")))</f>
        <v>0</v>
      </c>
      <c r="J824" s="918">
        <f>IF(AND('Part VII-Pro Forma'!$G$8="Yes",'Part VII-Pro Forma'!$G$9="Yes"),"Choose One!",IF('Part VII-Pro Forma'!$G$8="Yes",ROUND((-$K$8*(1+'Part VII-Pro Forma'!$B$6)^('Part VII-Pro Forma'!J817-1)),),IF('Part VII-Pro Forma'!$G$9="Yes",ROUND((-(SUM(J818:J821)*'Part VII-Pro Forma'!$K$9)),),"Choose mgt fee")))</f>
        <v>0</v>
      </c>
      <c r="K824" s="918">
        <f>IF(AND('Part VII-Pro Forma'!$G$8="Yes",'Part VII-Pro Forma'!$G$9="Yes"),"Choose One!",IF('Part VII-Pro Forma'!$G$8="Yes",ROUND((-$K$8*(1+'Part VII-Pro Forma'!$B$6)^('Part VII-Pro Forma'!K817-1)),),IF('Part VII-Pro Forma'!$G$9="Yes",ROUND((-(SUM(K818:K821)*'Part VII-Pro Forma'!$K$9)),),"Choose mgt fee")))</f>
        <v>0</v>
      </c>
    </row>
    <row r="825" spans="1:11">
      <c r="A825" s="1070" t="s">
        <v>1278</v>
      </c>
      <c r="B825" s="918">
        <f>-('Part VI-Revenues &amp; Expenses'!P964)</f>
        <v>0</v>
      </c>
      <c r="C825" s="918">
        <f t="shared" ref="C825:K825" si="228">$B$21*(1+$B$7)^(C817-1)</f>
        <v>0</v>
      </c>
      <c r="D825" s="918">
        <f t="shared" si="228"/>
        <v>0</v>
      </c>
      <c r="E825" s="918">
        <f t="shared" si="228"/>
        <v>0</v>
      </c>
      <c r="F825" s="918">
        <f t="shared" si="228"/>
        <v>0</v>
      </c>
      <c r="G825" s="918">
        <f t="shared" si="228"/>
        <v>0</v>
      </c>
      <c r="H825" s="918">
        <f t="shared" si="228"/>
        <v>0</v>
      </c>
      <c r="I825" s="918">
        <f t="shared" si="228"/>
        <v>0</v>
      </c>
      <c r="J825" s="918">
        <f t="shared" si="228"/>
        <v>0</v>
      </c>
      <c r="K825" s="918">
        <f t="shared" si="228"/>
        <v>0</v>
      </c>
    </row>
    <row r="826" spans="1:11">
      <c r="A826" s="1070" t="s">
        <v>1279</v>
      </c>
      <c r="B826" s="918">
        <f t="shared" ref="B826:K826" si="229">SUM(B818:B825)</f>
        <v>0</v>
      </c>
      <c r="C826" s="918">
        <f t="shared" si="229"/>
        <v>0</v>
      </c>
      <c r="D826" s="918">
        <f t="shared" si="229"/>
        <v>0</v>
      </c>
      <c r="E826" s="918">
        <f t="shared" si="229"/>
        <v>0</v>
      </c>
      <c r="F826" s="918">
        <f t="shared" si="229"/>
        <v>0</v>
      </c>
      <c r="G826" s="918">
        <f t="shared" si="229"/>
        <v>0</v>
      </c>
      <c r="H826" s="918">
        <f t="shared" si="229"/>
        <v>0</v>
      </c>
      <c r="I826" s="918">
        <f t="shared" si="229"/>
        <v>0</v>
      </c>
      <c r="J826" s="918">
        <f t="shared" si="229"/>
        <v>0</v>
      </c>
      <c r="K826" s="918">
        <f t="shared" si="229"/>
        <v>0</v>
      </c>
    </row>
    <row r="827" spans="1:11">
      <c r="A827" s="1070" t="s">
        <v>1699</v>
      </c>
      <c r="B827" s="918">
        <f>'Part VII-Pro Forma'!B23</f>
        <v>-77923</v>
      </c>
      <c r="C827" s="918">
        <f>'Part VII-Pro Forma'!C23</f>
        <v>-77923</v>
      </c>
      <c r="D827" s="918">
        <f>'Part VII-Pro Forma'!D23</f>
        <v>-77923</v>
      </c>
      <c r="E827" s="918">
        <f>'Part VII-Pro Forma'!E23</f>
        <v>-77923</v>
      </c>
      <c r="F827" s="918">
        <f>'Part VII-Pro Forma'!F23</f>
        <v>-77923</v>
      </c>
      <c r="G827" s="918">
        <f>'Part VII-Pro Forma'!G23</f>
        <v>-77923</v>
      </c>
      <c r="H827" s="918">
        <f>'Part VII-Pro Forma'!H23</f>
        <v>-77923</v>
      </c>
      <c r="I827" s="918">
        <f>'Part VII-Pro Forma'!I23</f>
        <v>-77923</v>
      </c>
      <c r="J827" s="918">
        <f>'Part VII-Pro Forma'!J23</f>
        <v>-77923</v>
      </c>
      <c r="K827" s="918">
        <f>'Part VII-Pro Forma'!K23</f>
        <v>-77923</v>
      </c>
    </row>
    <row r="828" spans="1:11">
      <c r="A828" s="1070" t="s">
        <v>1700</v>
      </c>
      <c r="B828" s="918">
        <f>'Part VII-Pro Forma'!B24</f>
        <v>0</v>
      </c>
      <c r="C828" s="918">
        <f>'Part VII-Pro Forma'!C24</f>
        <v>0</v>
      </c>
      <c r="D828" s="918">
        <f>'Part VII-Pro Forma'!D24</f>
        <v>0</v>
      </c>
      <c r="E828" s="918">
        <f>'Part VII-Pro Forma'!E24</f>
        <v>0</v>
      </c>
      <c r="F828" s="918">
        <f>'Part VII-Pro Forma'!F24</f>
        <v>0</v>
      </c>
      <c r="G828" s="918">
        <f>'Part VII-Pro Forma'!G24</f>
        <v>0</v>
      </c>
      <c r="H828" s="918">
        <f>'Part VII-Pro Forma'!H24</f>
        <v>0</v>
      </c>
      <c r="I828" s="918">
        <f>'Part VII-Pro Forma'!I24</f>
        <v>0</v>
      </c>
      <c r="J828" s="918">
        <f>'Part VII-Pro Forma'!J24</f>
        <v>0</v>
      </c>
      <c r="K828" s="918">
        <f>'Part VII-Pro Forma'!K24</f>
        <v>0</v>
      </c>
    </row>
    <row r="829" spans="1:11">
      <c r="A829" s="1070" t="s">
        <v>1701</v>
      </c>
      <c r="B829" s="918">
        <f>'Part VII-Pro Forma'!B25</f>
        <v>0</v>
      </c>
      <c r="C829" s="918">
        <f>'Part VII-Pro Forma'!C25</f>
        <v>0</v>
      </c>
      <c r="D829" s="918">
        <f>'Part VII-Pro Forma'!D25</f>
        <v>0</v>
      </c>
      <c r="E829" s="918">
        <f>'Part VII-Pro Forma'!E25</f>
        <v>0</v>
      </c>
      <c r="F829" s="918">
        <f>'Part VII-Pro Forma'!F25</f>
        <v>0</v>
      </c>
      <c r="G829" s="918">
        <f>'Part VII-Pro Forma'!G25</f>
        <v>0</v>
      </c>
      <c r="H829" s="918">
        <f>'Part VII-Pro Forma'!H25</f>
        <v>0</v>
      </c>
      <c r="I829" s="918">
        <f>'Part VII-Pro Forma'!I25</f>
        <v>0</v>
      </c>
      <c r="J829" s="918">
        <f>'Part VII-Pro Forma'!J25</f>
        <v>0</v>
      </c>
      <c r="K829" s="918">
        <f>'Part VII-Pro Forma'!K25</f>
        <v>0</v>
      </c>
    </row>
    <row r="830" spans="1:11">
      <c r="A830" s="1070" t="s">
        <v>835</v>
      </c>
      <c r="B830" s="918">
        <f>'Part VII-Pro Forma'!B26</f>
        <v>0</v>
      </c>
      <c r="C830" s="918">
        <f>'Part VII-Pro Forma'!C26</f>
        <v>0</v>
      </c>
      <c r="D830" s="918">
        <f>'Part VII-Pro Forma'!D26</f>
        <v>0</v>
      </c>
      <c r="E830" s="918">
        <f>'Part VII-Pro Forma'!E26</f>
        <v>0</v>
      </c>
      <c r="F830" s="918">
        <f>'Part VII-Pro Forma'!F26</f>
        <v>0</v>
      </c>
      <c r="G830" s="918">
        <f>'Part VII-Pro Forma'!G26</f>
        <v>0</v>
      </c>
      <c r="H830" s="918">
        <f>'Part VII-Pro Forma'!H26</f>
        <v>0</v>
      </c>
      <c r="I830" s="918">
        <f>'Part VII-Pro Forma'!I26</f>
        <v>0</v>
      </c>
      <c r="J830" s="918">
        <f>'Part VII-Pro Forma'!J26</f>
        <v>0</v>
      </c>
      <c r="K830" s="918">
        <f>'Part VII-Pro Forma'!K26</f>
        <v>0</v>
      </c>
    </row>
    <row r="831" spans="1:11">
      <c r="A831" s="1070" t="s">
        <v>814</v>
      </c>
      <c r="B831" s="918">
        <f>'Part VII-Pro Forma'!B27</f>
        <v>0</v>
      </c>
      <c r="C831" s="918">
        <f>'Part VII-Pro Forma'!C27</f>
        <v>0</v>
      </c>
      <c r="D831" s="918">
        <f>'Part VII-Pro Forma'!D27</f>
        <v>0</v>
      </c>
      <c r="E831" s="918">
        <f>'Part VII-Pro Forma'!E27</f>
        <v>0</v>
      </c>
      <c r="F831" s="918">
        <f>'Part VII-Pro Forma'!F27</f>
        <v>0</v>
      </c>
      <c r="G831" s="918">
        <f>'Part VII-Pro Forma'!G27</f>
        <v>0</v>
      </c>
      <c r="H831" s="918">
        <f>'Part VII-Pro Forma'!H27</f>
        <v>0</v>
      </c>
      <c r="I831" s="918">
        <f>'Part VII-Pro Forma'!I27</f>
        <v>0</v>
      </c>
      <c r="J831" s="918">
        <f>'Part VII-Pro Forma'!J27</f>
        <v>0</v>
      </c>
      <c r="K831" s="918">
        <f>'Part VII-Pro Forma'!K27</f>
        <v>0</v>
      </c>
    </row>
    <row r="832" spans="1:11">
      <c r="A832" s="1070" t="s">
        <v>1234</v>
      </c>
      <c r="B832" s="918">
        <f>'Part VII-Pro Forma'!B28</f>
        <v>-7500</v>
      </c>
      <c r="C832" s="918">
        <f>'Part VII-Pro Forma'!C28</f>
        <v>-7500</v>
      </c>
      <c r="D832" s="918">
        <f>'Part VII-Pro Forma'!D28</f>
        <v>-7500</v>
      </c>
      <c r="E832" s="918">
        <f>'Part VII-Pro Forma'!E28</f>
        <v>-7500</v>
      </c>
      <c r="F832" s="918">
        <f>'Part VII-Pro Forma'!F28</f>
        <v>-7500</v>
      </c>
      <c r="G832" s="918">
        <f>'Part VII-Pro Forma'!G28</f>
        <v>-7500</v>
      </c>
      <c r="H832" s="918">
        <f>'Part VII-Pro Forma'!H28</f>
        <v>-7500</v>
      </c>
      <c r="I832" s="918">
        <f>'Part VII-Pro Forma'!I28</f>
        <v>-7500</v>
      </c>
      <c r="J832" s="918">
        <f>'Part VII-Pro Forma'!J28</f>
        <v>-7500</v>
      </c>
      <c r="K832" s="918">
        <f>'Part VII-Pro Forma'!K28</f>
        <v>-7500</v>
      </c>
    </row>
    <row r="833" spans="1:11">
      <c r="A833" s="1070" t="s">
        <v>1280</v>
      </c>
      <c r="B833" s="918" t="str">
        <f>'Part VII-Pro Forma'!B29</f>
        <v>        (48,455)</v>
      </c>
      <c r="C833" s="918" t="str">
        <f>'Part VII-Pro Forma'!C29</f>
        <v>        (48,086)</v>
      </c>
      <c r="D833" s="918" t="str">
        <f>'Part VII-Pro Forma'!D29</f>
        <v>        (47,618)</v>
      </c>
      <c r="E833" s="918" t="str">
        <f>'Part VII-Pro Forma'!E29</f>
        <v>        (47,046)</v>
      </c>
      <c r="F833" s="918" t="str">
        <f>'Part VII-Pro Forma'!F29</f>
        <v>        (46,367)</v>
      </c>
      <c r="G833" s="918" t="str">
        <f>'Part VII-Pro Forma'!G29</f>
        <v>        (45,573)</v>
      </c>
      <c r="H833" s="918" t="str">
        <f>'Part VII-Pro Forma'!H29</f>
        <v>        (44,661)</v>
      </c>
      <c r="I833" s="918" t="str">
        <f>'Part VII-Pro Forma'!I29</f>
        <v>        (43,626)</v>
      </c>
      <c r="J833" s="918" t="str">
        <f>'Part VII-Pro Forma'!J29</f>
        <v>        (28,627)</v>
      </c>
      <c r="K833" s="918" t="str">
        <f>'Part VII-Pro Forma'!K29</f>
        <v xml:space="preserve">               -   </v>
      </c>
    </row>
    <row r="834" spans="1:11">
      <c r="A834" s="1070" t="s">
        <v>1235</v>
      </c>
      <c r="B834" s="918">
        <f t="shared" ref="B834:K834" si="230">SUM(B826:B833)</f>
        <v>-85423</v>
      </c>
      <c r="C834" s="918">
        <f t="shared" si="230"/>
        <v>-85423</v>
      </c>
      <c r="D834" s="918">
        <f t="shared" si="230"/>
        <v>-85423</v>
      </c>
      <c r="E834" s="918">
        <f t="shared" si="230"/>
        <v>-85423</v>
      </c>
      <c r="F834" s="918">
        <f t="shared" si="230"/>
        <v>-85423</v>
      </c>
      <c r="G834" s="918">
        <f t="shared" si="230"/>
        <v>-85423</v>
      </c>
      <c r="H834" s="918">
        <f t="shared" si="230"/>
        <v>-85423</v>
      </c>
      <c r="I834" s="918">
        <f t="shared" si="230"/>
        <v>-85423</v>
      </c>
      <c r="J834" s="918">
        <f t="shared" si="230"/>
        <v>-85423</v>
      </c>
      <c r="K834" s="918">
        <f t="shared" si="230"/>
        <v>-85423</v>
      </c>
    </row>
    <row r="835" spans="1:11">
      <c r="A835" s="1070" t="str">
        <f>IF('Part III-Sources of Funds'!$E$32 = "Neither", "", "DCR Mortgage A")</f>
        <v>DCR Mortgage A</v>
      </c>
      <c r="B835" s="931">
        <f>IF(B827=0,"",-B826/B827)</f>
        <v>0</v>
      </c>
      <c r="C835" s="931">
        <f t="shared" ref="C835:K835" si="231">IF(C827=0,"",-C826/C827)</f>
        <v>0</v>
      </c>
      <c r="D835" s="931">
        <f t="shared" si="231"/>
        <v>0</v>
      </c>
      <c r="E835" s="931">
        <f t="shared" si="231"/>
        <v>0</v>
      </c>
      <c r="F835" s="931">
        <f t="shared" si="231"/>
        <v>0</v>
      </c>
      <c r="G835" s="931">
        <f t="shared" si="231"/>
        <v>0</v>
      </c>
      <c r="H835" s="931">
        <f t="shared" si="231"/>
        <v>0</v>
      </c>
      <c r="I835" s="931">
        <f t="shared" si="231"/>
        <v>0</v>
      </c>
      <c r="J835" s="931">
        <f t="shared" si="231"/>
        <v>0</v>
      </c>
      <c r="K835" s="931">
        <f t="shared" si="231"/>
        <v>0</v>
      </c>
    </row>
    <row r="836" spans="1:11">
      <c r="A836" s="1070" t="str">
        <f>IF('Part III-Sources of Funds'!$E$32 = "Neither", "", "DCR Mortgage B")</f>
        <v>DCR Mortgage B</v>
      </c>
      <c r="B836" s="931" t="str">
        <f t="shared" ref="B836:K836" si="232">IF(OR(B828=0,AND(B828=0,B827=0)),"",-B826/(B827+B828))</f>
        <v/>
      </c>
      <c r="C836" s="931" t="str">
        <f t="shared" si="232"/>
        <v/>
      </c>
      <c r="D836" s="931" t="str">
        <f t="shared" si="232"/>
        <v/>
      </c>
      <c r="E836" s="931" t="str">
        <f t="shared" si="232"/>
        <v/>
      </c>
      <c r="F836" s="931" t="str">
        <f t="shared" si="232"/>
        <v/>
      </c>
      <c r="G836" s="931" t="str">
        <f t="shared" si="232"/>
        <v/>
      </c>
      <c r="H836" s="931" t="str">
        <f t="shared" si="232"/>
        <v/>
      </c>
      <c r="I836" s="931" t="str">
        <f t="shared" si="232"/>
        <v/>
      </c>
      <c r="J836" s="931" t="str">
        <f t="shared" si="232"/>
        <v/>
      </c>
      <c r="K836" s="931" t="str">
        <f t="shared" si="232"/>
        <v/>
      </c>
    </row>
    <row r="837" spans="1:11">
      <c r="A837" s="1070" t="str">
        <f>IF('Part III-Sources of Funds'!$E$32 = "Neither", "DCR First Mortgage", "DCR Mortgage C")</f>
        <v>DCR Mortgage C</v>
      </c>
      <c r="B837" s="931" t="str">
        <f t="shared" ref="B837:K837" si="233">IF(OR(B829=0,AND(B829=0,B828=0,B827=0)),"",-B826/(B827+B828+B829))</f>
        <v/>
      </c>
      <c r="C837" s="931" t="str">
        <f t="shared" si="233"/>
        <v/>
      </c>
      <c r="D837" s="931" t="str">
        <f t="shared" si="233"/>
        <v/>
      </c>
      <c r="E837" s="931" t="str">
        <f t="shared" si="233"/>
        <v/>
      </c>
      <c r="F837" s="931" t="str">
        <f t="shared" si="233"/>
        <v/>
      </c>
      <c r="G837" s="931" t="str">
        <f t="shared" si="233"/>
        <v/>
      </c>
      <c r="H837" s="931" t="str">
        <f t="shared" si="233"/>
        <v/>
      </c>
      <c r="I837" s="931" t="str">
        <f t="shared" si="233"/>
        <v/>
      </c>
      <c r="J837" s="931" t="str">
        <f t="shared" si="233"/>
        <v/>
      </c>
      <c r="K837" s="931" t="str">
        <f t="shared" si="233"/>
        <v/>
      </c>
    </row>
    <row r="838" spans="1:11">
      <c r="A838" s="1070" t="s">
        <v>836</v>
      </c>
      <c r="B838" s="931" t="str">
        <f t="shared" ref="B838:K838" si="234">IF(OR(B830=0,AND(B827=0,B828=0,B829=0,B830=0)),"",-B826/(B827+B828+B829+B830))</f>
        <v/>
      </c>
      <c r="C838" s="931" t="str">
        <f t="shared" si="234"/>
        <v/>
      </c>
      <c r="D838" s="931" t="str">
        <f t="shared" si="234"/>
        <v/>
      </c>
      <c r="E838" s="931" t="str">
        <f t="shared" si="234"/>
        <v/>
      </c>
      <c r="F838" s="931" t="str">
        <f t="shared" si="234"/>
        <v/>
      </c>
      <c r="G838" s="931" t="str">
        <f t="shared" si="234"/>
        <v/>
      </c>
      <c r="H838" s="931" t="str">
        <f t="shared" si="234"/>
        <v/>
      </c>
      <c r="I838" s="931" t="str">
        <f t="shared" si="234"/>
        <v/>
      </c>
      <c r="J838" s="931" t="str">
        <f t="shared" si="234"/>
        <v/>
      </c>
      <c r="K838" s="931" t="str">
        <f t="shared" si="234"/>
        <v/>
      </c>
    </row>
    <row r="839" spans="1:11">
      <c r="A839" s="1070" t="s">
        <v>821</v>
      </c>
      <c r="B839" s="932" t="e">
        <f>IF(OR(B824="Choose mgt fee",B824="Choose One!"),"",(B818+B819+B820+B821+B822) / -(B823+B824+B825))</f>
        <v>#DIV/0!</v>
      </c>
      <c r="C839" s="932" t="e">
        <f t="shared" ref="C839:K839" si="235">IF(OR(C824="Choose mgt fee",C824="Choose One!"),"",(C818+C819+C820+C821+C822) / -(C823+C824+C825))</f>
        <v>#DIV/0!</v>
      </c>
      <c r="D839" s="932" t="e">
        <f t="shared" si="235"/>
        <v>#DIV/0!</v>
      </c>
      <c r="E839" s="932" t="e">
        <f t="shared" si="235"/>
        <v>#DIV/0!</v>
      </c>
      <c r="F839" s="932" t="e">
        <f t="shared" si="235"/>
        <v>#DIV/0!</v>
      </c>
      <c r="G839" s="932" t="e">
        <f t="shared" si="235"/>
        <v>#DIV/0!</v>
      </c>
      <c r="H839" s="932" t="e">
        <f t="shared" si="235"/>
        <v>#DIV/0!</v>
      </c>
      <c r="I839" s="932" t="e">
        <f t="shared" si="235"/>
        <v>#DIV/0!</v>
      </c>
      <c r="J839" s="932" t="e">
        <f t="shared" si="235"/>
        <v>#DIV/0!</v>
      </c>
      <c r="K839" s="932" t="e">
        <f t="shared" si="235"/>
        <v>#DIV/0!</v>
      </c>
    </row>
    <row r="840" spans="1:11">
      <c r="A840" s="1070" t="s">
        <v>2802</v>
      </c>
      <c r="B840" s="918">
        <f>'Part VII-Pro Forma'!B36</f>
        <v>1108268.4691409278</v>
      </c>
      <c r="C840" s="918">
        <f>'Part VII-Pro Forma'!C36</f>
        <v>1065181.7681490604</v>
      </c>
      <c r="D840" s="918">
        <f>'Part VII-Pro Forma'!D36</f>
        <v>1020695.889865997</v>
      </c>
      <c r="E840" s="918">
        <f>'Part VII-Pro Forma'!E36</f>
        <v>974765.39806554443</v>
      </c>
      <c r="F840" s="918">
        <f>'Part VII-Pro Forma'!F36</f>
        <v>927343.38104683987</v>
      </c>
      <c r="G840" s="918">
        <f>'Part VII-Pro Forma'!G36</f>
        <v>878381.40372048027</v>
      </c>
      <c r="H840" s="918">
        <f>'Part VII-Pro Forma'!H36</f>
        <v>827829.45813871815</v>
      </c>
      <c r="I840" s="918">
        <f>'Part VII-Pro Forma'!I36</f>
        <v>775635.91241919843</v>
      </c>
      <c r="J840" s="918">
        <f>'Part VII-Pro Forma'!J36</f>
        <v>721747.45801006863</v>
      </c>
      <c r="K840" s="918">
        <f>'Part VII-Pro Forma'!K36</f>
        <v>666109.05524260132</v>
      </c>
    </row>
    <row r="841" spans="1:11">
      <c r="A841" s="1070" t="s">
        <v>2803</v>
      </c>
      <c r="B841" s="918" t="str">
        <f>'Part VII-Pro Forma'!B37</f>
        <v/>
      </c>
      <c r="C841" s="918" t="str">
        <f>'Part VII-Pro Forma'!C37</f>
        <v/>
      </c>
      <c r="D841" s="918" t="str">
        <f>'Part VII-Pro Forma'!D37</f>
        <v/>
      </c>
      <c r="E841" s="918" t="str">
        <f>'Part VII-Pro Forma'!E37</f>
        <v/>
      </c>
      <c r="F841" s="918" t="str">
        <f>'Part VII-Pro Forma'!F37</f>
        <v/>
      </c>
      <c r="G841" s="918" t="str">
        <f>'Part VII-Pro Forma'!G37</f>
        <v/>
      </c>
      <c r="H841" s="918" t="str">
        <f>'Part VII-Pro Forma'!H37</f>
        <v/>
      </c>
      <c r="I841" s="918" t="str">
        <f>'Part VII-Pro Forma'!I37</f>
        <v/>
      </c>
      <c r="J841" s="918" t="str">
        <f>'Part VII-Pro Forma'!J37</f>
        <v/>
      </c>
      <c r="K841" s="918" t="str">
        <f>'Part VII-Pro Forma'!K37</f>
        <v/>
      </c>
    </row>
    <row r="842" spans="1:11">
      <c r="A842" s="1070" t="s">
        <v>2804</v>
      </c>
      <c r="B842" s="918" t="str">
        <f>'Part VII-Pro Forma'!B38</f>
        <v/>
      </c>
      <c r="C842" s="918" t="str">
        <f>'Part VII-Pro Forma'!C38</f>
        <v/>
      </c>
      <c r="D842" s="918" t="str">
        <f>'Part VII-Pro Forma'!D38</f>
        <v/>
      </c>
      <c r="E842" s="918" t="str">
        <f>'Part VII-Pro Forma'!E38</f>
        <v/>
      </c>
      <c r="F842" s="918" t="str">
        <f>'Part VII-Pro Forma'!F38</f>
        <v/>
      </c>
      <c r="G842" s="918" t="str">
        <f>'Part VII-Pro Forma'!G38</f>
        <v/>
      </c>
      <c r="H842" s="918" t="str">
        <f>'Part VII-Pro Forma'!H38</f>
        <v/>
      </c>
      <c r="I842" s="918" t="str">
        <f>'Part VII-Pro Forma'!I38</f>
        <v/>
      </c>
      <c r="J842" s="918" t="str">
        <f>'Part VII-Pro Forma'!J38</f>
        <v/>
      </c>
      <c r="K842" s="918" t="str">
        <f>'Part VII-Pro Forma'!K38</f>
        <v/>
      </c>
    </row>
    <row r="843" spans="1:11">
      <c r="A843" s="1070" t="s">
        <v>837</v>
      </c>
      <c r="B843" s="918" t="str">
        <f>'Part VII-Pro Forma'!B39</f>
        <v/>
      </c>
      <c r="C843" s="918" t="str">
        <f>'Part VII-Pro Forma'!C39</f>
        <v/>
      </c>
      <c r="D843" s="918" t="str">
        <f>'Part VII-Pro Forma'!D39</f>
        <v/>
      </c>
      <c r="E843" s="918" t="str">
        <f>'Part VII-Pro Forma'!E39</f>
        <v/>
      </c>
      <c r="F843" s="918" t="str">
        <f>'Part VII-Pro Forma'!F39</f>
        <v/>
      </c>
      <c r="G843" s="918" t="str">
        <f>'Part VII-Pro Forma'!G39</f>
        <v/>
      </c>
      <c r="H843" s="918" t="str">
        <f>'Part VII-Pro Forma'!H39</f>
        <v/>
      </c>
      <c r="I843" s="918" t="str">
        <f>'Part VII-Pro Forma'!I39</f>
        <v/>
      </c>
      <c r="J843" s="918" t="str">
        <f>'Part VII-Pro Forma'!J39</f>
        <v/>
      </c>
      <c r="K843" s="918" t="str">
        <f>'Part VII-Pro Forma'!K39</f>
        <v/>
      </c>
    </row>
    <row r="844" spans="1:11">
      <c r="A844" s="1070" t="s">
        <v>1315</v>
      </c>
      <c r="B844" s="918" t="str">
        <f>'Part VII-Pro Forma'!B40</f>
        <v xml:space="preserve">       307,276 </v>
      </c>
      <c r="C844" s="918" t="str">
        <f>'Part VII-Pro Forma'!C40</f>
        <v xml:space="preserve">       269,238 </v>
      </c>
      <c r="D844" s="918" t="str">
        <f>'Part VII-Pro Forma'!D40</f>
        <v xml:space="preserve">       230,425 </v>
      </c>
      <c r="E844" s="918" t="str">
        <f>'Part VII-Pro Forma'!E40</f>
        <v xml:space="preserve">       190,913 </v>
      </c>
      <c r="F844" s="918" t="str">
        <f>'Part VII-Pro Forma'!F40</f>
        <v xml:space="preserve">       150,789 </v>
      </c>
      <c r="G844" s="918" t="str">
        <f>'Part VII-Pro Forma'!G40</f>
        <v xml:space="preserve">       110,146 </v>
      </c>
      <c r="H844" s="918" t="str">
        <f>'Part VII-Pro Forma'!H40</f>
        <v xml:space="preserve">         69,087 </v>
      </c>
      <c r="I844" s="918" t="str">
        <f>'Part VII-Pro Forma'!I40</f>
        <v xml:space="preserve">         27,720 </v>
      </c>
      <c r="J844" s="918" t="str">
        <f>'Part VII-Pro Forma'!J40</f>
        <v xml:space="preserve">               -   </v>
      </c>
      <c r="K844" s="918" t="str">
        <f>'Part VII-Pro Forma'!K40</f>
        <v xml:space="preserve">               -   </v>
      </c>
    </row>
    <row r="845" spans="1:11">
      <c r="B845" s="918"/>
      <c r="C845" s="918"/>
      <c r="D845" s="918"/>
      <c r="E845" s="918"/>
      <c r="F845" s="918"/>
      <c r="G845" s="918"/>
      <c r="H845" s="918"/>
      <c r="I845" s="918"/>
      <c r="J845" s="918"/>
      <c r="K845" s="918"/>
    </row>
    <row r="846" spans="1:11">
      <c r="A846" s="833" t="s">
        <v>2650</v>
      </c>
      <c r="B846" s="933">
        <f>K817+1</f>
        <v>11</v>
      </c>
      <c r="C846" s="933">
        <f t="shared" ref="C846:K846" si="236">B846+1</f>
        <v>12</v>
      </c>
      <c r="D846" s="933">
        <f t="shared" si="236"/>
        <v>13</v>
      </c>
      <c r="E846" s="933">
        <f t="shared" si="236"/>
        <v>14</v>
      </c>
      <c r="F846" s="933">
        <f t="shared" si="236"/>
        <v>15</v>
      </c>
      <c r="G846" s="933">
        <f t="shared" si="236"/>
        <v>16</v>
      </c>
      <c r="H846" s="933">
        <f t="shared" si="236"/>
        <v>17</v>
      </c>
      <c r="I846" s="933">
        <f t="shared" si="236"/>
        <v>18</v>
      </c>
      <c r="J846" s="933">
        <f t="shared" si="236"/>
        <v>19</v>
      </c>
      <c r="K846" s="933">
        <f t="shared" si="236"/>
        <v>20</v>
      </c>
    </row>
    <row r="847" spans="1:11">
      <c r="A847" s="1070" t="s">
        <v>2567</v>
      </c>
      <c r="B847" s="918">
        <f t="shared" ref="B847:K847" si="237">$B$14*(1+$B$5)^(B846-1)</f>
        <v>0</v>
      </c>
      <c r="C847" s="918">
        <f t="shared" si="237"/>
        <v>0</v>
      </c>
      <c r="D847" s="918">
        <f t="shared" si="237"/>
        <v>0</v>
      </c>
      <c r="E847" s="918">
        <f t="shared" si="237"/>
        <v>0</v>
      </c>
      <c r="F847" s="918">
        <f t="shared" si="237"/>
        <v>0</v>
      </c>
      <c r="G847" s="918">
        <f t="shared" si="237"/>
        <v>0</v>
      </c>
      <c r="H847" s="918">
        <f t="shared" si="237"/>
        <v>0</v>
      </c>
      <c r="I847" s="918">
        <f t="shared" si="237"/>
        <v>0</v>
      </c>
      <c r="J847" s="918">
        <f t="shared" si="237"/>
        <v>0</v>
      </c>
      <c r="K847" s="918">
        <f t="shared" si="237"/>
        <v>0</v>
      </c>
    </row>
    <row r="848" spans="1:11">
      <c r="A848" s="1070" t="s">
        <v>1078</v>
      </c>
      <c r="B848" s="918">
        <f t="shared" ref="B848:K848" si="238">$B$15*(1+$B$5)^(B846-1)</f>
        <v>0</v>
      </c>
      <c r="C848" s="918">
        <f t="shared" si="238"/>
        <v>0</v>
      </c>
      <c r="D848" s="918">
        <f t="shared" si="238"/>
        <v>0</v>
      </c>
      <c r="E848" s="918">
        <f t="shared" si="238"/>
        <v>0</v>
      </c>
      <c r="F848" s="918">
        <f t="shared" si="238"/>
        <v>0</v>
      </c>
      <c r="G848" s="918">
        <f t="shared" si="238"/>
        <v>0</v>
      </c>
      <c r="H848" s="918">
        <f t="shared" si="238"/>
        <v>0</v>
      </c>
      <c r="I848" s="918">
        <f t="shared" si="238"/>
        <v>0</v>
      </c>
      <c r="J848" s="918">
        <f t="shared" si="238"/>
        <v>0</v>
      </c>
      <c r="K848" s="918">
        <f t="shared" si="238"/>
        <v>0</v>
      </c>
    </row>
    <row r="849" spans="1:11">
      <c r="A849" s="1070" t="s">
        <v>2568</v>
      </c>
      <c r="B849" s="918">
        <f t="shared" ref="B849:K849" si="239">-(B847+B848)*$B$8</f>
        <v>0</v>
      </c>
      <c r="C849" s="918">
        <f t="shared" si="239"/>
        <v>0</v>
      </c>
      <c r="D849" s="918">
        <f t="shared" si="239"/>
        <v>0</v>
      </c>
      <c r="E849" s="918">
        <f t="shared" si="239"/>
        <v>0</v>
      </c>
      <c r="F849" s="918">
        <f t="shared" si="239"/>
        <v>0</v>
      </c>
      <c r="G849" s="918">
        <f t="shared" si="239"/>
        <v>0</v>
      </c>
      <c r="H849" s="918">
        <f t="shared" si="239"/>
        <v>0</v>
      </c>
      <c r="I849" s="918">
        <f t="shared" si="239"/>
        <v>0</v>
      </c>
      <c r="J849" s="918">
        <f t="shared" si="239"/>
        <v>0</v>
      </c>
      <c r="K849" s="918">
        <f t="shared" si="239"/>
        <v>0</v>
      </c>
    </row>
    <row r="850" spans="1:11">
      <c r="A850" s="1070" t="s">
        <v>55</v>
      </c>
      <c r="B850" s="918">
        <f>+'Part VI-Revenues &amp; Expenses'!G925</f>
        <v>0</v>
      </c>
      <c r="C850" s="918">
        <f>+'Part VI-Revenues &amp; Expenses'!H925</f>
        <v>0</v>
      </c>
      <c r="D850" s="918">
        <f>+'Part VI-Revenues &amp; Expenses'!I925</f>
        <v>0</v>
      </c>
      <c r="E850" s="918">
        <f>+'Part VI-Revenues &amp; Expenses'!J925</f>
        <v>0</v>
      </c>
      <c r="F850" s="918">
        <f>+'Part VI-Revenues &amp; Expenses'!K925</f>
        <v>0</v>
      </c>
      <c r="G850" s="918">
        <f>+'Part VI-Revenues &amp; Expenses'!L925</f>
        <v>0</v>
      </c>
      <c r="H850" s="918">
        <f>+'Part VI-Revenues &amp; Expenses'!M925</f>
        <v>0</v>
      </c>
      <c r="I850" s="918">
        <f>+'Part VI-Revenues &amp; Expenses'!N925</f>
        <v>0</v>
      </c>
      <c r="J850" s="918">
        <f>+'Part VI-Revenues &amp; Expenses'!O925</f>
        <v>0</v>
      </c>
      <c r="K850" s="918">
        <f>+'Part VI-Revenues &amp; Expenses'!P925</f>
        <v>0</v>
      </c>
    </row>
    <row r="851" spans="1:11">
      <c r="A851" s="1070" t="s">
        <v>56</v>
      </c>
      <c r="B851" s="918">
        <f>'Part VI-Revenues &amp; Expenses'!G930</f>
        <v>0</v>
      </c>
      <c r="C851" s="918">
        <f>'Part VI-Revenues &amp; Expenses'!H930</f>
        <v>0</v>
      </c>
      <c r="D851" s="918">
        <f>'Part VI-Revenues &amp; Expenses'!I930</f>
        <v>0</v>
      </c>
      <c r="E851" s="918">
        <f>'Part VI-Revenues &amp; Expenses'!J930</f>
        <v>0</v>
      </c>
      <c r="F851" s="918">
        <f>'Part VI-Revenues &amp; Expenses'!K930</f>
        <v>0</v>
      </c>
      <c r="G851" s="918">
        <f>'Part VI-Revenues &amp; Expenses'!L930</f>
        <v>0</v>
      </c>
      <c r="H851" s="918">
        <f>'Part VI-Revenues &amp; Expenses'!M930</f>
        <v>0</v>
      </c>
      <c r="I851" s="918">
        <f>'Part VI-Revenues &amp; Expenses'!N930</f>
        <v>0</v>
      </c>
      <c r="J851" s="918">
        <f>'Part VI-Revenues &amp; Expenses'!O930</f>
        <v>0</v>
      </c>
      <c r="K851" s="918">
        <f>'Part VI-Revenues &amp; Expenses'!P930</f>
        <v>0</v>
      </c>
    </row>
    <row r="852" spans="1:11">
      <c r="A852" s="1070" t="s">
        <v>655</v>
      </c>
      <c r="B852" s="918">
        <f t="shared" ref="B852:K852" si="240">$B$19*(1+$B$6)^(B846-1)</f>
        <v>0</v>
      </c>
      <c r="C852" s="918">
        <f t="shared" si="240"/>
        <v>0</v>
      </c>
      <c r="D852" s="918">
        <f t="shared" si="240"/>
        <v>0</v>
      </c>
      <c r="E852" s="918">
        <f t="shared" si="240"/>
        <v>0</v>
      </c>
      <c r="F852" s="918">
        <f t="shared" si="240"/>
        <v>0</v>
      </c>
      <c r="G852" s="918">
        <f t="shared" si="240"/>
        <v>0</v>
      </c>
      <c r="H852" s="918">
        <f t="shared" si="240"/>
        <v>0</v>
      </c>
      <c r="I852" s="918">
        <f t="shared" si="240"/>
        <v>0</v>
      </c>
      <c r="J852" s="918">
        <f t="shared" si="240"/>
        <v>0</v>
      </c>
      <c r="K852" s="918">
        <f t="shared" si="240"/>
        <v>0</v>
      </c>
    </row>
    <row r="853" spans="1:11">
      <c r="A853" s="1070" t="s">
        <v>1180</v>
      </c>
      <c r="B853" s="918">
        <f>IF(AND('Part VII-Pro Forma'!$G$8="Yes",'Part VII-Pro Forma'!$G$9="Yes"),"Choose One!",IF('Part VII-Pro Forma'!$G$8="Yes",ROUND((-$K$8*(1+'Part VII-Pro Forma'!$B$6)^('Part VII-Pro Forma'!B846-1)),),IF('Part VII-Pro Forma'!$G$9="Yes",ROUND((-(SUM(B847:B850)*'Part VII-Pro Forma'!$K$9)),),"Choose mgt fee")))</f>
        <v>0</v>
      </c>
      <c r="C853" s="918">
        <f>IF(AND('Part VII-Pro Forma'!$G$8="Yes",'Part VII-Pro Forma'!$G$9="Yes"),"Choose One!",IF('Part VII-Pro Forma'!$G$8="Yes",ROUND((-$K$8*(1+'Part VII-Pro Forma'!$B$6)^('Part VII-Pro Forma'!C846-1)),),IF('Part VII-Pro Forma'!$G$9="Yes",ROUND((-(SUM(C847:C850)*'Part VII-Pro Forma'!$K$9)),),"Choose mgt fee")))</f>
        <v>0</v>
      </c>
      <c r="D853" s="918">
        <f>IF(AND('Part VII-Pro Forma'!$G$8="Yes",'Part VII-Pro Forma'!$G$9="Yes"),"Choose One!",IF('Part VII-Pro Forma'!$G$8="Yes",ROUND((-$K$8*(1+'Part VII-Pro Forma'!$B$6)^('Part VII-Pro Forma'!D846-1)),),IF('Part VII-Pro Forma'!$G$9="Yes",ROUND((-(SUM(D847:D850)*'Part VII-Pro Forma'!$K$9)),),"Choose mgt fee")))</f>
        <v>0</v>
      </c>
      <c r="E853" s="918">
        <f>IF(AND('Part VII-Pro Forma'!$G$8="Yes",'Part VII-Pro Forma'!$G$9="Yes"),"Choose One!",IF('Part VII-Pro Forma'!$G$8="Yes",ROUND((-$K$8*(1+'Part VII-Pro Forma'!$B$6)^('Part VII-Pro Forma'!E846-1)),),IF('Part VII-Pro Forma'!$G$9="Yes",ROUND((-(SUM(E847:E850)*'Part VII-Pro Forma'!$K$9)),),"Choose mgt fee")))</f>
        <v>0</v>
      </c>
      <c r="F853" s="918">
        <f>IF(AND('Part VII-Pro Forma'!$G$8="Yes",'Part VII-Pro Forma'!$G$9="Yes"),"Choose One!",IF('Part VII-Pro Forma'!$G$8="Yes",ROUND((-$K$8*(1+'Part VII-Pro Forma'!$B$6)^('Part VII-Pro Forma'!F846-1)),),IF('Part VII-Pro Forma'!$G$9="Yes",ROUND((-(SUM(F847:F850)*'Part VII-Pro Forma'!$K$9)),),"Choose mgt fee")))</f>
        <v>0</v>
      </c>
      <c r="G853" s="918">
        <f>IF(AND('Part VII-Pro Forma'!$G$8="Yes",'Part VII-Pro Forma'!$G$9="Yes"),"Choose One!",IF('Part VII-Pro Forma'!$G$8="Yes",ROUND((-$K$8*(1+'Part VII-Pro Forma'!$B$6)^('Part VII-Pro Forma'!G846-1)),),IF('Part VII-Pro Forma'!$G$9="Yes",ROUND((-(SUM(G847:G850)*'Part VII-Pro Forma'!$K$9)),),"Choose mgt fee")))</f>
        <v>0</v>
      </c>
      <c r="H853" s="918">
        <f>IF(AND('Part VII-Pro Forma'!$G$8="Yes",'Part VII-Pro Forma'!$G$9="Yes"),"Choose One!",IF('Part VII-Pro Forma'!$G$8="Yes",ROUND((-$K$8*(1+'Part VII-Pro Forma'!$B$6)^('Part VII-Pro Forma'!H846-1)),),IF('Part VII-Pro Forma'!$G$9="Yes",ROUND((-(SUM(H847:H850)*'Part VII-Pro Forma'!$K$9)),),"Choose mgt fee")))</f>
        <v>0</v>
      </c>
      <c r="I853" s="918">
        <f>IF(AND('Part VII-Pro Forma'!$G$8="Yes",'Part VII-Pro Forma'!$G$9="Yes"),"Choose One!",IF('Part VII-Pro Forma'!$G$8="Yes",ROUND((-$K$8*(1+'Part VII-Pro Forma'!$B$6)^('Part VII-Pro Forma'!I846-1)),),IF('Part VII-Pro Forma'!$G$9="Yes",ROUND((-(SUM(I847:I850)*'Part VII-Pro Forma'!$K$9)),),"Choose mgt fee")))</f>
        <v>0</v>
      </c>
      <c r="J853" s="918">
        <f>IF(AND('Part VII-Pro Forma'!$G$8="Yes",'Part VII-Pro Forma'!$G$9="Yes"),"Choose One!",IF('Part VII-Pro Forma'!$G$8="Yes",ROUND((-$K$8*(1+'Part VII-Pro Forma'!$B$6)^('Part VII-Pro Forma'!J846-1)),),IF('Part VII-Pro Forma'!$G$9="Yes",ROUND((-(SUM(J847:J850)*'Part VII-Pro Forma'!$K$9)),),"Choose mgt fee")))</f>
        <v>0</v>
      </c>
      <c r="K853" s="918">
        <f>IF(AND('Part VII-Pro Forma'!$G$8="Yes",'Part VII-Pro Forma'!$G$9="Yes"),"Choose One!",IF('Part VII-Pro Forma'!$G$8="Yes",ROUND((-$K$8*(1+'Part VII-Pro Forma'!$B$6)^('Part VII-Pro Forma'!K846-1)),),IF('Part VII-Pro Forma'!$G$9="Yes",ROUND((-(SUM(K847:K850)*'Part VII-Pro Forma'!$K$9)),),"Choose mgt fee")))</f>
        <v>0</v>
      </c>
    </row>
    <row r="854" spans="1:11">
      <c r="A854" s="1070" t="s">
        <v>1278</v>
      </c>
      <c r="B854" s="918">
        <f t="shared" ref="B854:K854" si="241">$B$21*(1+$B$7)^(B846-1)</f>
        <v>0</v>
      </c>
      <c r="C854" s="918">
        <f t="shared" si="241"/>
        <v>0</v>
      </c>
      <c r="D854" s="918">
        <f t="shared" si="241"/>
        <v>0</v>
      </c>
      <c r="E854" s="918">
        <f t="shared" si="241"/>
        <v>0</v>
      </c>
      <c r="F854" s="918">
        <f t="shared" si="241"/>
        <v>0</v>
      </c>
      <c r="G854" s="918">
        <f t="shared" si="241"/>
        <v>0</v>
      </c>
      <c r="H854" s="918">
        <f t="shared" si="241"/>
        <v>0</v>
      </c>
      <c r="I854" s="918">
        <f t="shared" si="241"/>
        <v>0</v>
      </c>
      <c r="J854" s="918">
        <f t="shared" si="241"/>
        <v>0</v>
      </c>
      <c r="K854" s="918">
        <f t="shared" si="241"/>
        <v>0</v>
      </c>
    </row>
    <row r="855" spans="1:11">
      <c r="A855" s="1070" t="s">
        <v>1279</v>
      </c>
      <c r="B855" s="918">
        <f t="shared" ref="B855:K855" si="242">SUM(B847:B854)</f>
        <v>0</v>
      </c>
      <c r="C855" s="918">
        <f t="shared" si="242"/>
        <v>0</v>
      </c>
      <c r="D855" s="918">
        <f t="shared" si="242"/>
        <v>0</v>
      </c>
      <c r="E855" s="918">
        <f t="shared" si="242"/>
        <v>0</v>
      </c>
      <c r="F855" s="918">
        <f t="shared" si="242"/>
        <v>0</v>
      </c>
      <c r="G855" s="918">
        <f t="shared" si="242"/>
        <v>0</v>
      </c>
      <c r="H855" s="918">
        <f t="shared" si="242"/>
        <v>0</v>
      </c>
      <c r="I855" s="918">
        <f t="shared" si="242"/>
        <v>0</v>
      </c>
      <c r="J855" s="918">
        <f t="shared" si="242"/>
        <v>0</v>
      </c>
      <c r="K855" s="918">
        <f t="shared" si="242"/>
        <v>0</v>
      </c>
    </row>
    <row r="856" spans="1:11">
      <c r="A856" s="1070" t="str">
        <f>$A827</f>
        <v>Mortgage A</v>
      </c>
      <c r="B856" s="918">
        <f>'Part VII-Pro Forma'!B52</f>
        <v>-77923</v>
      </c>
      <c r="C856" s="918">
        <f>'Part VII-Pro Forma'!C52</f>
        <v>-77923</v>
      </c>
      <c r="D856" s="918">
        <f>'Part VII-Pro Forma'!D52</f>
        <v>-77923</v>
      </c>
      <c r="E856" s="918">
        <f>'Part VII-Pro Forma'!E52</f>
        <v>-77923</v>
      </c>
      <c r="F856" s="918">
        <f>'Part VII-Pro Forma'!F52</f>
        <v>-77923</v>
      </c>
      <c r="G856" s="918">
        <f>'Part VII-Pro Forma'!G52</f>
        <v>-77923</v>
      </c>
      <c r="H856" s="918">
        <f>'Part VII-Pro Forma'!H52</f>
        <v>-77923</v>
      </c>
      <c r="I856" s="918">
        <f>'Part VII-Pro Forma'!I52</f>
        <v>-77923</v>
      </c>
      <c r="J856" s="918">
        <f>'Part VII-Pro Forma'!J52</f>
        <v>-77923</v>
      </c>
      <c r="K856" s="918">
        <f>'Part VII-Pro Forma'!K52</f>
        <v>-77923</v>
      </c>
    </row>
    <row r="857" spans="1:11">
      <c r="A857" s="1070" t="str">
        <f>$A828</f>
        <v>Mortgage B</v>
      </c>
      <c r="B857" s="918">
        <f>'Part VII-Pro Forma'!B53</f>
        <v>0</v>
      </c>
      <c r="C857" s="918">
        <f>'Part VII-Pro Forma'!C53</f>
        <v>0</v>
      </c>
      <c r="D857" s="918">
        <f>'Part VII-Pro Forma'!D53</f>
        <v>0</v>
      </c>
      <c r="E857" s="918">
        <f>'Part VII-Pro Forma'!E53</f>
        <v>0</v>
      </c>
      <c r="F857" s="918">
        <f>'Part VII-Pro Forma'!F53</f>
        <v>0</v>
      </c>
      <c r="G857" s="918">
        <f>'Part VII-Pro Forma'!G53</f>
        <v>0</v>
      </c>
      <c r="H857" s="918">
        <f>'Part VII-Pro Forma'!H53</f>
        <v>0</v>
      </c>
      <c r="I857" s="918">
        <f>'Part VII-Pro Forma'!I53</f>
        <v>0</v>
      </c>
      <c r="J857" s="918">
        <f>'Part VII-Pro Forma'!J53</f>
        <v>0</v>
      </c>
      <c r="K857" s="918">
        <f>'Part VII-Pro Forma'!K53</f>
        <v>0</v>
      </c>
    </row>
    <row r="858" spans="1:11">
      <c r="A858" s="1070" t="str">
        <f>$A829</f>
        <v>Mortgage C</v>
      </c>
      <c r="B858" s="918">
        <f>'Part VII-Pro Forma'!B54</f>
        <v>0</v>
      </c>
      <c r="C858" s="918">
        <f>'Part VII-Pro Forma'!C54</f>
        <v>0</v>
      </c>
      <c r="D858" s="918">
        <f>'Part VII-Pro Forma'!D54</f>
        <v>0</v>
      </c>
      <c r="E858" s="918">
        <f>'Part VII-Pro Forma'!E54</f>
        <v>0</v>
      </c>
      <c r="F858" s="918">
        <f>'Part VII-Pro Forma'!F54</f>
        <v>0</v>
      </c>
      <c r="G858" s="918">
        <f>'Part VII-Pro Forma'!G54</f>
        <v>0</v>
      </c>
      <c r="H858" s="918">
        <f>'Part VII-Pro Forma'!H54</f>
        <v>0</v>
      </c>
      <c r="I858" s="918">
        <f>'Part VII-Pro Forma'!I54</f>
        <v>0</v>
      </c>
      <c r="J858" s="918">
        <f>'Part VII-Pro Forma'!J54</f>
        <v>0</v>
      </c>
      <c r="K858" s="918">
        <f>'Part VII-Pro Forma'!K54</f>
        <v>0</v>
      </c>
    </row>
    <row r="859" spans="1:11">
      <c r="A859" s="1070" t="str">
        <f>$A830</f>
        <v>D/S Other Source</v>
      </c>
      <c r="B859" s="918">
        <f>'Part VII-Pro Forma'!B55</f>
        <v>0</v>
      </c>
      <c r="C859" s="918">
        <f>'Part VII-Pro Forma'!C55</f>
        <v>0</v>
      </c>
      <c r="D859" s="918">
        <f>'Part VII-Pro Forma'!D55</f>
        <v>0</v>
      </c>
      <c r="E859" s="918">
        <f>'Part VII-Pro Forma'!E55</f>
        <v>0</v>
      </c>
      <c r="F859" s="918">
        <f>'Part VII-Pro Forma'!F55</f>
        <v>0</v>
      </c>
      <c r="G859" s="918">
        <f>'Part VII-Pro Forma'!G55</f>
        <v>0</v>
      </c>
      <c r="H859" s="918">
        <f>'Part VII-Pro Forma'!H55</f>
        <v>0</v>
      </c>
      <c r="I859" s="918">
        <f>'Part VII-Pro Forma'!I55</f>
        <v>0</v>
      </c>
      <c r="J859" s="918">
        <f>'Part VII-Pro Forma'!J55</f>
        <v>0</v>
      </c>
      <c r="K859" s="918">
        <f>'Part VII-Pro Forma'!K55</f>
        <v>0</v>
      </c>
    </row>
    <row r="860" spans="1:11">
      <c r="A860" s="1070" t="s">
        <v>814</v>
      </c>
      <c r="B860" s="918">
        <f>'Part VII-Pro Forma'!B56</f>
        <v>0</v>
      </c>
      <c r="C860" s="918">
        <f>'Part VII-Pro Forma'!C56</f>
        <v>0</v>
      </c>
      <c r="D860" s="918">
        <f>'Part VII-Pro Forma'!D56</f>
        <v>0</v>
      </c>
      <c r="E860" s="918">
        <f>'Part VII-Pro Forma'!E56</f>
        <v>0</v>
      </c>
      <c r="F860" s="918">
        <f>'Part VII-Pro Forma'!F56</f>
        <v>0</v>
      </c>
      <c r="G860" s="918">
        <f>'Part VII-Pro Forma'!G56</f>
        <v>0</v>
      </c>
      <c r="H860" s="918">
        <f>'Part VII-Pro Forma'!H56</f>
        <v>0</v>
      </c>
      <c r="I860" s="918">
        <f>'Part VII-Pro Forma'!I56</f>
        <v>0</v>
      </c>
      <c r="J860" s="918">
        <f>'Part VII-Pro Forma'!J56</f>
        <v>0</v>
      </c>
      <c r="K860" s="918">
        <f>'Part VII-Pro Forma'!K56</f>
        <v>0</v>
      </c>
    </row>
    <row r="861" spans="1:11">
      <c r="A861" s="1070" t="s">
        <v>1234</v>
      </c>
      <c r="B861" s="918">
        <f>'Part VII-Pro Forma'!B57</f>
        <v>-7500</v>
      </c>
      <c r="C861" s="918">
        <f>'Part VII-Pro Forma'!C57</f>
        <v>-7500</v>
      </c>
      <c r="D861" s="918">
        <f>'Part VII-Pro Forma'!D57</f>
        <v>-7500</v>
      </c>
      <c r="E861" s="918">
        <f>'Part VII-Pro Forma'!E57</f>
        <v>-7500</v>
      </c>
      <c r="F861" s="918">
        <f>'Part VII-Pro Forma'!F57</f>
        <v>-7500</v>
      </c>
      <c r="G861" s="918">
        <f>'Part VII-Pro Forma'!G57</f>
        <v>-7500</v>
      </c>
      <c r="H861" s="918">
        <f>'Part VII-Pro Forma'!H57</f>
        <v>-7500</v>
      </c>
      <c r="I861" s="918">
        <f>'Part VII-Pro Forma'!I57</f>
        <v>-7500</v>
      </c>
      <c r="J861" s="918">
        <f>'Part VII-Pro Forma'!J57</f>
        <v>-7500</v>
      </c>
      <c r="K861" s="918">
        <f>'Part VII-Pro Forma'!K57</f>
        <v>-7500</v>
      </c>
    </row>
    <row r="862" spans="1:11">
      <c r="A862" s="1070" t="s">
        <v>1280</v>
      </c>
      <c r="B862" s="918">
        <f>'Part VII-Pro Forma'!B58</f>
        <v>0</v>
      </c>
      <c r="C862" s="918">
        <f>'Part VII-Pro Forma'!C58</f>
        <v>0</v>
      </c>
      <c r="D862" s="918">
        <f>'Part VII-Pro Forma'!D58</f>
        <v>0</v>
      </c>
      <c r="E862" s="918">
        <f>'Part VII-Pro Forma'!E58</f>
        <v>0</v>
      </c>
      <c r="F862" s="918">
        <f>'Part VII-Pro Forma'!F58</f>
        <v>0</v>
      </c>
      <c r="G862" s="918">
        <f>'Part VII-Pro Forma'!G58</f>
        <v>0</v>
      </c>
      <c r="H862" s="918">
        <f>'Part VII-Pro Forma'!H58</f>
        <v>0</v>
      </c>
      <c r="I862" s="918">
        <f>'Part VII-Pro Forma'!I58</f>
        <v>0</v>
      </c>
      <c r="J862" s="918">
        <f>'Part VII-Pro Forma'!J58</f>
        <v>0</v>
      </c>
      <c r="K862" s="918">
        <f>'Part VII-Pro Forma'!K58</f>
        <v>0</v>
      </c>
    </row>
    <row r="863" spans="1:11">
      <c r="A863" s="1070" t="s">
        <v>1235</v>
      </c>
      <c r="B863" s="918">
        <f t="shared" ref="B863:K863" si="243">SUM(B855:B862)</f>
        <v>-85423</v>
      </c>
      <c r="C863" s="918">
        <f t="shared" si="243"/>
        <v>-85423</v>
      </c>
      <c r="D863" s="918">
        <f t="shared" si="243"/>
        <v>-85423</v>
      </c>
      <c r="E863" s="918">
        <f t="shared" si="243"/>
        <v>-85423</v>
      </c>
      <c r="F863" s="918">
        <f t="shared" si="243"/>
        <v>-85423</v>
      </c>
      <c r="G863" s="918">
        <f t="shared" si="243"/>
        <v>-85423</v>
      </c>
      <c r="H863" s="918">
        <f t="shared" si="243"/>
        <v>-85423</v>
      </c>
      <c r="I863" s="918">
        <f t="shared" si="243"/>
        <v>-85423</v>
      </c>
      <c r="J863" s="918">
        <f t="shared" si="243"/>
        <v>-85423</v>
      </c>
      <c r="K863" s="918">
        <f t="shared" si="243"/>
        <v>-85423</v>
      </c>
    </row>
    <row r="864" spans="1:11">
      <c r="A864" s="1070" t="str">
        <f>$A835</f>
        <v>DCR Mortgage A</v>
      </c>
      <c r="B864" s="931">
        <f>IF(B856=0,"",-B855/B856)</f>
        <v>0</v>
      </c>
      <c r="C864" s="931">
        <f t="shared" ref="C864:K864" si="244">IF(C856=0,"",-C855/C856)</f>
        <v>0</v>
      </c>
      <c r="D864" s="931">
        <f t="shared" si="244"/>
        <v>0</v>
      </c>
      <c r="E864" s="931">
        <f t="shared" si="244"/>
        <v>0</v>
      </c>
      <c r="F864" s="931">
        <f t="shared" si="244"/>
        <v>0</v>
      </c>
      <c r="G864" s="931">
        <f t="shared" si="244"/>
        <v>0</v>
      </c>
      <c r="H864" s="931">
        <f t="shared" si="244"/>
        <v>0</v>
      </c>
      <c r="I864" s="931">
        <f t="shared" si="244"/>
        <v>0</v>
      </c>
      <c r="J864" s="931">
        <f t="shared" si="244"/>
        <v>0</v>
      </c>
      <c r="K864" s="931">
        <f t="shared" si="244"/>
        <v>0</v>
      </c>
    </row>
    <row r="865" spans="1:11">
      <c r="A865" s="1070" t="str">
        <f>$A836</f>
        <v>DCR Mortgage B</v>
      </c>
      <c r="B865" s="931" t="str">
        <f>IF(OR(B857=0,AND(B857=0,B856=0)),"",-B855/(B856+B857))</f>
        <v/>
      </c>
      <c r="C865" s="931" t="str">
        <f t="shared" ref="C865:K865" si="245">IF(OR(C857=0,AND(C857=0,C856=0)),"",-C855/(C856+C857))</f>
        <v/>
      </c>
      <c r="D865" s="931" t="str">
        <f t="shared" si="245"/>
        <v/>
      </c>
      <c r="E865" s="931" t="str">
        <f t="shared" si="245"/>
        <v/>
      </c>
      <c r="F865" s="931" t="str">
        <f t="shared" si="245"/>
        <v/>
      </c>
      <c r="G865" s="931" t="str">
        <f t="shared" si="245"/>
        <v/>
      </c>
      <c r="H865" s="931" t="str">
        <f t="shared" si="245"/>
        <v/>
      </c>
      <c r="I865" s="931" t="str">
        <f t="shared" si="245"/>
        <v/>
      </c>
      <c r="J865" s="931" t="str">
        <f t="shared" si="245"/>
        <v/>
      </c>
      <c r="K865" s="931" t="str">
        <f t="shared" si="245"/>
        <v/>
      </c>
    </row>
    <row r="866" spans="1:11">
      <c r="A866" s="1070" t="str">
        <f>$A837</f>
        <v>DCR Mortgage C</v>
      </c>
      <c r="B866" s="931" t="str">
        <f>IF(OR(B858=0,AND(B858=0,B857=0,B856=0)),"",-B855/(B856+B857+B858))</f>
        <v/>
      </c>
      <c r="C866" s="931" t="str">
        <f t="shared" ref="C866:K866" si="246">IF(OR(C858=0,AND(C858=0,C857=0,C856=0)),"",-C855/(C856+C857+C858))</f>
        <v/>
      </c>
      <c r="D866" s="931" t="str">
        <f t="shared" si="246"/>
        <v/>
      </c>
      <c r="E866" s="931" t="str">
        <f t="shared" si="246"/>
        <v/>
      </c>
      <c r="F866" s="931" t="str">
        <f t="shared" si="246"/>
        <v/>
      </c>
      <c r="G866" s="931" t="str">
        <f t="shared" si="246"/>
        <v/>
      </c>
      <c r="H866" s="931" t="str">
        <f t="shared" si="246"/>
        <v/>
      </c>
      <c r="I866" s="931" t="str">
        <f t="shared" si="246"/>
        <v/>
      </c>
      <c r="J866" s="931" t="str">
        <f t="shared" si="246"/>
        <v/>
      </c>
      <c r="K866" s="931" t="str">
        <f t="shared" si="246"/>
        <v/>
      </c>
    </row>
    <row r="867" spans="1:11">
      <c r="A867" s="1070" t="str">
        <f>$A838</f>
        <v>DCR Other Source</v>
      </c>
      <c r="B867" s="931" t="str">
        <f>IF(OR(B859=0,AND(B856=0,B857=0,B858=0,B859=0)),"",-B855/(B856+B857+B858+B859))</f>
        <v/>
      </c>
      <c r="C867" s="931" t="str">
        <f t="shared" ref="C867:K867" si="247">IF(OR(C859=0,AND(C856=0,C857=0,C858=0,C859=0)),"",-C855/(C856+C857+C858+C859))</f>
        <v/>
      </c>
      <c r="D867" s="931" t="str">
        <f t="shared" si="247"/>
        <v/>
      </c>
      <c r="E867" s="931" t="str">
        <f t="shared" si="247"/>
        <v/>
      </c>
      <c r="F867" s="931" t="str">
        <f t="shared" si="247"/>
        <v/>
      </c>
      <c r="G867" s="931" t="str">
        <f t="shared" si="247"/>
        <v/>
      </c>
      <c r="H867" s="931" t="str">
        <f t="shared" si="247"/>
        <v/>
      </c>
      <c r="I867" s="931" t="str">
        <f t="shared" si="247"/>
        <v/>
      </c>
      <c r="J867" s="931" t="str">
        <f t="shared" si="247"/>
        <v/>
      </c>
      <c r="K867" s="931" t="str">
        <f t="shared" si="247"/>
        <v/>
      </c>
    </row>
    <row r="868" spans="1:11">
      <c r="A868" s="1070" t="s">
        <v>821</v>
      </c>
      <c r="B868" s="932" t="e">
        <f>IF(OR(B853="Choose mgt fee",B853="Choose One!"),"",(B847+B848+B849+B850+B851) / -(B852+B853+B854))</f>
        <v>#DIV/0!</v>
      </c>
      <c r="C868" s="932" t="e">
        <f t="shared" ref="C868:K868" si="248">IF(OR(C853="Choose mgt fee",C853="Choose One!"),"",(C847+C848+C849+C850+C851) / -(C852+C853+C854))</f>
        <v>#DIV/0!</v>
      </c>
      <c r="D868" s="932" t="e">
        <f t="shared" si="248"/>
        <v>#DIV/0!</v>
      </c>
      <c r="E868" s="932" t="e">
        <f t="shared" si="248"/>
        <v>#DIV/0!</v>
      </c>
      <c r="F868" s="932" t="e">
        <f t="shared" si="248"/>
        <v>#DIV/0!</v>
      </c>
      <c r="G868" s="932" t="e">
        <f t="shared" si="248"/>
        <v>#DIV/0!</v>
      </c>
      <c r="H868" s="932" t="e">
        <f t="shared" si="248"/>
        <v>#DIV/0!</v>
      </c>
      <c r="I868" s="932" t="e">
        <f t="shared" si="248"/>
        <v>#DIV/0!</v>
      </c>
      <c r="J868" s="932" t="e">
        <f t="shared" si="248"/>
        <v>#DIV/0!</v>
      </c>
      <c r="K868" s="932" t="e">
        <f t="shared" si="248"/>
        <v>#DIV/0!</v>
      </c>
    </row>
    <row r="869" spans="1:11">
      <c r="A869" s="1070" t="s">
        <v>2802</v>
      </c>
      <c r="B869" s="918">
        <f>'Part VII-Pro Forma'!B65</f>
        <v>608663.87711571762</v>
      </c>
      <c r="C869" s="918">
        <f>'Part VII-Pro Forma'!C65</f>
        <v>549353.25125499582</v>
      </c>
      <c r="D869" s="918">
        <f>'Part VII-Pro Forma'!D65</f>
        <v>488116.59998688439</v>
      </c>
      <c r="E869" s="918">
        <f>'Part VII-Pro Forma'!E65</f>
        <v>424891.37846691289</v>
      </c>
      <c r="F869" s="918">
        <f>'Part VII-Pro Forma'!F65</f>
        <v>359613.01079870714</v>
      </c>
      <c r="G869" s="918">
        <f>'Part VII-Pro Forma'!G65</f>
        <v>292214.82407856407</v>
      </c>
      <c r="H869" s="918">
        <f>'Part VII-Pro Forma'!H65</f>
        <v>222627.98029822038</v>
      </c>
      <c r="I869" s="918">
        <f>'Part VII-Pro Forma'!I65</f>
        <v>150781.40603626409</v>
      </c>
      <c r="J869" s="918">
        <f>'Part VII-Pro Forma'!J65</f>
        <v>76601.719866377767</v>
      </c>
      <c r="K869" s="918">
        <f>'Part VII-Pro Forma'!K65</f>
        <v>0</v>
      </c>
    </row>
    <row r="870" spans="1:11">
      <c r="A870" s="1070" t="s">
        <v>2803</v>
      </c>
      <c r="B870" s="918" t="str">
        <f>'Part VII-Pro Forma'!B66</f>
        <v/>
      </c>
      <c r="C870" s="918" t="str">
        <f>'Part VII-Pro Forma'!C66</f>
        <v/>
      </c>
      <c r="D870" s="918" t="str">
        <f>'Part VII-Pro Forma'!D66</f>
        <v/>
      </c>
      <c r="E870" s="918" t="str">
        <f>'Part VII-Pro Forma'!E66</f>
        <v/>
      </c>
      <c r="F870" s="918" t="str">
        <f>'Part VII-Pro Forma'!F66</f>
        <v/>
      </c>
      <c r="G870" s="918" t="str">
        <f>'Part VII-Pro Forma'!G66</f>
        <v/>
      </c>
      <c r="H870" s="918" t="str">
        <f>'Part VII-Pro Forma'!H66</f>
        <v/>
      </c>
      <c r="I870" s="918" t="str">
        <f>'Part VII-Pro Forma'!I66</f>
        <v/>
      </c>
      <c r="J870" s="918" t="str">
        <f>'Part VII-Pro Forma'!J66</f>
        <v/>
      </c>
      <c r="K870" s="918" t="str">
        <f>'Part VII-Pro Forma'!K66</f>
        <v/>
      </c>
    </row>
    <row r="871" spans="1:11">
      <c r="A871" s="1070" t="s">
        <v>2804</v>
      </c>
      <c r="B871" s="918" t="str">
        <f>'Part VII-Pro Forma'!B67</f>
        <v/>
      </c>
      <c r="C871" s="918" t="str">
        <f>'Part VII-Pro Forma'!C67</f>
        <v/>
      </c>
      <c r="D871" s="918" t="str">
        <f>'Part VII-Pro Forma'!D67</f>
        <v/>
      </c>
      <c r="E871" s="918" t="str">
        <f>'Part VII-Pro Forma'!E67</f>
        <v/>
      </c>
      <c r="F871" s="918" t="str">
        <f>'Part VII-Pro Forma'!F67</f>
        <v/>
      </c>
      <c r="G871" s="918" t="str">
        <f>'Part VII-Pro Forma'!G67</f>
        <v/>
      </c>
      <c r="H871" s="918" t="str">
        <f>'Part VII-Pro Forma'!H67</f>
        <v/>
      </c>
      <c r="I871" s="918" t="str">
        <f>'Part VII-Pro Forma'!I67</f>
        <v/>
      </c>
      <c r="J871" s="918" t="str">
        <f>'Part VII-Pro Forma'!J67</f>
        <v/>
      </c>
      <c r="K871" s="918" t="str">
        <f>'Part VII-Pro Forma'!K67</f>
        <v/>
      </c>
    </row>
    <row r="872" spans="1:11">
      <c r="A872" s="1070" t="s">
        <v>837</v>
      </c>
      <c r="B872" s="918" t="str">
        <f>'Part VII-Pro Forma'!B68</f>
        <v/>
      </c>
      <c r="C872" s="918" t="str">
        <f>'Part VII-Pro Forma'!C68</f>
        <v/>
      </c>
      <c r="D872" s="918" t="str">
        <f>'Part VII-Pro Forma'!D68</f>
        <v/>
      </c>
      <c r="E872" s="918" t="str">
        <f>'Part VII-Pro Forma'!E68</f>
        <v/>
      </c>
      <c r="F872" s="918" t="str">
        <f>'Part VII-Pro Forma'!F68</f>
        <v/>
      </c>
      <c r="G872" s="918" t="str">
        <f>'Part VII-Pro Forma'!G68</f>
        <v/>
      </c>
      <c r="H872" s="918" t="str">
        <f>'Part VII-Pro Forma'!H68</f>
        <v/>
      </c>
      <c r="I872" s="918" t="str">
        <f>'Part VII-Pro Forma'!I68</f>
        <v/>
      </c>
      <c r="J872" s="918" t="str">
        <f>'Part VII-Pro Forma'!J68</f>
        <v/>
      </c>
      <c r="K872" s="918" t="str">
        <f>'Part VII-Pro Forma'!K68</f>
        <v/>
      </c>
    </row>
    <row r="873" spans="1:11">
      <c r="A873" s="1070" t="s">
        <v>1315</v>
      </c>
      <c r="B873" s="918">
        <f>'Part VII-Pro Forma'!B69</f>
        <v>0</v>
      </c>
      <c r="C873" s="918">
        <f>'Part VII-Pro Forma'!C69</f>
        <v>0</v>
      </c>
      <c r="D873" s="918">
        <f>'Part VII-Pro Forma'!D69</f>
        <v>0</v>
      </c>
      <c r="E873" s="918">
        <f>'Part VII-Pro Forma'!E69</f>
        <v>0</v>
      </c>
      <c r="F873" s="918">
        <f>'Part VII-Pro Forma'!F69</f>
        <v>0</v>
      </c>
      <c r="G873" s="918">
        <f>'Part VII-Pro Forma'!G69</f>
        <v>0</v>
      </c>
      <c r="H873" s="918">
        <f>'Part VII-Pro Forma'!H69</f>
        <v>0</v>
      </c>
      <c r="I873" s="918">
        <f>'Part VII-Pro Forma'!I69</f>
        <v>0</v>
      </c>
      <c r="J873" s="918">
        <f>'Part VII-Pro Forma'!J69</f>
        <v>0</v>
      </c>
      <c r="K873" s="918">
        <f>'Part VII-Pro Forma'!K69</f>
        <v>0</v>
      </c>
    </row>
    <row r="874" spans="1:11">
      <c r="B874" s="918"/>
      <c r="C874" s="918"/>
      <c r="D874" s="918"/>
      <c r="E874" s="918"/>
      <c r="F874" s="918"/>
      <c r="G874" s="918"/>
      <c r="H874" s="918"/>
      <c r="I874" s="918"/>
      <c r="J874" s="918"/>
      <c r="K874" s="918"/>
    </row>
    <row r="875" spans="1:11">
      <c r="A875" s="833" t="s">
        <v>2650</v>
      </c>
      <c r="B875" s="933">
        <f>K846+1</f>
        <v>21</v>
      </c>
      <c r="C875" s="933">
        <f t="shared" ref="C875:K875" si="249">B875+1</f>
        <v>22</v>
      </c>
      <c r="D875" s="933">
        <f t="shared" si="249"/>
        <v>23</v>
      </c>
      <c r="E875" s="933">
        <f t="shared" si="249"/>
        <v>24</v>
      </c>
      <c r="F875" s="933">
        <f t="shared" si="249"/>
        <v>25</v>
      </c>
      <c r="G875" s="933">
        <f t="shared" si="249"/>
        <v>26</v>
      </c>
      <c r="H875" s="933">
        <f t="shared" si="249"/>
        <v>27</v>
      </c>
      <c r="I875" s="933">
        <f t="shared" si="249"/>
        <v>28</v>
      </c>
      <c r="J875" s="933">
        <f t="shared" si="249"/>
        <v>29</v>
      </c>
      <c r="K875" s="933">
        <f t="shared" si="249"/>
        <v>30</v>
      </c>
    </row>
    <row r="876" spans="1:11">
      <c r="A876" s="1070" t="s">
        <v>2567</v>
      </c>
      <c r="B876" s="918">
        <f t="shared" ref="B876:K876" si="250">$B$14*(1+$B$5)^(B875-1)</f>
        <v>0</v>
      </c>
      <c r="C876" s="918">
        <f t="shared" si="250"/>
        <v>0</v>
      </c>
      <c r="D876" s="918">
        <f t="shared" si="250"/>
        <v>0</v>
      </c>
      <c r="E876" s="918">
        <f t="shared" si="250"/>
        <v>0</v>
      </c>
      <c r="F876" s="918">
        <f t="shared" si="250"/>
        <v>0</v>
      </c>
      <c r="G876" s="918">
        <f t="shared" si="250"/>
        <v>0</v>
      </c>
      <c r="H876" s="918">
        <f t="shared" si="250"/>
        <v>0</v>
      </c>
      <c r="I876" s="918">
        <f t="shared" si="250"/>
        <v>0</v>
      </c>
      <c r="J876" s="918">
        <f t="shared" si="250"/>
        <v>0</v>
      </c>
      <c r="K876" s="918">
        <f t="shared" si="250"/>
        <v>0</v>
      </c>
    </row>
    <row r="877" spans="1:11">
      <c r="A877" s="1070" t="s">
        <v>1078</v>
      </c>
      <c r="B877" s="918">
        <f t="shared" ref="B877:K877" si="251">$B$15*(1+$B$5)^(B875-1)</f>
        <v>0</v>
      </c>
      <c r="C877" s="918">
        <f t="shared" si="251"/>
        <v>0</v>
      </c>
      <c r="D877" s="918">
        <f t="shared" si="251"/>
        <v>0</v>
      </c>
      <c r="E877" s="918">
        <f t="shared" si="251"/>
        <v>0</v>
      </c>
      <c r="F877" s="918">
        <f t="shared" si="251"/>
        <v>0</v>
      </c>
      <c r="G877" s="918">
        <f t="shared" si="251"/>
        <v>0</v>
      </c>
      <c r="H877" s="918">
        <f t="shared" si="251"/>
        <v>0</v>
      </c>
      <c r="I877" s="918">
        <f t="shared" si="251"/>
        <v>0</v>
      </c>
      <c r="J877" s="918">
        <f t="shared" si="251"/>
        <v>0</v>
      </c>
      <c r="K877" s="918">
        <f t="shared" si="251"/>
        <v>0</v>
      </c>
    </row>
    <row r="878" spans="1:11">
      <c r="A878" s="1070" t="s">
        <v>2568</v>
      </c>
      <c r="B878" s="918">
        <f t="shared" ref="B878:K878" si="252">-(B876+B877)*$B$8</f>
        <v>0</v>
      </c>
      <c r="C878" s="918">
        <f t="shared" si="252"/>
        <v>0</v>
      </c>
      <c r="D878" s="918">
        <f t="shared" si="252"/>
        <v>0</v>
      </c>
      <c r="E878" s="918">
        <f t="shared" si="252"/>
        <v>0</v>
      </c>
      <c r="F878" s="918">
        <f t="shared" si="252"/>
        <v>0</v>
      </c>
      <c r="G878" s="918">
        <f t="shared" si="252"/>
        <v>0</v>
      </c>
      <c r="H878" s="918">
        <f t="shared" si="252"/>
        <v>0</v>
      </c>
      <c r="I878" s="918">
        <f t="shared" si="252"/>
        <v>0</v>
      </c>
      <c r="J878" s="918">
        <f t="shared" si="252"/>
        <v>0</v>
      </c>
      <c r="K878" s="918">
        <f t="shared" si="252"/>
        <v>0</v>
      </c>
    </row>
    <row r="879" spans="1:11">
      <c r="A879" s="1070" t="s">
        <v>55</v>
      </c>
      <c r="B879" s="918">
        <f>'Part VI-Revenues &amp; Expenses'!G935</f>
        <v>0</v>
      </c>
      <c r="C879" s="918">
        <f>'Part VI-Revenues &amp; Expenses'!H935</f>
        <v>0</v>
      </c>
      <c r="D879" s="918">
        <f>'Part VI-Revenues &amp; Expenses'!I935</f>
        <v>0</v>
      </c>
      <c r="E879" s="918">
        <f>'Part VI-Revenues &amp; Expenses'!J935</f>
        <v>0</v>
      </c>
      <c r="F879" s="918">
        <f>'Part VI-Revenues &amp; Expenses'!K935</f>
        <v>0</v>
      </c>
      <c r="G879" s="918">
        <f>'Part VI-Revenues &amp; Expenses'!L935</f>
        <v>0</v>
      </c>
      <c r="H879" s="918">
        <f>'Part VI-Revenues &amp; Expenses'!M935</f>
        <v>0</v>
      </c>
      <c r="I879" s="918">
        <f>'Part VI-Revenues &amp; Expenses'!N935</f>
        <v>0</v>
      </c>
      <c r="J879" s="918">
        <f>'Part VI-Revenues &amp; Expenses'!O935</f>
        <v>0</v>
      </c>
      <c r="K879" s="918">
        <f>'Part VI-Revenues &amp; Expenses'!P935</f>
        <v>0</v>
      </c>
    </row>
    <row r="880" spans="1:11">
      <c r="A880" s="1070" t="s">
        <v>56</v>
      </c>
      <c r="B880" s="918">
        <f>'Part VI-Revenues &amp; Expenses'!G940</f>
        <v>0</v>
      </c>
      <c r="C880" s="918">
        <f>'Part VI-Revenues &amp; Expenses'!H940</f>
        <v>0</v>
      </c>
      <c r="D880" s="918">
        <f>'Part VI-Revenues &amp; Expenses'!I940</f>
        <v>0</v>
      </c>
      <c r="E880" s="918">
        <f>'Part VI-Revenues &amp; Expenses'!J940</f>
        <v>0</v>
      </c>
      <c r="F880" s="918">
        <f>'Part VI-Revenues &amp; Expenses'!K940</f>
        <v>0</v>
      </c>
      <c r="G880" s="918">
        <f>'Part VI-Revenues &amp; Expenses'!L940</f>
        <v>0</v>
      </c>
      <c r="H880" s="918">
        <f>'Part VI-Revenues &amp; Expenses'!M940</f>
        <v>0</v>
      </c>
      <c r="I880" s="918">
        <f>'Part VI-Revenues &amp; Expenses'!N940</f>
        <v>0</v>
      </c>
      <c r="J880" s="918">
        <f>'Part VI-Revenues &amp; Expenses'!O940</f>
        <v>0</v>
      </c>
      <c r="K880" s="918">
        <f>'Part VI-Revenues &amp; Expenses'!P940</f>
        <v>0</v>
      </c>
    </row>
    <row r="881" spans="1:11">
      <c r="A881" s="1070" t="s">
        <v>655</v>
      </c>
      <c r="B881" s="918">
        <f t="shared" ref="B881:K881" si="253">$B$19*(1+$B$6)^(B875-1)</f>
        <v>0</v>
      </c>
      <c r="C881" s="918">
        <f t="shared" si="253"/>
        <v>0</v>
      </c>
      <c r="D881" s="918">
        <f t="shared" si="253"/>
        <v>0</v>
      </c>
      <c r="E881" s="918">
        <f t="shared" si="253"/>
        <v>0</v>
      </c>
      <c r="F881" s="918">
        <f t="shared" si="253"/>
        <v>0</v>
      </c>
      <c r="G881" s="918">
        <f t="shared" si="253"/>
        <v>0</v>
      </c>
      <c r="H881" s="918">
        <f t="shared" si="253"/>
        <v>0</v>
      </c>
      <c r="I881" s="918">
        <f t="shared" si="253"/>
        <v>0</v>
      </c>
      <c r="J881" s="918">
        <f t="shared" si="253"/>
        <v>0</v>
      </c>
      <c r="K881" s="918">
        <f t="shared" si="253"/>
        <v>0</v>
      </c>
    </row>
    <row r="882" spans="1:11">
      <c r="A882" s="1070" t="s">
        <v>1180</v>
      </c>
      <c r="B882" s="918">
        <f>IF(AND('Part VII-Pro Forma'!$G$8="Yes",'Part VII-Pro Forma'!$G$9="Yes"),"Choose One!",IF('Part VII-Pro Forma'!$G$8="Yes",ROUND((-$K$8*(1+'Part VII-Pro Forma'!$B$6)^('Part VII-Pro Forma'!B875-1)),),IF('Part VII-Pro Forma'!$G$9="Yes",ROUND((-(SUM(B876:B879)*'Part VII-Pro Forma'!$K$9)),),"Choose mgt fee")))</f>
        <v>0</v>
      </c>
      <c r="C882" s="918">
        <f>IF(AND('Part VII-Pro Forma'!$G$8="Yes",'Part VII-Pro Forma'!$G$9="Yes"),"Choose One!",IF('Part VII-Pro Forma'!$G$8="Yes",ROUND((-$K$8*(1+'Part VII-Pro Forma'!$B$6)^('Part VII-Pro Forma'!C875-1)),),IF('Part VII-Pro Forma'!$G$9="Yes",ROUND((-(SUM(C876:C879)*'Part VII-Pro Forma'!$K$9)),),"Choose mgt fee")))</f>
        <v>0</v>
      </c>
      <c r="D882" s="918">
        <f>IF(AND('Part VII-Pro Forma'!$G$8="Yes",'Part VII-Pro Forma'!$G$9="Yes"),"Choose One!",IF('Part VII-Pro Forma'!$G$8="Yes",ROUND((-$K$8*(1+'Part VII-Pro Forma'!$B$6)^('Part VII-Pro Forma'!D875-1)),),IF('Part VII-Pro Forma'!$G$9="Yes",ROUND((-(SUM(D876:D879)*'Part VII-Pro Forma'!$K$9)),),"Choose mgt fee")))</f>
        <v>0</v>
      </c>
      <c r="E882" s="918">
        <f>IF(AND('Part VII-Pro Forma'!$G$8="Yes",'Part VII-Pro Forma'!$G$9="Yes"),"Choose One!",IF('Part VII-Pro Forma'!$G$8="Yes",ROUND((-$K$8*(1+'Part VII-Pro Forma'!$B$6)^('Part VII-Pro Forma'!E875-1)),),IF('Part VII-Pro Forma'!$G$9="Yes",ROUND((-(SUM(E876:E879)*'Part VII-Pro Forma'!$K$9)),),"Choose mgt fee")))</f>
        <v>0</v>
      </c>
      <c r="F882" s="918">
        <f>IF(AND('Part VII-Pro Forma'!$G$8="Yes",'Part VII-Pro Forma'!$G$9="Yes"),"Choose One!",IF('Part VII-Pro Forma'!$G$8="Yes",ROUND((-$K$8*(1+'Part VII-Pro Forma'!$B$6)^('Part VII-Pro Forma'!F875-1)),),IF('Part VII-Pro Forma'!$G$9="Yes",ROUND((-(SUM(F876:F879)*'Part VII-Pro Forma'!$K$9)),),"Choose mgt fee")))</f>
        <v>0</v>
      </c>
      <c r="G882" s="918">
        <f>IF(AND('Part VII-Pro Forma'!$G$8="Yes",'Part VII-Pro Forma'!$G$9="Yes"),"Choose One!",IF('Part VII-Pro Forma'!$G$8="Yes",ROUND((-$K$8*(1+'Part VII-Pro Forma'!$B$6)^('Part VII-Pro Forma'!G875-1)),),IF('Part VII-Pro Forma'!$G$9="Yes",ROUND((-(SUM(G876:G879)*'Part VII-Pro Forma'!$K$9)),),"Choose mgt fee")))</f>
        <v>0</v>
      </c>
      <c r="H882" s="918">
        <f>IF(AND('Part VII-Pro Forma'!$G$8="Yes",'Part VII-Pro Forma'!$G$9="Yes"),"Choose One!",IF('Part VII-Pro Forma'!$G$8="Yes",ROUND((-$K$8*(1+'Part VII-Pro Forma'!$B$6)^('Part VII-Pro Forma'!H875-1)),),IF('Part VII-Pro Forma'!$G$9="Yes",ROUND((-(SUM(H876:H879)*'Part VII-Pro Forma'!$K$9)),),"Choose mgt fee")))</f>
        <v>0</v>
      </c>
      <c r="I882" s="918">
        <f>IF(AND('Part VII-Pro Forma'!$G$8="Yes",'Part VII-Pro Forma'!$G$9="Yes"),"Choose One!",IF('Part VII-Pro Forma'!$G$8="Yes",ROUND((-$K$8*(1+'Part VII-Pro Forma'!$B$6)^('Part VII-Pro Forma'!I875-1)),),IF('Part VII-Pro Forma'!$G$9="Yes",ROUND((-(SUM(I876:I879)*'Part VII-Pro Forma'!$K$9)),),"Choose mgt fee")))</f>
        <v>0</v>
      </c>
      <c r="J882" s="918">
        <f>IF(AND('Part VII-Pro Forma'!$G$8="Yes",'Part VII-Pro Forma'!$G$9="Yes"),"Choose One!",IF('Part VII-Pro Forma'!$G$8="Yes",ROUND((-$K$8*(1+'Part VII-Pro Forma'!$B$6)^('Part VII-Pro Forma'!J875-1)),),IF('Part VII-Pro Forma'!$G$9="Yes",ROUND((-(SUM(J876:J879)*'Part VII-Pro Forma'!$K$9)),),"Choose mgt fee")))</f>
        <v>0</v>
      </c>
      <c r="K882" s="918">
        <f>IF(AND('Part VII-Pro Forma'!$G$8="Yes",'Part VII-Pro Forma'!$G$9="Yes"),"Choose One!",IF('Part VII-Pro Forma'!$G$8="Yes",ROUND((-$K$8*(1+'Part VII-Pro Forma'!$B$6)^('Part VII-Pro Forma'!K875-1)),),IF('Part VII-Pro Forma'!$G$9="Yes",ROUND((-(SUM(K876:K879)*'Part VII-Pro Forma'!$K$9)),),"Choose mgt fee")))</f>
        <v>0</v>
      </c>
    </row>
    <row r="883" spans="1:11">
      <c r="A883" s="1070" t="s">
        <v>1278</v>
      </c>
      <c r="B883" s="918">
        <f t="shared" ref="B883:K883" si="254">$B$21*(1+$B$7)^(B875-1)</f>
        <v>0</v>
      </c>
      <c r="C883" s="918">
        <f t="shared" si="254"/>
        <v>0</v>
      </c>
      <c r="D883" s="918">
        <f t="shared" si="254"/>
        <v>0</v>
      </c>
      <c r="E883" s="918">
        <f t="shared" si="254"/>
        <v>0</v>
      </c>
      <c r="F883" s="918">
        <f t="shared" si="254"/>
        <v>0</v>
      </c>
      <c r="G883" s="918">
        <f t="shared" si="254"/>
        <v>0</v>
      </c>
      <c r="H883" s="918">
        <f t="shared" si="254"/>
        <v>0</v>
      </c>
      <c r="I883" s="918">
        <f t="shared" si="254"/>
        <v>0</v>
      </c>
      <c r="J883" s="918">
        <f t="shared" si="254"/>
        <v>0</v>
      </c>
      <c r="K883" s="918">
        <f t="shared" si="254"/>
        <v>0</v>
      </c>
    </row>
    <row r="884" spans="1:11">
      <c r="A884" s="1070" t="s">
        <v>1279</v>
      </c>
      <c r="B884" s="918">
        <f t="shared" ref="B884:K884" si="255">SUM(B876:B883)</f>
        <v>0</v>
      </c>
      <c r="C884" s="918">
        <f t="shared" si="255"/>
        <v>0</v>
      </c>
      <c r="D884" s="918">
        <f t="shared" si="255"/>
        <v>0</v>
      </c>
      <c r="E884" s="918">
        <f t="shared" si="255"/>
        <v>0</v>
      </c>
      <c r="F884" s="918">
        <f t="shared" si="255"/>
        <v>0</v>
      </c>
      <c r="G884" s="918">
        <f t="shared" si="255"/>
        <v>0</v>
      </c>
      <c r="H884" s="918">
        <f t="shared" si="255"/>
        <v>0</v>
      </c>
      <c r="I884" s="918">
        <f t="shared" si="255"/>
        <v>0</v>
      </c>
      <c r="J884" s="918">
        <f t="shared" si="255"/>
        <v>0</v>
      </c>
      <c r="K884" s="918">
        <f t="shared" si="255"/>
        <v>0</v>
      </c>
    </row>
    <row r="885" spans="1:11">
      <c r="A885" s="1070" t="str">
        <f>$A856</f>
        <v>Mortgage A</v>
      </c>
      <c r="B885" s="918">
        <f>'Part VII-Pro Forma'!B81</f>
        <v>-77923</v>
      </c>
      <c r="C885" s="918">
        <f>'Part VII-Pro Forma'!C81</f>
        <v>-77923</v>
      </c>
      <c r="D885" s="918">
        <f>'Part VII-Pro Forma'!D81</f>
        <v>-77923</v>
      </c>
      <c r="E885" s="918">
        <f>'Part VII-Pro Forma'!E81</f>
        <v>-77923</v>
      </c>
      <c r="F885" s="918">
        <f>'Part VII-Pro Forma'!F81</f>
        <v>-77923</v>
      </c>
      <c r="G885" s="918">
        <f>'Part VII-Pro Forma'!G81</f>
        <v>-77923</v>
      </c>
      <c r="H885" s="918">
        <f>'Part VII-Pro Forma'!H81</f>
        <v>-77923</v>
      </c>
      <c r="I885" s="918">
        <f>'Part VII-Pro Forma'!I81</f>
        <v>-77923</v>
      </c>
      <c r="J885" s="918">
        <f>'Part VII-Pro Forma'!J81</f>
        <v>-77923</v>
      </c>
      <c r="K885" s="918">
        <f>'Part VII-Pro Forma'!K81</f>
        <v>-77923</v>
      </c>
    </row>
    <row r="886" spans="1:11">
      <c r="A886" s="1070" t="str">
        <f>$A857</f>
        <v>Mortgage B</v>
      </c>
      <c r="B886" s="918">
        <f>'Part VII-Pro Forma'!B82</f>
        <v>0</v>
      </c>
      <c r="C886" s="918">
        <f>'Part VII-Pro Forma'!C82</f>
        <v>0</v>
      </c>
      <c r="D886" s="918">
        <f>'Part VII-Pro Forma'!D82</f>
        <v>0</v>
      </c>
      <c r="E886" s="918">
        <f>'Part VII-Pro Forma'!E82</f>
        <v>0</v>
      </c>
      <c r="F886" s="918">
        <f>'Part VII-Pro Forma'!F82</f>
        <v>0</v>
      </c>
      <c r="G886" s="918">
        <f>'Part VII-Pro Forma'!G82</f>
        <v>0</v>
      </c>
      <c r="H886" s="918">
        <f>'Part VII-Pro Forma'!H82</f>
        <v>0</v>
      </c>
      <c r="I886" s="918">
        <f>'Part VII-Pro Forma'!I82</f>
        <v>0</v>
      </c>
      <c r="J886" s="918">
        <f>'Part VII-Pro Forma'!J82</f>
        <v>0</v>
      </c>
      <c r="K886" s="918">
        <f>'Part VII-Pro Forma'!K82</f>
        <v>0</v>
      </c>
    </row>
    <row r="887" spans="1:11">
      <c r="A887" s="1070" t="str">
        <f>$A858</f>
        <v>Mortgage C</v>
      </c>
      <c r="B887" s="918">
        <f>'Part VII-Pro Forma'!B83</f>
        <v>0</v>
      </c>
      <c r="C887" s="918">
        <f>'Part VII-Pro Forma'!C83</f>
        <v>0</v>
      </c>
      <c r="D887" s="918">
        <f>'Part VII-Pro Forma'!D83</f>
        <v>0</v>
      </c>
      <c r="E887" s="918">
        <f>'Part VII-Pro Forma'!E83</f>
        <v>0</v>
      </c>
      <c r="F887" s="918">
        <f>'Part VII-Pro Forma'!F83</f>
        <v>0</v>
      </c>
      <c r="G887" s="918">
        <f>'Part VII-Pro Forma'!G83</f>
        <v>0</v>
      </c>
      <c r="H887" s="918">
        <f>'Part VII-Pro Forma'!H83</f>
        <v>0</v>
      </c>
      <c r="I887" s="918">
        <f>'Part VII-Pro Forma'!I83</f>
        <v>0</v>
      </c>
      <c r="J887" s="918">
        <f>'Part VII-Pro Forma'!J83</f>
        <v>0</v>
      </c>
      <c r="K887" s="918">
        <f>'Part VII-Pro Forma'!K83</f>
        <v>0</v>
      </c>
    </row>
    <row r="888" spans="1:11">
      <c r="A888" s="1070" t="str">
        <f>$A859</f>
        <v>D/S Other Source</v>
      </c>
      <c r="B888" s="918">
        <f>'Part VII-Pro Forma'!B84</f>
        <v>0</v>
      </c>
      <c r="C888" s="918">
        <f>'Part VII-Pro Forma'!C84</f>
        <v>0</v>
      </c>
      <c r="D888" s="918">
        <f>'Part VII-Pro Forma'!D84</f>
        <v>0</v>
      </c>
      <c r="E888" s="918">
        <f>'Part VII-Pro Forma'!E84</f>
        <v>0</v>
      </c>
      <c r="F888" s="918">
        <f>'Part VII-Pro Forma'!F84</f>
        <v>0</v>
      </c>
      <c r="G888" s="918">
        <f>'Part VII-Pro Forma'!G84</f>
        <v>0</v>
      </c>
      <c r="H888" s="918">
        <f>'Part VII-Pro Forma'!H84</f>
        <v>0</v>
      </c>
      <c r="I888" s="918">
        <f>'Part VII-Pro Forma'!I84</f>
        <v>0</v>
      </c>
      <c r="J888" s="918">
        <f>'Part VII-Pro Forma'!J84</f>
        <v>0</v>
      </c>
      <c r="K888" s="918">
        <f>'Part VII-Pro Forma'!K84</f>
        <v>0</v>
      </c>
    </row>
    <row r="889" spans="1:11">
      <c r="A889" s="1070" t="s">
        <v>814</v>
      </c>
      <c r="B889" s="918">
        <f>'Part VII-Pro Forma'!B85</f>
        <v>0</v>
      </c>
      <c r="C889" s="918">
        <f>'Part VII-Pro Forma'!C85</f>
        <v>0</v>
      </c>
      <c r="D889" s="918">
        <f>'Part VII-Pro Forma'!D85</f>
        <v>0</v>
      </c>
      <c r="E889" s="918">
        <f>'Part VII-Pro Forma'!E85</f>
        <v>0</v>
      </c>
      <c r="F889" s="918">
        <f>'Part VII-Pro Forma'!F85</f>
        <v>0</v>
      </c>
      <c r="G889" s="918">
        <f>'Part VII-Pro Forma'!G85</f>
        <v>0</v>
      </c>
      <c r="H889" s="918">
        <f>'Part VII-Pro Forma'!H85</f>
        <v>0</v>
      </c>
      <c r="I889" s="918">
        <f>'Part VII-Pro Forma'!I85</f>
        <v>0</v>
      </c>
      <c r="J889" s="918">
        <f>'Part VII-Pro Forma'!J85</f>
        <v>0</v>
      </c>
      <c r="K889" s="918">
        <f>'Part VII-Pro Forma'!K85</f>
        <v>0</v>
      </c>
    </row>
    <row r="890" spans="1:11">
      <c r="A890" s="1070" t="s">
        <v>1234</v>
      </c>
      <c r="B890" s="918">
        <f>'Part VII-Pro Forma'!B86</f>
        <v>-7500</v>
      </c>
      <c r="C890" s="918">
        <f>'Part VII-Pro Forma'!C86</f>
        <v>-7500</v>
      </c>
      <c r="D890" s="918">
        <f>'Part VII-Pro Forma'!D86</f>
        <v>-7500</v>
      </c>
      <c r="E890" s="918">
        <f>'Part VII-Pro Forma'!E86</f>
        <v>-7500</v>
      </c>
      <c r="F890" s="918">
        <f>'Part VII-Pro Forma'!F86</f>
        <v>-7500</v>
      </c>
      <c r="G890" s="918">
        <f>'Part VII-Pro Forma'!G86</f>
        <v>-7500</v>
      </c>
      <c r="H890" s="918">
        <f>'Part VII-Pro Forma'!H86</f>
        <v>-7500</v>
      </c>
      <c r="I890" s="918">
        <f>'Part VII-Pro Forma'!I86</f>
        <v>-7500</v>
      </c>
      <c r="J890" s="918">
        <f>'Part VII-Pro Forma'!J86</f>
        <v>-7500</v>
      </c>
      <c r="K890" s="918">
        <f>'Part VII-Pro Forma'!K86</f>
        <v>-7500</v>
      </c>
    </row>
    <row r="891" spans="1:11">
      <c r="A891" s="1070" t="s">
        <v>1280</v>
      </c>
      <c r="B891" s="918">
        <f>'Part VII-Pro Forma'!B87</f>
        <v>0</v>
      </c>
      <c r="C891" s="918">
        <f>'Part VII-Pro Forma'!C87</f>
        <v>0</v>
      </c>
      <c r="D891" s="918">
        <f>'Part VII-Pro Forma'!D87</f>
        <v>0</v>
      </c>
      <c r="E891" s="918">
        <f>'Part VII-Pro Forma'!E87</f>
        <v>0</v>
      </c>
      <c r="F891" s="918">
        <f>'Part VII-Pro Forma'!F87</f>
        <v>0</v>
      </c>
      <c r="G891" s="918">
        <f>'Part VII-Pro Forma'!G87</f>
        <v>0</v>
      </c>
      <c r="H891" s="918">
        <f>'Part VII-Pro Forma'!H87</f>
        <v>0</v>
      </c>
      <c r="I891" s="918">
        <f>'Part VII-Pro Forma'!I87</f>
        <v>0</v>
      </c>
      <c r="J891" s="918">
        <f>'Part VII-Pro Forma'!J87</f>
        <v>0</v>
      </c>
      <c r="K891" s="918">
        <f>'Part VII-Pro Forma'!K87</f>
        <v>0</v>
      </c>
    </row>
    <row r="892" spans="1:11">
      <c r="A892" s="1070" t="s">
        <v>1235</v>
      </c>
      <c r="B892" s="918">
        <f t="shared" ref="B892:K892" si="256">SUM(B884:B891)</f>
        <v>-85423</v>
      </c>
      <c r="C892" s="918">
        <f t="shared" si="256"/>
        <v>-85423</v>
      </c>
      <c r="D892" s="918">
        <f t="shared" si="256"/>
        <v>-85423</v>
      </c>
      <c r="E892" s="918">
        <f t="shared" si="256"/>
        <v>-85423</v>
      </c>
      <c r="F892" s="918">
        <f t="shared" si="256"/>
        <v>-85423</v>
      </c>
      <c r="G892" s="918">
        <f t="shared" si="256"/>
        <v>-85423</v>
      </c>
      <c r="H892" s="918">
        <f t="shared" si="256"/>
        <v>-85423</v>
      </c>
      <c r="I892" s="918">
        <f t="shared" si="256"/>
        <v>-85423</v>
      </c>
      <c r="J892" s="918">
        <f t="shared" si="256"/>
        <v>-85423</v>
      </c>
      <c r="K892" s="918">
        <f t="shared" si="256"/>
        <v>-85423</v>
      </c>
    </row>
    <row r="893" spans="1:11">
      <c r="A893" s="1070" t="str">
        <f>$A864</f>
        <v>DCR Mortgage A</v>
      </c>
      <c r="B893" s="931">
        <f>IF(B885=0,"",-B884/B885)</f>
        <v>0</v>
      </c>
      <c r="C893" s="931">
        <f t="shared" ref="C893:K893" si="257">IF(C885=0,"",-C884/C885)</f>
        <v>0</v>
      </c>
      <c r="D893" s="931">
        <f t="shared" si="257"/>
        <v>0</v>
      </c>
      <c r="E893" s="931">
        <f t="shared" si="257"/>
        <v>0</v>
      </c>
      <c r="F893" s="931">
        <f t="shared" si="257"/>
        <v>0</v>
      </c>
      <c r="G893" s="931">
        <f t="shared" si="257"/>
        <v>0</v>
      </c>
      <c r="H893" s="931">
        <f t="shared" si="257"/>
        <v>0</v>
      </c>
      <c r="I893" s="931">
        <f t="shared" si="257"/>
        <v>0</v>
      </c>
      <c r="J893" s="931">
        <f t="shared" si="257"/>
        <v>0</v>
      </c>
      <c r="K893" s="931">
        <f t="shared" si="257"/>
        <v>0</v>
      </c>
    </row>
    <row r="894" spans="1:11">
      <c r="A894" s="1070" t="str">
        <f>$A865</f>
        <v>DCR Mortgage B</v>
      </c>
      <c r="B894" s="931" t="str">
        <f>IF(OR(B886=0,AND(B886=0,B885=0)),"",-B884/(B885+B886))</f>
        <v/>
      </c>
      <c r="C894" s="931" t="str">
        <f t="shared" ref="C894:K894" si="258">IF(OR(C886=0,AND(C886=0,C885=0)),"",-C884/(C885+C886))</f>
        <v/>
      </c>
      <c r="D894" s="931" t="str">
        <f t="shared" si="258"/>
        <v/>
      </c>
      <c r="E894" s="931" t="str">
        <f t="shared" si="258"/>
        <v/>
      </c>
      <c r="F894" s="931" t="str">
        <f t="shared" si="258"/>
        <v/>
      </c>
      <c r="G894" s="931" t="str">
        <f t="shared" si="258"/>
        <v/>
      </c>
      <c r="H894" s="931" t="str">
        <f t="shared" si="258"/>
        <v/>
      </c>
      <c r="I894" s="931" t="str">
        <f t="shared" si="258"/>
        <v/>
      </c>
      <c r="J894" s="931" t="str">
        <f t="shared" si="258"/>
        <v/>
      </c>
      <c r="K894" s="931" t="str">
        <f t="shared" si="258"/>
        <v/>
      </c>
    </row>
    <row r="895" spans="1:11">
      <c r="A895" s="1070" t="str">
        <f>$A866</f>
        <v>DCR Mortgage C</v>
      </c>
      <c r="B895" s="931" t="str">
        <f>IF(OR(B887=0,AND(B887=0,B886=0,B885=0)),"",-B884/(B885+B886+B887))</f>
        <v/>
      </c>
      <c r="C895" s="931" t="str">
        <f t="shared" ref="C895:K895" si="259">IF(OR(C887=0,AND(C887=0,C886=0,C885=0)),"",-C884/(C885+C886+C887))</f>
        <v/>
      </c>
      <c r="D895" s="931" t="str">
        <f t="shared" si="259"/>
        <v/>
      </c>
      <c r="E895" s="931" t="str">
        <f t="shared" si="259"/>
        <v/>
      </c>
      <c r="F895" s="931" t="str">
        <f t="shared" si="259"/>
        <v/>
      </c>
      <c r="G895" s="931" t="str">
        <f t="shared" si="259"/>
        <v/>
      </c>
      <c r="H895" s="931" t="str">
        <f t="shared" si="259"/>
        <v/>
      </c>
      <c r="I895" s="931" t="str">
        <f t="shared" si="259"/>
        <v/>
      </c>
      <c r="J895" s="931" t="str">
        <f t="shared" si="259"/>
        <v/>
      </c>
      <c r="K895" s="931" t="str">
        <f t="shared" si="259"/>
        <v/>
      </c>
    </row>
    <row r="896" spans="1:11">
      <c r="A896" s="1070" t="str">
        <f>$A867</f>
        <v>DCR Other Source</v>
      </c>
      <c r="B896" s="931" t="str">
        <f>IF(OR(B888=0,AND(B885=0,B886=0,B887=0,B888=0)),"",-B884/(B885+B886+B887+B888))</f>
        <v/>
      </c>
      <c r="C896" s="931" t="str">
        <f t="shared" ref="C896:K896" si="260">IF(OR(C888=0,AND(C885=0,C886=0,C887=0,C888=0)),"",-C884/(C885+C886+C887+C888))</f>
        <v/>
      </c>
      <c r="D896" s="931" t="str">
        <f t="shared" si="260"/>
        <v/>
      </c>
      <c r="E896" s="931" t="str">
        <f t="shared" si="260"/>
        <v/>
      </c>
      <c r="F896" s="931" t="str">
        <f t="shared" si="260"/>
        <v/>
      </c>
      <c r="G896" s="931" t="str">
        <f t="shared" si="260"/>
        <v/>
      </c>
      <c r="H896" s="931" t="str">
        <f t="shared" si="260"/>
        <v/>
      </c>
      <c r="I896" s="931" t="str">
        <f t="shared" si="260"/>
        <v/>
      </c>
      <c r="J896" s="931" t="str">
        <f t="shared" si="260"/>
        <v/>
      </c>
      <c r="K896" s="931" t="str">
        <f t="shared" si="260"/>
        <v/>
      </c>
    </row>
    <row r="897" spans="1:17">
      <c r="A897" s="1070" t="s">
        <v>821</v>
      </c>
      <c r="B897" s="932" t="e">
        <f>IF(OR(B882="Choose mgt fee",B882="Choose One!"),"",(B876+B877+B878+B879+B880) / -(B881+B882+B883))</f>
        <v>#DIV/0!</v>
      </c>
      <c r="C897" s="932" t="e">
        <f t="shared" ref="C897:K897" si="261">IF(OR(C882="Choose mgt fee",C882="Choose One!"),"",(C876+C877+C878+C879+C880) / -(C881+C882+C883))</f>
        <v>#DIV/0!</v>
      </c>
      <c r="D897" s="932" t="e">
        <f t="shared" si="261"/>
        <v>#DIV/0!</v>
      </c>
      <c r="E897" s="932" t="e">
        <f t="shared" si="261"/>
        <v>#DIV/0!</v>
      </c>
      <c r="F897" s="932" t="e">
        <f t="shared" si="261"/>
        <v>#DIV/0!</v>
      </c>
      <c r="G897" s="932" t="e">
        <f t="shared" si="261"/>
        <v>#DIV/0!</v>
      </c>
      <c r="H897" s="932" t="e">
        <f t="shared" si="261"/>
        <v>#DIV/0!</v>
      </c>
      <c r="I897" s="932" t="e">
        <f t="shared" si="261"/>
        <v>#DIV/0!</v>
      </c>
      <c r="J897" s="932" t="e">
        <f t="shared" si="261"/>
        <v>#DIV/0!</v>
      </c>
      <c r="K897" s="932" t="e">
        <f t="shared" si="261"/>
        <v>#DIV/0!</v>
      </c>
    </row>
    <row r="898" spans="1:17">
      <c r="A898" s="1070" t="s">
        <v>2802</v>
      </c>
      <c r="B898" s="918">
        <f>'Part VII-Pro Forma'!B94</f>
        <v>0</v>
      </c>
      <c r="C898" s="918">
        <f>'Part VII-Pro Forma'!C94</f>
        <v>0</v>
      </c>
      <c r="D898" s="918">
        <f>'Part VII-Pro Forma'!D94</f>
        <v>0</v>
      </c>
      <c r="E898" s="918">
        <f>'Part VII-Pro Forma'!E94</f>
        <v>0</v>
      </c>
      <c r="F898" s="918">
        <f>'Part VII-Pro Forma'!F94</f>
        <v>0</v>
      </c>
      <c r="G898" s="918">
        <f>'Part VII-Pro Forma'!G94</f>
        <v>0</v>
      </c>
      <c r="H898" s="918">
        <f>'Part VII-Pro Forma'!H94</f>
        <v>0</v>
      </c>
      <c r="I898" s="918">
        <f>'Part VII-Pro Forma'!I94</f>
        <v>0</v>
      </c>
      <c r="J898" s="918">
        <f>'Part VII-Pro Forma'!J94</f>
        <v>0</v>
      </c>
      <c r="K898" s="918">
        <f>'Part VII-Pro Forma'!K94</f>
        <v>0</v>
      </c>
    </row>
    <row r="899" spans="1:17">
      <c r="A899" s="1070" t="s">
        <v>2803</v>
      </c>
      <c r="B899" s="918" t="str">
        <f>'Part VII-Pro Forma'!B95</f>
        <v/>
      </c>
      <c r="C899" s="918" t="str">
        <f>'Part VII-Pro Forma'!C95</f>
        <v/>
      </c>
      <c r="D899" s="918" t="str">
        <f>'Part VII-Pro Forma'!D95</f>
        <v/>
      </c>
      <c r="E899" s="918" t="str">
        <f>'Part VII-Pro Forma'!E95</f>
        <v/>
      </c>
      <c r="F899" s="918" t="str">
        <f>'Part VII-Pro Forma'!F95</f>
        <v/>
      </c>
      <c r="G899" s="918" t="str">
        <f>'Part VII-Pro Forma'!G95</f>
        <v/>
      </c>
      <c r="H899" s="918" t="str">
        <f>'Part VII-Pro Forma'!H95</f>
        <v/>
      </c>
      <c r="I899" s="918" t="str">
        <f>'Part VII-Pro Forma'!I95</f>
        <v/>
      </c>
      <c r="J899" s="918" t="str">
        <f>'Part VII-Pro Forma'!J95</f>
        <v/>
      </c>
      <c r="K899" s="918" t="str">
        <f>'Part VII-Pro Forma'!K95</f>
        <v/>
      </c>
    </row>
    <row r="900" spans="1:17">
      <c r="A900" s="1070" t="s">
        <v>2804</v>
      </c>
      <c r="B900" s="918" t="str">
        <f>'Part VII-Pro Forma'!B96</f>
        <v/>
      </c>
      <c r="C900" s="918" t="str">
        <f>'Part VII-Pro Forma'!C96</f>
        <v/>
      </c>
      <c r="D900" s="918" t="str">
        <f>'Part VII-Pro Forma'!D96</f>
        <v/>
      </c>
      <c r="E900" s="918" t="str">
        <f>'Part VII-Pro Forma'!E96</f>
        <v/>
      </c>
      <c r="F900" s="918" t="str">
        <f>'Part VII-Pro Forma'!F96</f>
        <v/>
      </c>
      <c r="G900" s="918" t="str">
        <f>'Part VII-Pro Forma'!G96</f>
        <v/>
      </c>
      <c r="H900" s="918" t="str">
        <f>'Part VII-Pro Forma'!H96</f>
        <v/>
      </c>
      <c r="I900" s="918" t="str">
        <f>'Part VII-Pro Forma'!I96</f>
        <v/>
      </c>
      <c r="J900" s="918" t="str">
        <f>'Part VII-Pro Forma'!J96</f>
        <v/>
      </c>
      <c r="K900" s="918" t="str">
        <f>'Part VII-Pro Forma'!K96</f>
        <v/>
      </c>
    </row>
    <row r="901" spans="1:17">
      <c r="A901" s="1070" t="s">
        <v>837</v>
      </c>
      <c r="B901" s="918" t="str">
        <f>'Part VII-Pro Forma'!B97</f>
        <v/>
      </c>
      <c r="C901" s="918" t="str">
        <f>'Part VII-Pro Forma'!C97</f>
        <v/>
      </c>
      <c r="D901" s="918" t="str">
        <f>'Part VII-Pro Forma'!D97</f>
        <v/>
      </c>
      <c r="E901" s="918" t="str">
        <f>'Part VII-Pro Forma'!E97</f>
        <v/>
      </c>
      <c r="F901" s="918" t="str">
        <f>'Part VII-Pro Forma'!F97</f>
        <v/>
      </c>
      <c r="G901" s="918" t="str">
        <f>'Part VII-Pro Forma'!G97</f>
        <v/>
      </c>
      <c r="H901" s="918" t="str">
        <f>'Part VII-Pro Forma'!H97</f>
        <v/>
      </c>
      <c r="I901" s="918" t="str">
        <f>'Part VII-Pro Forma'!I97</f>
        <v/>
      </c>
      <c r="J901" s="918" t="str">
        <f>'Part VII-Pro Forma'!J97</f>
        <v/>
      </c>
      <c r="K901" s="918" t="str">
        <f>'Part VII-Pro Forma'!K97</f>
        <v/>
      </c>
    </row>
    <row r="902" spans="1:17">
      <c r="A902" s="1070" t="s">
        <v>1315</v>
      </c>
      <c r="B902" s="918">
        <f>'Part VII-Pro Forma'!B98</f>
        <v>0</v>
      </c>
      <c r="C902" s="918">
        <f>'Part VII-Pro Forma'!C98</f>
        <v>0</v>
      </c>
      <c r="D902" s="918">
        <f>'Part VII-Pro Forma'!D98</f>
        <v>0</v>
      </c>
      <c r="E902" s="918">
        <f>'Part VII-Pro Forma'!E98</f>
        <v>0</v>
      </c>
      <c r="F902" s="918">
        <f>'Part VII-Pro Forma'!F98</f>
        <v>0</v>
      </c>
      <c r="G902" s="918">
        <f>'Part VII-Pro Forma'!G98</f>
        <v>0</v>
      </c>
      <c r="H902" s="918">
        <f>'Part VII-Pro Forma'!H98</f>
        <v>0</v>
      </c>
      <c r="I902" s="918">
        <f>'Part VII-Pro Forma'!I98</f>
        <v>0</v>
      </c>
      <c r="J902" s="918">
        <f>'Part VII-Pro Forma'!J98</f>
        <v>0</v>
      </c>
      <c r="K902" s="918">
        <f>'Part VII-Pro Forma'!K98</f>
        <v>0</v>
      </c>
    </row>
    <row r="903" spans="1:17">
      <c r="B903" s="918"/>
      <c r="C903" s="918"/>
      <c r="D903" s="918"/>
      <c r="E903" s="918"/>
      <c r="F903" s="918"/>
      <c r="G903" s="918"/>
      <c r="H903" s="918"/>
      <c r="I903" s="918"/>
      <c r="J903" s="918"/>
      <c r="K903" s="918"/>
    </row>
    <row r="905" spans="1:17">
      <c r="A905" s="833" t="s">
        <v>607</v>
      </c>
      <c r="B905" s="833"/>
      <c r="G905" s="833" t="s">
        <v>1093</v>
      </c>
    </row>
    <row r="906" spans="1:17">
      <c r="B906" s="926"/>
    </row>
    <row r="907" spans="1:17" ht="13.5">
      <c r="A907" s="1616">
        <f>'Part VII-Pro Forma'!A103</f>
        <v>0</v>
      </c>
      <c r="B907" s="1616"/>
      <c r="C907" s="1616"/>
      <c r="D907" s="1616"/>
      <c r="E907" s="1616"/>
      <c r="F907" s="1616"/>
      <c r="G907" s="1616">
        <f>'Part VII-Pro Forma'!G103</f>
        <v>0</v>
      </c>
      <c r="H907" s="1616"/>
      <c r="I907" s="1616"/>
      <c r="J907" s="1616"/>
      <c r="K907" s="1616"/>
    </row>
    <row r="910" spans="1:17">
      <c r="A910" s="1598" t="str">
        <f>CONCATENATE("PART EIGHT - THRESHOLD CRITERIA","  -  ",'Part I-Project Information'!$O$4," ",'Part I-Project Information'!$F$23,", ",'Part I-Project Information'!F936,", ",'Part I-Project Information'!J937," County")</f>
        <v>PART EIGHT - THRESHOLD CRITERIA  -  2014-055 Trinity Walk Phase I, ,  County</v>
      </c>
      <c r="B910" s="1598"/>
      <c r="C910" s="1598"/>
      <c r="D910" s="1598"/>
      <c r="E910" s="1598"/>
      <c r="F910" s="1598"/>
      <c r="G910" s="1598"/>
      <c r="H910" s="1598"/>
      <c r="I910" s="1598"/>
      <c r="J910" s="1598"/>
      <c r="K910" s="1598"/>
      <c r="L910" s="1598"/>
      <c r="M910" s="1598"/>
      <c r="N910" s="1598"/>
      <c r="O910" s="1598"/>
      <c r="P910" s="1598"/>
      <c r="Q910" s="1598"/>
    </row>
    <row r="912" spans="1:17" ht="20.25">
      <c r="A912" s="1599" t="str">
        <f>'Part VIII-Threshold Criteria'!A3</f>
        <v>Preliminary Rating: Incomplete</v>
      </c>
      <c r="B912" s="1599"/>
      <c r="C912" s="1599"/>
      <c r="D912" s="1599"/>
      <c r="E912" s="1599"/>
      <c r="F912" s="1599"/>
      <c r="G912" s="1599"/>
      <c r="H912" s="1599" t="str">
        <f>'Part VIII-Threshold Criteria'!H3</f>
        <v/>
      </c>
      <c r="I912" s="1599"/>
      <c r="J912" s="1599"/>
      <c r="K912" s="1599"/>
      <c r="L912" s="1599"/>
      <c r="M912" s="1599"/>
      <c r="N912" s="1599"/>
      <c r="O912" s="1600" t="s">
        <v>991</v>
      </c>
      <c r="P912" s="1600"/>
      <c r="Q912" s="1124" t="s">
        <v>1971</v>
      </c>
    </row>
    <row r="913" spans="1:17">
      <c r="A913" s="1068"/>
      <c r="B913" s="1601"/>
      <c r="C913" s="1601"/>
      <c r="D913" s="1601"/>
      <c r="E913" s="1068"/>
      <c r="F913" s="1068"/>
      <c r="G913" s="1068"/>
      <c r="H913" s="1068"/>
      <c r="I913" s="1068"/>
      <c r="J913" s="1068"/>
      <c r="K913" s="1068"/>
      <c r="L913" s="1068"/>
      <c r="M913" s="1068"/>
      <c r="N913" s="1068"/>
      <c r="P913" s="1068"/>
      <c r="Q913" s="1068"/>
    </row>
    <row r="914" spans="1:17">
      <c r="A914" s="1068"/>
      <c r="B914" s="1068"/>
      <c r="C914" s="1068"/>
      <c r="D914" s="1068"/>
      <c r="E914" s="1068"/>
      <c r="F914" s="1068"/>
      <c r="G914" s="1068"/>
      <c r="H914" s="1068"/>
      <c r="I914" s="1068"/>
      <c r="J914" s="1068"/>
      <c r="K914" s="1068"/>
      <c r="L914" s="1068"/>
      <c r="M914" s="1068"/>
      <c r="N914" s="1068"/>
      <c r="P914" s="1068"/>
      <c r="Q914" s="1068"/>
    </row>
    <row r="915" spans="1:17" ht="18">
      <c r="A915" s="934" t="s">
        <v>600</v>
      </c>
      <c r="J915" s="1068"/>
      <c r="K915" s="1068"/>
      <c r="L915" s="1068"/>
      <c r="M915" s="1068"/>
      <c r="N915" s="1068"/>
      <c r="P915" s="1602">
        <f>'Part VIII-Threshold Criteria'!P6</f>
        <v>0</v>
      </c>
      <c r="Q915" s="1602"/>
    </row>
    <row r="916" spans="1:17">
      <c r="A916" s="935" t="s">
        <v>290</v>
      </c>
      <c r="J916" s="1068"/>
      <c r="K916" s="1068"/>
      <c r="L916" s="1068"/>
      <c r="M916" s="1068"/>
      <c r="N916" s="1068"/>
    </row>
    <row r="917" spans="1:17">
      <c r="A917" s="1581" t="str">
        <f>'Part VIII-Threshold Criteria'!A8</f>
        <v xml:space="preserve">1.) </v>
      </c>
      <c r="B917" s="1581"/>
      <c r="C917" s="1581"/>
      <c r="D917" s="1581"/>
      <c r="E917" s="1581"/>
      <c r="F917" s="1581"/>
      <c r="G917" s="1581"/>
      <c r="H917" s="1581"/>
      <c r="I917" s="1581"/>
      <c r="J917" s="1581"/>
      <c r="K917" s="1581"/>
      <c r="L917" s="1581"/>
      <c r="M917" s="1581"/>
      <c r="N917" s="1581"/>
      <c r="O917" s="1581"/>
      <c r="P917" s="1581"/>
      <c r="Q917" s="1581"/>
    </row>
    <row r="918" spans="1:17">
      <c r="A918" s="1581" t="str">
        <f>'Part VIII-Threshold Criteria'!A9</f>
        <v>2.)</v>
      </c>
      <c r="B918" s="1581"/>
      <c r="C918" s="1581"/>
      <c r="D918" s="1581"/>
      <c r="E918" s="1581"/>
      <c r="F918" s="1581"/>
      <c r="G918" s="1581"/>
      <c r="H918" s="1581"/>
      <c r="I918" s="1581"/>
      <c r="J918" s="1581"/>
      <c r="K918" s="1581"/>
      <c r="L918" s="1581"/>
      <c r="M918" s="1581"/>
      <c r="N918" s="1581"/>
      <c r="O918" s="1581"/>
      <c r="P918" s="1581"/>
      <c r="Q918" s="1581"/>
    </row>
    <row r="919" spans="1:17">
      <c r="A919" s="1581" t="str">
        <f>'Part VIII-Threshold Criteria'!A10</f>
        <v>3.)</v>
      </c>
      <c r="B919" s="1581"/>
      <c r="C919" s="1581"/>
      <c r="D919" s="1581"/>
      <c r="E919" s="1581"/>
      <c r="F919" s="1581"/>
      <c r="G919" s="1581"/>
      <c r="H919" s="1581"/>
      <c r="I919" s="1581"/>
      <c r="J919" s="1581"/>
      <c r="K919" s="1581"/>
      <c r="L919" s="1581"/>
      <c r="M919" s="1581"/>
      <c r="N919" s="1581"/>
      <c r="O919" s="1581"/>
      <c r="P919" s="1581"/>
      <c r="Q919" s="1581"/>
    </row>
    <row r="920" spans="1:17">
      <c r="A920" s="1581" t="str">
        <f>'Part VIII-Threshold Criteria'!A11</f>
        <v>4.)</v>
      </c>
      <c r="B920" s="1581"/>
      <c r="C920" s="1581"/>
      <c r="D920" s="1581"/>
      <c r="E920" s="1581"/>
      <c r="F920" s="1581"/>
      <c r="G920" s="1581"/>
      <c r="H920" s="1581"/>
      <c r="I920" s="1581"/>
      <c r="J920" s="1581"/>
      <c r="K920" s="1581"/>
      <c r="L920" s="1581"/>
      <c r="M920" s="1581"/>
      <c r="N920" s="1581"/>
      <c r="O920" s="1581"/>
      <c r="P920" s="1581"/>
      <c r="Q920" s="1581"/>
    </row>
    <row r="921" spans="1:17">
      <c r="A921" s="1581" t="str">
        <f>'Part VIII-Threshold Criteria'!A12</f>
        <v>5.)</v>
      </c>
      <c r="B921" s="1581"/>
      <c r="C921" s="1581"/>
      <c r="D921" s="1581"/>
      <c r="E921" s="1581"/>
      <c r="F921" s="1581"/>
      <c r="G921" s="1581"/>
      <c r="H921" s="1581"/>
      <c r="I921" s="1581"/>
      <c r="J921" s="1581"/>
      <c r="K921" s="1581"/>
      <c r="L921" s="1581"/>
      <c r="M921" s="1581"/>
      <c r="N921" s="1581"/>
      <c r="O921" s="1581"/>
      <c r="P921" s="1581"/>
      <c r="Q921" s="1581"/>
    </row>
    <row r="922" spans="1:17">
      <c r="A922" s="1581" t="str">
        <f>'Part VIII-Threshold Criteria'!A13</f>
        <v>6.)</v>
      </c>
      <c r="B922" s="1581"/>
      <c r="C922" s="1581"/>
      <c r="D922" s="1581"/>
      <c r="E922" s="1581"/>
      <c r="F922" s="1581"/>
      <c r="G922" s="1581"/>
      <c r="H922" s="1581"/>
      <c r="I922" s="1581"/>
      <c r="J922" s="1581"/>
      <c r="K922" s="1581"/>
      <c r="L922" s="1581"/>
      <c r="M922" s="1581"/>
      <c r="N922" s="1581"/>
      <c r="O922" s="1581"/>
      <c r="P922" s="1581"/>
      <c r="Q922" s="1581"/>
    </row>
    <row r="923" spans="1:17">
      <c r="A923" s="1581" t="str">
        <f>'Part VIII-Threshold Criteria'!A14</f>
        <v>7.)</v>
      </c>
      <c r="B923" s="1581"/>
      <c r="C923" s="1581"/>
      <c r="D923" s="1581"/>
      <c r="E923" s="1581"/>
      <c r="F923" s="1581"/>
      <c r="G923" s="1581"/>
      <c r="H923" s="1581"/>
      <c r="I923" s="1581"/>
      <c r="J923" s="1581"/>
      <c r="K923" s="1581"/>
      <c r="L923" s="1581"/>
      <c r="M923" s="1581"/>
      <c r="N923" s="1581"/>
      <c r="O923" s="1581"/>
      <c r="P923" s="1581"/>
      <c r="Q923" s="1581"/>
    </row>
    <row r="924" spans="1:17">
      <c r="A924" s="1581" t="str">
        <f>'Part VIII-Threshold Criteria'!A15</f>
        <v xml:space="preserve">8.) </v>
      </c>
      <c r="B924" s="1581"/>
      <c r="C924" s="1581"/>
      <c r="D924" s="1581"/>
      <c r="E924" s="1581"/>
      <c r="F924" s="1581"/>
      <c r="G924" s="1581"/>
      <c r="H924" s="1581"/>
      <c r="I924" s="1581"/>
      <c r="J924" s="1581"/>
      <c r="K924" s="1581"/>
      <c r="L924" s="1581"/>
      <c r="M924" s="1581"/>
      <c r="N924" s="1581"/>
      <c r="O924" s="1581"/>
      <c r="P924" s="1581"/>
      <c r="Q924" s="1581"/>
    </row>
    <row r="925" spans="1:17">
      <c r="A925" s="1581" t="str">
        <f>'Part VIII-Threshold Criteria'!A16</f>
        <v>9.)</v>
      </c>
      <c r="B925" s="1581"/>
      <c r="C925" s="1581"/>
      <c r="D925" s="1581"/>
      <c r="E925" s="1581"/>
      <c r="F925" s="1581"/>
      <c r="G925" s="1581"/>
      <c r="H925" s="1581"/>
      <c r="I925" s="1581"/>
      <c r="J925" s="1581"/>
      <c r="K925" s="1581"/>
      <c r="L925" s="1581"/>
      <c r="M925" s="1581"/>
      <c r="N925" s="1581"/>
      <c r="O925" s="1581"/>
      <c r="P925" s="1581"/>
      <c r="Q925" s="1581"/>
    </row>
    <row r="926" spans="1:17">
      <c r="A926" s="1581" t="str">
        <f>'Part VIII-Threshold Criteria'!A17</f>
        <v>10.)</v>
      </c>
      <c r="B926" s="1581"/>
      <c r="C926" s="1581"/>
      <c r="D926" s="1581"/>
      <c r="E926" s="1581"/>
      <c r="F926" s="1581"/>
      <c r="G926" s="1581"/>
      <c r="H926" s="1581"/>
      <c r="I926" s="1581"/>
      <c r="J926" s="1581"/>
      <c r="K926" s="1581"/>
      <c r="L926" s="1581"/>
      <c r="M926" s="1581"/>
      <c r="N926" s="1581"/>
      <c r="O926" s="1581"/>
      <c r="P926" s="1581"/>
      <c r="Q926" s="1581"/>
    </row>
    <row r="927" spans="1:17">
      <c r="A927" s="1581" t="str">
        <f>'Part VIII-Threshold Criteria'!A18</f>
        <v>11.)</v>
      </c>
      <c r="B927" s="1581"/>
      <c r="C927" s="1581"/>
      <c r="D927" s="1581"/>
      <c r="E927" s="1581"/>
      <c r="F927" s="1581"/>
      <c r="G927" s="1581"/>
      <c r="H927" s="1581"/>
      <c r="I927" s="1581"/>
      <c r="J927" s="1581"/>
      <c r="K927" s="1581"/>
      <c r="L927" s="1581"/>
      <c r="M927" s="1581"/>
      <c r="N927" s="1581"/>
      <c r="O927" s="1581"/>
      <c r="P927" s="1581"/>
      <c r="Q927" s="1581"/>
    </row>
    <row r="928" spans="1:17">
      <c r="A928" s="1581" t="str">
        <f>'Part VIII-Threshold Criteria'!A19</f>
        <v>12.)</v>
      </c>
      <c r="B928" s="1581"/>
      <c r="C928" s="1581"/>
      <c r="D928" s="1581"/>
      <c r="E928" s="1581"/>
      <c r="F928" s="1581"/>
      <c r="G928" s="1581"/>
      <c r="H928" s="1581"/>
      <c r="I928" s="1581"/>
      <c r="J928" s="1581"/>
      <c r="K928" s="1581"/>
      <c r="L928" s="1581"/>
      <c r="M928" s="1581"/>
      <c r="N928" s="1581"/>
      <c r="O928" s="1581"/>
      <c r="P928" s="1581"/>
      <c r="Q928" s="1581"/>
    </row>
    <row r="929" spans="1:17">
      <c r="A929" s="1581" t="str">
        <f>'Part VIII-Threshold Criteria'!A20</f>
        <v>13.)</v>
      </c>
      <c r="B929" s="1581"/>
      <c r="C929" s="1581"/>
      <c r="D929" s="1581"/>
      <c r="E929" s="1581"/>
      <c r="F929" s="1581"/>
      <c r="G929" s="1581"/>
      <c r="H929" s="1581"/>
      <c r="I929" s="1581"/>
      <c r="J929" s="1581"/>
      <c r="K929" s="1581"/>
      <c r="L929" s="1581"/>
      <c r="M929" s="1581"/>
      <c r="N929" s="1581"/>
      <c r="O929" s="1581"/>
      <c r="P929" s="1581"/>
      <c r="Q929" s="1581"/>
    </row>
    <row r="930" spans="1:17">
      <c r="A930" s="1581" t="str">
        <f>'Part VIII-Threshold Criteria'!A21</f>
        <v>14.)</v>
      </c>
      <c r="B930" s="1581"/>
      <c r="C930" s="1581"/>
      <c r="D930" s="1581"/>
      <c r="E930" s="1581"/>
      <c r="F930" s="1581"/>
      <c r="G930" s="1581"/>
      <c r="H930" s="1581"/>
      <c r="I930" s="1581"/>
      <c r="J930" s="1581"/>
      <c r="K930" s="1581"/>
      <c r="L930" s="1581"/>
      <c r="M930" s="1581"/>
      <c r="N930" s="1581"/>
      <c r="O930" s="1581"/>
      <c r="P930" s="1581"/>
      <c r="Q930" s="1581"/>
    </row>
    <row r="931" spans="1:17">
      <c r="A931" s="1581" t="str">
        <f>'Part VIII-Threshold Criteria'!A22</f>
        <v xml:space="preserve">15.) </v>
      </c>
      <c r="B931" s="1581"/>
      <c r="C931" s="1581"/>
      <c r="D931" s="1581"/>
      <c r="E931" s="1581"/>
      <c r="F931" s="1581"/>
      <c r="G931" s="1581"/>
      <c r="H931" s="1581"/>
      <c r="I931" s="1581"/>
      <c r="J931" s="1581"/>
      <c r="K931" s="1581"/>
      <c r="L931" s="1581"/>
      <c r="M931" s="1581"/>
      <c r="N931" s="1581"/>
      <c r="O931" s="1581"/>
      <c r="P931" s="1581"/>
      <c r="Q931" s="1581"/>
    </row>
    <row r="932" spans="1:17">
      <c r="A932" s="1581" t="str">
        <f>'Part VIII-Threshold Criteria'!A23</f>
        <v>16.)</v>
      </c>
      <c r="B932" s="1581"/>
      <c r="C932" s="1581"/>
      <c r="D932" s="1581"/>
      <c r="E932" s="1581"/>
      <c r="F932" s="1581"/>
      <c r="G932" s="1581"/>
      <c r="H932" s="1581"/>
      <c r="I932" s="1581"/>
      <c r="J932" s="1581"/>
      <c r="K932" s="1581"/>
      <c r="L932" s="1581"/>
      <c r="M932" s="1581"/>
      <c r="N932" s="1581"/>
      <c r="O932" s="1581"/>
      <c r="P932" s="1581"/>
      <c r="Q932" s="1581"/>
    </row>
    <row r="933" spans="1:17">
      <c r="A933" s="1581" t="str">
        <f>'Part VIII-Threshold Criteria'!A24</f>
        <v>17.)</v>
      </c>
      <c r="B933" s="1581"/>
      <c r="C933" s="1581"/>
      <c r="D933" s="1581"/>
      <c r="E933" s="1581"/>
      <c r="F933" s="1581"/>
      <c r="G933" s="1581"/>
      <c r="H933" s="1581"/>
      <c r="I933" s="1581"/>
      <c r="J933" s="1581"/>
      <c r="K933" s="1581"/>
      <c r="L933" s="1581"/>
      <c r="M933" s="1581"/>
      <c r="N933" s="1581"/>
      <c r="O933" s="1581"/>
      <c r="P933" s="1581"/>
      <c r="Q933" s="1581"/>
    </row>
    <row r="934" spans="1:17">
      <c r="A934" s="1581" t="str">
        <f>'Part VIII-Threshold Criteria'!A25</f>
        <v>18.)</v>
      </c>
      <c r="B934" s="1581"/>
      <c r="C934" s="1581"/>
      <c r="D934" s="1581"/>
      <c r="E934" s="1581"/>
      <c r="F934" s="1581"/>
      <c r="G934" s="1581"/>
      <c r="H934" s="1581"/>
      <c r="I934" s="1581"/>
      <c r="J934" s="1581"/>
      <c r="K934" s="1581"/>
      <c r="L934" s="1581"/>
      <c r="M934" s="1581"/>
      <c r="N934" s="1581"/>
      <c r="O934" s="1581"/>
      <c r="P934" s="1581"/>
      <c r="Q934" s="1581"/>
    </row>
    <row r="935" spans="1:17">
      <c r="A935" s="1581" t="str">
        <f>'Part VIII-Threshold Criteria'!A26</f>
        <v>19.)</v>
      </c>
      <c r="B935" s="1581"/>
      <c r="C935" s="1581"/>
      <c r="D935" s="1581"/>
      <c r="E935" s="1581"/>
      <c r="F935" s="1581"/>
      <c r="G935" s="1581"/>
      <c r="H935" s="1581"/>
      <c r="I935" s="1581"/>
      <c r="J935" s="1581"/>
      <c r="K935" s="1581"/>
      <c r="L935" s="1581"/>
      <c r="M935" s="1581"/>
      <c r="N935" s="1581"/>
      <c r="O935" s="1581"/>
      <c r="P935" s="1581"/>
      <c r="Q935" s="1581"/>
    </row>
    <row r="936" spans="1:17">
      <c r="A936" s="1581" t="str">
        <f>'Part VIII-Threshold Criteria'!A27</f>
        <v>20.)</v>
      </c>
      <c r="B936" s="1581"/>
      <c r="C936" s="1581"/>
      <c r="D936" s="1581"/>
      <c r="E936" s="1581"/>
      <c r="F936" s="1581"/>
      <c r="G936" s="1581"/>
      <c r="H936" s="1581"/>
      <c r="I936" s="1581"/>
      <c r="J936" s="1581"/>
      <c r="K936" s="1581"/>
      <c r="L936" s="1581"/>
      <c r="M936" s="1581"/>
      <c r="N936" s="1581"/>
      <c r="O936" s="1581"/>
      <c r="P936" s="1581"/>
      <c r="Q936" s="1581"/>
    </row>
    <row r="938" spans="1:17">
      <c r="A938" s="936">
        <v>1</v>
      </c>
      <c r="B938" s="937" t="s">
        <v>2850</v>
      </c>
      <c r="C938" s="938"/>
      <c r="D938" s="939"/>
      <c r="E938" s="939"/>
      <c r="F938" s="939"/>
      <c r="G938" s="939"/>
      <c r="I938" s="1057"/>
      <c r="J938" s="1057"/>
      <c r="K938" s="1057"/>
      <c r="L938" s="1068"/>
      <c r="M938" s="1068"/>
      <c r="O938" s="940" t="s">
        <v>1998</v>
      </c>
      <c r="P938" s="1582">
        <f>'Part VIII-Threshold Criteria'!P29</f>
        <v>0</v>
      </c>
      <c r="Q938" s="1582"/>
    </row>
    <row r="940" spans="1:17">
      <c r="B940" s="941" t="s">
        <v>2119</v>
      </c>
      <c r="C940" s="582" t="s">
        <v>3520</v>
      </c>
      <c r="E940" s="1081"/>
      <c r="F940" s="1081"/>
      <c r="G940" s="1081"/>
      <c r="H940" s="1081"/>
      <c r="I940" s="581"/>
      <c r="J940" s="581"/>
      <c r="K940" s="581"/>
      <c r="L940" s="581"/>
      <c r="M940" s="581"/>
      <c r="O940" s="942" t="s">
        <v>635</v>
      </c>
      <c r="P940" s="1122" t="str">
        <f>'Part VIII-Threshold Criteria'!P31</f>
        <v>No</v>
      </c>
      <c r="Q940" s="1122">
        <f>'Part VIII-Threshold Criteria'!Q31</f>
        <v>0</v>
      </c>
    </row>
    <row r="941" spans="1:17">
      <c r="B941" s="943" t="s">
        <v>2122</v>
      </c>
      <c r="C941" s="582" t="s">
        <v>766</v>
      </c>
      <c r="E941" s="1081"/>
      <c r="F941" s="1081"/>
      <c r="G941" s="1081"/>
      <c r="H941" s="1081"/>
      <c r="J941" s="1582" t="str">
        <f>'Part VIII-Threshold Criteria'!J32</f>
        <v>&lt;&lt; Select &gt;&gt;</v>
      </c>
      <c r="K941" s="1582"/>
      <c r="L941" s="1582"/>
      <c r="M941" s="1582"/>
      <c r="N941" s="1582"/>
      <c r="O941" s="942"/>
      <c r="P941" s="942"/>
      <c r="Q941" s="942"/>
    </row>
    <row r="942" spans="1:17">
      <c r="B942" s="944" t="s">
        <v>1996</v>
      </c>
      <c r="C942" s="944"/>
      <c r="D942" s="944"/>
      <c r="E942" s="944"/>
      <c r="F942" s="944"/>
      <c r="G942" s="1057"/>
      <c r="H942" s="1057"/>
      <c r="I942" s="1057"/>
      <c r="J942" s="1057"/>
      <c r="K942" s="1068"/>
      <c r="L942" s="1068"/>
      <c r="M942" s="1068"/>
      <c r="N942" s="1068"/>
      <c r="O942" s="1068"/>
      <c r="P942" s="1068"/>
    </row>
    <row r="943" spans="1:17">
      <c r="A943" s="1574">
        <f>'Part VIII-Threshold Criteria'!A34</f>
        <v>0</v>
      </c>
      <c r="B943" s="1574"/>
      <c r="C943" s="1574"/>
      <c r="D943" s="1574"/>
      <c r="E943" s="1574"/>
      <c r="F943" s="1574"/>
      <c r="G943" s="1574"/>
      <c r="H943" s="1574"/>
      <c r="I943" s="1574"/>
      <c r="J943" s="1574"/>
      <c r="K943" s="1574"/>
      <c r="L943" s="1574"/>
      <c r="M943" s="1574"/>
      <c r="N943" s="1574"/>
      <c r="O943" s="1574"/>
      <c r="P943" s="1574"/>
      <c r="Q943" s="1574"/>
    </row>
    <row r="944" spans="1:17">
      <c r="B944" s="945" t="s">
        <v>1997</v>
      </c>
      <c r="C944" s="946"/>
      <c r="D944" s="1063"/>
      <c r="E944" s="1063"/>
      <c r="F944" s="1063"/>
      <c r="G944" s="1063"/>
      <c r="H944" s="1063"/>
      <c r="I944" s="1063"/>
      <c r="J944" s="1063"/>
      <c r="K944" s="1063"/>
      <c r="L944" s="1063"/>
      <c r="M944" s="1063"/>
      <c r="N944" s="1063"/>
      <c r="O944" s="1063"/>
      <c r="P944" s="1063"/>
    </row>
    <row r="945" spans="1:17">
      <c r="A945" s="1581">
        <f>'Part VIII-Threshold Criteria'!A36</f>
        <v>0</v>
      </c>
      <c r="B945" s="1581"/>
      <c r="C945" s="1581"/>
      <c r="D945" s="1581"/>
      <c r="E945" s="1581"/>
      <c r="F945" s="1581"/>
      <c r="G945" s="1581"/>
      <c r="H945" s="1581"/>
      <c r="I945" s="1581"/>
      <c r="J945" s="1581"/>
      <c r="K945" s="1581"/>
      <c r="L945" s="1581"/>
      <c r="M945" s="1581"/>
      <c r="N945" s="1581"/>
      <c r="O945" s="1581"/>
      <c r="P945" s="1581"/>
      <c r="Q945" s="1581"/>
    </row>
    <row r="946" spans="1:17">
      <c r="A946" s="1581">
        <f>'Part VIII-Threshold Criteria'!A37</f>
        <v>0</v>
      </c>
      <c r="B946" s="1581"/>
      <c r="C946" s="1581"/>
      <c r="D946" s="1581"/>
      <c r="E946" s="1581"/>
      <c r="F946" s="1581"/>
      <c r="G946" s="1581"/>
      <c r="H946" s="1581"/>
      <c r="I946" s="1581"/>
      <c r="J946" s="1581"/>
      <c r="K946" s="1581"/>
      <c r="L946" s="1581"/>
      <c r="M946" s="1581"/>
      <c r="N946" s="1581"/>
      <c r="O946" s="1581"/>
      <c r="P946" s="1581"/>
      <c r="Q946" s="1581"/>
    </row>
    <row r="947" spans="1:17">
      <c r="A947" s="1581">
        <f>'Part VIII-Threshold Criteria'!A38</f>
        <v>0</v>
      </c>
      <c r="B947" s="1581"/>
      <c r="C947" s="1581"/>
      <c r="D947" s="1581"/>
      <c r="E947" s="1581"/>
      <c r="F947" s="1581"/>
      <c r="G947" s="1581"/>
      <c r="H947" s="1581"/>
      <c r="I947" s="1581"/>
      <c r="J947" s="1581"/>
      <c r="K947" s="1581"/>
      <c r="L947" s="1581"/>
      <c r="M947" s="1581"/>
      <c r="N947" s="1581"/>
      <c r="O947" s="1581"/>
      <c r="P947" s="1581"/>
      <c r="Q947" s="1581"/>
    </row>
    <row r="948" spans="1:17">
      <c r="A948" s="1581">
        <f>'Part VIII-Threshold Criteria'!A39</f>
        <v>0</v>
      </c>
      <c r="B948" s="1581"/>
      <c r="C948" s="1581"/>
      <c r="D948" s="1581"/>
      <c r="E948" s="1581"/>
      <c r="F948" s="1581"/>
      <c r="G948" s="1581"/>
      <c r="H948" s="1581"/>
      <c r="I948" s="1581"/>
      <c r="J948" s="1581"/>
      <c r="K948" s="1581"/>
      <c r="L948" s="1581"/>
      <c r="M948" s="1581"/>
      <c r="N948" s="1581"/>
      <c r="O948" s="1581"/>
      <c r="P948" s="1581"/>
      <c r="Q948" s="1581"/>
    </row>
    <row r="949" spans="1:17">
      <c r="B949" s="1057"/>
      <c r="C949" s="1063"/>
      <c r="D949" s="1063"/>
      <c r="E949" s="1063"/>
      <c r="F949" s="1063"/>
      <c r="G949" s="1063"/>
      <c r="H949" s="1063"/>
      <c r="I949" s="1063"/>
      <c r="J949" s="1063"/>
      <c r="K949" s="1063"/>
      <c r="L949" s="1063"/>
      <c r="M949" s="1063"/>
      <c r="N949" s="1063"/>
      <c r="O949" s="1063"/>
      <c r="P949" s="1063"/>
      <c r="Q949" s="1068"/>
    </row>
    <row r="950" spans="1:17">
      <c r="A950" s="1125">
        <v>2</v>
      </c>
      <c r="B950" s="584" t="s">
        <v>2955</v>
      </c>
      <c r="C950" s="584"/>
      <c r="D950" s="584"/>
      <c r="E950" s="1063"/>
      <c r="F950" s="1063"/>
      <c r="G950" s="1063"/>
      <c r="H950" s="1063"/>
      <c r="K950" s="1063"/>
      <c r="L950" s="1063"/>
      <c r="M950" s="1063"/>
      <c r="O950" s="940" t="s">
        <v>1998</v>
      </c>
      <c r="P950" s="1582">
        <f>'Part VIII-Threshold Criteria'!P41</f>
        <v>0</v>
      </c>
      <c r="Q950" s="1582"/>
    </row>
    <row r="951" spans="1:17">
      <c r="K951" s="1063"/>
      <c r="L951" s="1063"/>
    </row>
    <row r="952" spans="1:17" ht="13.5">
      <c r="A952" s="1611" t="s">
        <v>3679</v>
      </c>
      <c r="B952" s="1611"/>
      <c r="C952" s="1611"/>
      <c r="D952" s="1611"/>
      <c r="E952" s="1611"/>
      <c r="F952" s="1585" t="s">
        <v>2962</v>
      </c>
      <c r="G952" s="1585"/>
      <c r="H952" s="1585"/>
      <c r="I952" s="1585"/>
      <c r="K952" s="1585" t="s">
        <v>2964</v>
      </c>
      <c r="L952" s="1585"/>
      <c r="M952" s="1585"/>
      <c r="N952" s="1585"/>
      <c r="P952" s="947" t="s">
        <v>3007</v>
      </c>
      <c r="Q952" s="1122" t="str">
        <f>'Part VIII-Threshold Criteria'!Q43</f>
        <v>Yes</v>
      </c>
    </row>
    <row r="953" spans="1:17">
      <c r="A953" s="1611"/>
      <c r="B953" s="1611"/>
      <c r="C953" s="1611"/>
      <c r="D953" s="1611"/>
      <c r="E953" s="1611"/>
      <c r="F953" s="1585" t="s">
        <v>2963</v>
      </c>
      <c r="G953" s="1585"/>
      <c r="H953" s="1585"/>
      <c r="I953" s="1585"/>
      <c r="K953" s="1585" t="s">
        <v>2965</v>
      </c>
      <c r="L953" s="1585"/>
      <c r="M953" s="1585"/>
      <c r="N953" s="1585"/>
    </row>
    <row r="954" spans="1:17">
      <c r="A954" s="1611"/>
      <c r="B954" s="1611"/>
      <c r="C954" s="1611"/>
      <c r="D954" s="1611"/>
      <c r="E954" s="1611"/>
      <c r="F954" s="1584" t="s">
        <v>2959</v>
      </c>
      <c r="G954" s="1584"/>
      <c r="H954" s="1584"/>
      <c r="I954" s="1584"/>
      <c r="K954" s="1585" t="s">
        <v>2961</v>
      </c>
      <c r="L954" s="1585"/>
      <c r="M954" s="1585"/>
      <c r="N954" s="1585"/>
      <c r="P954" s="1612" t="s">
        <v>3215</v>
      </c>
      <c r="Q954" s="1612"/>
    </row>
    <row r="955" spans="1:17">
      <c r="A955" s="1611"/>
      <c r="B955" s="1611"/>
      <c r="C955" s="1611"/>
      <c r="D955" s="1611"/>
      <c r="E955" s="1611"/>
      <c r="F955" s="1596" t="s">
        <v>2975</v>
      </c>
      <c r="G955" s="948"/>
      <c r="I955" s="1596" t="s">
        <v>2974</v>
      </c>
      <c r="K955" s="1596" t="s">
        <v>2975</v>
      </c>
      <c r="M955" s="1063"/>
      <c r="N955" s="1596" t="s">
        <v>2974</v>
      </c>
      <c r="O955" s="1063"/>
      <c r="P955" s="1612"/>
      <c r="Q955" s="1612"/>
    </row>
    <row r="956" spans="1:17">
      <c r="A956" s="949"/>
      <c r="D956" s="1044" t="s">
        <v>2958</v>
      </c>
      <c r="F956" s="1596"/>
      <c r="G956" s="1045" t="s">
        <v>2960</v>
      </c>
      <c r="I956" s="1596"/>
      <c r="K956" s="1596"/>
      <c r="L956" s="1045" t="s">
        <v>2960</v>
      </c>
      <c r="N956" s="1596"/>
      <c r="O956" s="1063"/>
      <c r="P956" s="1597">
        <f>'Part VIII-Threshold Criteria'!P47</f>
        <v>10648053</v>
      </c>
      <c r="Q956" s="1597"/>
    </row>
    <row r="957" spans="1:17" ht="13.5">
      <c r="A957" s="949"/>
      <c r="D957" s="1046" t="s">
        <v>601</v>
      </c>
      <c r="F957" s="1059">
        <f>'Part VIII-Threshold Criteria'!F48</f>
        <v>0</v>
      </c>
      <c r="G957" s="1047">
        <f>'DCA Underwriting Assumptions'!$J$12</f>
        <v>110481</v>
      </c>
      <c r="H957" s="1064" t="str">
        <f>CONCATENATE("x ", F957," units = ")</f>
        <v xml:space="preserve">x 0 units = </v>
      </c>
      <c r="I957" s="950">
        <f>F957*G957</f>
        <v>0</v>
      </c>
      <c r="K957" s="1059">
        <f>'Part VIII-Threshold Criteria'!K48</f>
        <v>0</v>
      </c>
      <c r="L957" s="1047">
        <f>'DCA Underwriting Assumptions'!$J$13</f>
        <v>121529</v>
      </c>
      <c r="M957" s="1064" t="str">
        <f>CONCATENATE("x ", K957," units = ")</f>
        <v xml:space="preserve">x 0 units = </v>
      </c>
      <c r="N957" s="950">
        <f>K957*L957</f>
        <v>0</v>
      </c>
      <c r="O957" s="1063"/>
      <c r="P957" s="1608" t="s">
        <v>3001</v>
      </c>
      <c r="Q957" s="1608"/>
    </row>
    <row r="958" spans="1:17" ht="13.5">
      <c r="A958" s="949"/>
      <c r="D958" s="1046" t="s">
        <v>2956</v>
      </c>
      <c r="F958" s="1059">
        <f>'Part VIII-Threshold Criteria'!F49</f>
        <v>24</v>
      </c>
      <c r="G958" s="1047">
        <f>'DCA Underwriting Assumptions'!$K$12</f>
        <v>126647</v>
      </c>
      <c r="H958" s="1064" t="str">
        <f>CONCATENATE("x ", F958," units = ")</f>
        <v xml:space="preserve">x 24 units = </v>
      </c>
      <c r="I958" s="950">
        <f>F958*G958</f>
        <v>3039528</v>
      </c>
      <c r="K958" s="1059">
        <f>'Part VIII-Threshold Criteria'!K49</f>
        <v>0</v>
      </c>
      <c r="L958" s="1047">
        <f>'DCA Underwriting Assumptions'!$K$13</f>
        <v>139312</v>
      </c>
      <c r="M958" s="1064" t="str">
        <f>CONCATENATE("x ", K958," units = ")</f>
        <v xml:space="preserve">x 0 units = </v>
      </c>
      <c r="N958" s="950">
        <f>K958*L958</f>
        <v>0</v>
      </c>
      <c r="O958" s="1063"/>
      <c r="P958" s="1608"/>
      <c r="Q958" s="1608"/>
    </row>
    <row r="959" spans="1:17" ht="13.5">
      <c r="A959" s="949"/>
      <c r="D959" s="1046" t="s">
        <v>2957</v>
      </c>
      <c r="F959" s="1059">
        <f>'Part VIII-Threshold Criteria'!F50</f>
        <v>30</v>
      </c>
      <c r="G959" s="1047">
        <f>'DCA Underwriting Assumptions'!$L$12</f>
        <v>154003</v>
      </c>
      <c r="H959" s="1064" t="str">
        <f>CONCATENATE("x ", F959," units = ")</f>
        <v xml:space="preserve">x 30 units = </v>
      </c>
      <c r="I959" s="950">
        <f>F959*G959</f>
        <v>4620090</v>
      </c>
      <c r="K959" s="1059">
        <f>'Part VIII-Threshold Criteria'!K50</f>
        <v>0</v>
      </c>
      <c r="L959" s="1047">
        <f>'DCA Underwriting Assumptions'!$L$13</f>
        <v>169403</v>
      </c>
      <c r="M959" s="1064" t="str">
        <f>CONCATENATE("x ", K959," units = ")</f>
        <v xml:space="preserve">x 0 units = </v>
      </c>
      <c r="N959" s="950">
        <f>K959*L959</f>
        <v>0</v>
      </c>
      <c r="O959" s="1063"/>
      <c r="P959" s="1608"/>
      <c r="Q959" s="1608"/>
    </row>
    <row r="960" spans="1:17" ht="13.5">
      <c r="A960" s="949"/>
      <c r="D960" s="1046" t="s">
        <v>2966</v>
      </c>
      <c r="F960" s="1059">
        <f>'Part VIII-Threshold Criteria'!F51</f>
        <v>15</v>
      </c>
      <c r="G960" s="1047">
        <f>'DCA Underwriting Assumptions'!$M$12</f>
        <v>199229</v>
      </c>
      <c r="H960" s="1064" t="str">
        <f>CONCATENATE("x ", F960," units = ")</f>
        <v xml:space="preserve">x 15 units = </v>
      </c>
      <c r="I960" s="950">
        <f>F960*G960</f>
        <v>2988435</v>
      </c>
      <c r="K960" s="1059">
        <f>'Part VIII-Threshold Criteria'!K51</f>
        <v>0</v>
      </c>
      <c r="L960" s="1047">
        <f>'DCA Underwriting Assumptions'!$M$13</f>
        <v>219152</v>
      </c>
      <c r="M960" s="1064" t="str">
        <f>CONCATENATE("x ", K960," units = ")</f>
        <v xml:space="preserve">x 0 units = </v>
      </c>
      <c r="N960" s="950">
        <f>K960*L960</f>
        <v>0</v>
      </c>
      <c r="O960" s="1063"/>
      <c r="P960" s="1608"/>
      <c r="Q960" s="1608"/>
    </row>
    <row r="961" spans="1:17" ht="13.5">
      <c r="A961" s="949"/>
      <c r="D961" s="1046" t="s">
        <v>2967</v>
      </c>
      <c r="F961" s="1059">
        <f>'Part VIII-Threshold Criteria'!F52</f>
        <v>0</v>
      </c>
      <c r="G961" s="1047">
        <f>'DCA Underwriting Assumptions'!$N$12</f>
        <v>199229</v>
      </c>
      <c r="H961" s="1064" t="str">
        <f>CONCATENATE("x ", F961," units = ")</f>
        <v xml:space="preserve">x 0 units = </v>
      </c>
      <c r="I961" s="950">
        <f>F961*G961</f>
        <v>0</v>
      </c>
      <c r="K961" s="1059">
        <f>'Part VIII-Threshold Criteria'!K52</f>
        <v>0</v>
      </c>
      <c r="L961" s="1047">
        <f>'DCA Underwriting Assumptions'!$N$13</f>
        <v>219152</v>
      </c>
      <c r="M961" s="1064" t="str">
        <f>CONCATENATE("x ", K961," units = ")</f>
        <v xml:space="preserve">x 0 units = </v>
      </c>
      <c r="N961" s="950">
        <f>K961*L961</f>
        <v>0</v>
      </c>
      <c r="O961" s="1063"/>
      <c r="P961" s="1608"/>
      <c r="Q961" s="1608"/>
    </row>
    <row r="962" spans="1:17" ht="13.5">
      <c r="A962" s="949"/>
      <c r="C962" s="948"/>
      <c r="D962" s="1075" t="s">
        <v>2968</v>
      </c>
      <c r="F962" s="951">
        <f>SUM(F957:F961)</f>
        <v>69</v>
      </c>
      <c r="G962" s="1048"/>
      <c r="H962" s="1059"/>
      <c r="I962" s="950">
        <f>SUM(I957:I961)</f>
        <v>10648053</v>
      </c>
      <c r="K962" s="951">
        <f>SUM(K957:K961)</f>
        <v>0</v>
      </c>
      <c r="M962" s="1059"/>
      <c r="N962" s="950">
        <f>SUM(N957:N961)</f>
        <v>0</v>
      </c>
      <c r="O962" s="1063"/>
      <c r="P962" s="1609">
        <f>IF('Part IV-Uses of Funds'!$G$130&gt;P956,"CHECK TDC !!!",0)</f>
        <v>0</v>
      </c>
      <c r="Q962" s="1609"/>
    </row>
    <row r="963" spans="1:17">
      <c r="A963" s="949"/>
      <c r="C963" s="948"/>
      <c r="E963" s="565"/>
      <c r="F963" s="1048"/>
      <c r="G963" s="565"/>
      <c r="I963" s="565"/>
      <c r="J963" s="565"/>
      <c r="K963" s="1063"/>
      <c r="L963" s="1049"/>
      <c r="M963" s="1063"/>
      <c r="N963" s="1063"/>
      <c r="O963" s="1063"/>
      <c r="P963" s="1063"/>
      <c r="Q963" s="1063"/>
    </row>
    <row r="964" spans="1:17">
      <c r="B964" s="952" t="s">
        <v>1996</v>
      </c>
      <c r="D964" s="952"/>
      <c r="E964" s="952"/>
      <c r="F964" s="952"/>
      <c r="G964" s="952"/>
      <c r="H964" s="1081"/>
      <c r="I964" s="1057"/>
      <c r="J964" s="1057"/>
      <c r="K964" s="945" t="s">
        <v>1997</v>
      </c>
      <c r="L964" s="1068"/>
      <c r="M964" s="1068"/>
      <c r="N964" s="1068"/>
      <c r="O964" s="1068"/>
      <c r="P964" s="1068"/>
      <c r="Q964" s="1068"/>
    </row>
    <row r="965" spans="1:17">
      <c r="A965" s="1574">
        <f>'Part VIII-Threshold Criteria'!A56</f>
        <v>0</v>
      </c>
      <c r="B965" s="1574"/>
      <c r="C965" s="1574"/>
      <c r="D965" s="1574"/>
      <c r="E965" s="1574"/>
      <c r="F965" s="1574"/>
      <c r="G965" s="1574"/>
      <c r="H965" s="1574"/>
      <c r="I965" s="1574"/>
      <c r="J965" s="1574"/>
      <c r="K965" s="1574">
        <f>'Part VIII-Threshold Criteria'!K56</f>
        <v>0</v>
      </c>
      <c r="L965" s="1574"/>
      <c r="M965" s="1574"/>
      <c r="N965" s="1574"/>
      <c r="O965" s="1574"/>
      <c r="P965" s="1574"/>
      <c r="Q965" s="1574"/>
    </row>
    <row r="966" spans="1:17">
      <c r="B966" s="1057"/>
      <c r="C966" s="1063"/>
      <c r="D966" s="1063"/>
      <c r="E966" s="1063"/>
      <c r="F966" s="1063"/>
      <c r="G966" s="1063"/>
      <c r="H966" s="1063"/>
      <c r="I966" s="1063"/>
      <c r="J966" s="1063"/>
      <c r="K966" s="1063"/>
      <c r="L966" s="1063"/>
      <c r="M966" s="1063"/>
      <c r="N966" s="1063"/>
      <c r="O966" s="1063"/>
      <c r="P966" s="1063"/>
      <c r="Q966" s="1068"/>
    </row>
    <row r="967" spans="1:17">
      <c r="A967" s="1125">
        <v>3</v>
      </c>
      <c r="B967" s="584" t="s">
        <v>1262</v>
      </c>
      <c r="C967" s="584"/>
      <c r="D967" s="584"/>
      <c r="E967" s="1063"/>
      <c r="F967" s="1063"/>
      <c r="G967" s="1063"/>
      <c r="H967" s="1063"/>
      <c r="M967" s="1063"/>
      <c r="O967" s="940" t="s">
        <v>1998</v>
      </c>
      <c r="P967" s="1582">
        <f>'Part VIII-Threshold Criteria'!P58</f>
        <v>0</v>
      </c>
      <c r="Q967" s="1582"/>
    </row>
    <row r="969" spans="1:17">
      <c r="A969" s="949"/>
      <c r="C969" s="948" t="s">
        <v>102</v>
      </c>
      <c r="D969" s="948"/>
      <c r="E969" s="948"/>
      <c r="F969" s="948"/>
      <c r="G969" s="948"/>
      <c r="H969" s="948"/>
      <c r="K969" s="1610" t="str">
        <f>'Part VIII-Threshold Criteria'!K60</f>
        <v>Family</v>
      </c>
      <c r="L969" s="1610"/>
      <c r="M969" s="1610"/>
      <c r="N969" s="1063"/>
    </row>
    <row r="970" spans="1:17">
      <c r="B970" s="952" t="s">
        <v>1996</v>
      </c>
      <c r="D970" s="952"/>
      <c r="E970" s="952"/>
      <c r="F970" s="952"/>
      <c r="G970" s="952"/>
      <c r="H970" s="1081"/>
      <c r="I970" s="1057"/>
      <c r="J970" s="1057"/>
      <c r="K970" s="945" t="s">
        <v>1997</v>
      </c>
      <c r="L970" s="1068"/>
      <c r="M970" s="1068"/>
      <c r="N970" s="1068"/>
      <c r="O970" s="1068"/>
      <c r="P970" s="1068"/>
      <c r="Q970" s="1068"/>
    </row>
    <row r="971" spans="1:17">
      <c r="A971" s="1574" t="str">
        <f>'Part VIII-Threshold Criteria'!A62</f>
        <v>The project is designated Family for this application; however, the existing HAP contract includes 32 units to be occupied by seniors or disabled persons.  Accordingly, 20 of the 69 units in this first phase will be available to seniors or disabled persons only.  The remaining 12 seniors or disabled persons units will be included the second phase of the project.</v>
      </c>
      <c r="B971" s="1574"/>
      <c r="C971" s="1574"/>
      <c r="D971" s="1574"/>
      <c r="E971" s="1574"/>
      <c r="F971" s="1574"/>
      <c r="G971" s="1574"/>
      <c r="H971" s="1574"/>
      <c r="I971" s="1574"/>
      <c r="J971" s="1574"/>
      <c r="K971" s="1574">
        <f>'Part VIII-Threshold Criteria'!K62</f>
        <v>0</v>
      </c>
      <c r="L971" s="1574"/>
      <c r="M971" s="1574"/>
      <c r="N971" s="1574"/>
      <c r="O971" s="1574"/>
      <c r="P971" s="1574"/>
      <c r="Q971" s="1574"/>
    </row>
    <row r="972" spans="1:17">
      <c r="A972" s="1068"/>
      <c r="B972" s="1057"/>
      <c r="C972" s="1063"/>
      <c r="D972" s="1063"/>
      <c r="E972" s="1063"/>
      <c r="F972" s="1063"/>
      <c r="G972" s="1063"/>
      <c r="H972" s="1063"/>
      <c r="I972" s="1063"/>
      <c r="J972" s="1063"/>
      <c r="K972" s="1063"/>
      <c r="L972" s="1063"/>
      <c r="M972" s="1063"/>
      <c r="N972" s="1063"/>
      <c r="O972" s="1063"/>
      <c r="P972" s="1063"/>
      <c r="Q972" s="1068"/>
    </row>
    <row r="973" spans="1:17">
      <c r="A973" s="1125">
        <v>4</v>
      </c>
      <c r="B973" s="1125" t="s">
        <v>2851</v>
      </c>
      <c r="C973" s="1083"/>
      <c r="D973" s="1063"/>
      <c r="E973" s="1063"/>
      <c r="F973" s="1063"/>
      <c r="G973" s="1063"/>
      <c r="H973" s="1063"/>
      <c r="I973" s="1063"/>
      <c r="J973" s="1063"/>
      <c r="K973" s="1063"/>
      <c r="L973" s="1063"/>
      <c r="M973" s="1063"/>
      <c r="O973" s="940" t="s">
        <v>1998</v>
      </c>
      <c r="P973" s="1582">
        <f>'Part VIII-Threshold Criteria'!P64</f>
        <v>0</v>
      </c>
      <c r="Q973" s="1582"/>
    </row>
    <row r="975" spans="1:17">
      <c r="B975" s="941" t="s">
        <v>2119</v>
      </c>
      <c r="C975" s="1574" t="s">
        <v>3680</v>
      </c>
      <c r="D975" s="1574"/>
      <c r="E975" s="1574"/>
      <c r="F975" s="1574"/>
      <c r="G975" s="1574"/>
      <c r="H975" s="1574"/>
      <c r="I975" s="1574"/>
      <c r="J975" s="1574"/>
      <c r="K975" s="1574"/>
      <c r="L975" s="1574"/>
      <c r="M975" s="1574"/>
      <c r="O975" s="1127"/>
      <c r="P975" s="1122" t="str">
        <f>'Part VIII-Threshold Criteria'!P66</f>
        <v>Agree</v>
      </c>
    </row>
    <row r="976" spans="1:17">
      <c r="B976" s="943" t="s">
        <v>2122</v>
      </c>
      <c r="C976" s="1081" t="s">
        <v>2976</v>
      </c>
      <c r="D976" s="1081"/>
      <c r="E976" s="1081"/>
      <c r="F976" s="1081"/>
      <c r="G976" s="1081"/>
      <c r="H976" s="1081"/>
      <c r="I976" s="1081"/>
      <c r="J976" s="1081"/>
      <c r="K976" s="1081"/>
      <c r="L976" s="1081"/>
      <c r="M976" s="1081"/>
      <c r="O976" s="1081"/>
      <c r="P976" s="1081"/>
      <c r="Q976" s="1081"/>
    </row>
    <row r="977" spans="1:17">
      <c r="A977" s="953"/>
      <c r="B977" s="581"/>
      <c r="C977" s="942" t="s">
        <v>1859</v>
      </c>
      <c r="D977" s="1081" t="s">
        <v>611</v>
      </c>
      <c r="E977" s="1060"/>
      <c r="F977" s="1060"/>
      <c r="G977" s="1060"/>
      <c r="H977" s="581"/>
      <c r="I977" s="581"/>
      <c r="J977" s="582" t="s">
        <v>2946</v>
      </c>
      <c r="K977" s="1586" t="str">
        <f>'Part VIII-Threshold Criteria'!K68</f>
        <v>1) Gardening (monthly-seasonal); 2) Field Trips (seniors bi-monthly); 3 Various Arts and Crafts 4) Afterschool program - weekly</v>
      </c>
      <c r="L977" s="1586"/>
      <c r="M977" s="1586"/>
      <c r="N977" s="1586"/>
      <c r="O977" s="1586"/>
      <c r="P977" s="1586"/>
      <c r="Q977" s="1081"/>
    </row>
    <row r="978" spans="1:17">
      <c r="A978" s="953"/>
      <c r="B978" s="581"/>
      <c r="C978" s="942" t="s">
        <v>1860</v>
      </c>
      <c r="D978" s="1081" t="s">
        <v>1935</v>
      </c>
      <c r="E978" s="1060"/>
      <c r="F978" s="1060"/>
      <c r="G978" s="1060"/>
      <c r="H978" s="581"/>
      <c r="I978" s="581"/>
      <c r="J978" s="582" t="s">
        <v>2946</v>
      </c>
      <c r="K978" s="1586" t="str">
        <f>'Part VIII-Threshold Criteria'!K69</f>
        <v>Nutrition 101 &amp; other building healthier lifestyles classes (monthly - various age groups)</v>
      </c>
      <c r="L978" s="1586"/>
      <c r="M978" s="1586"/>
      <c r="N978" s="1586"/>
      <c r="O978" s="1586"/>
      <c r="P978" s="1586"/>
      <c r="Q978" s="1081"/>
    </row>
    <row r="979" spans="1:17">
      <c r="A979" s="953"/>
      <c r="B979" s="581"/>
      <c r="C979" s="942" t="s">
        <v>1861</v>
      </c>
      <c r="D979" s="1081" t="s">
        <v>323</v>
      </c>
      <c r="E979" s="1060"/>
      <c r="J979" s="582" t="s">
        <v>2946</v>
      </c>
      <c r="K979" s="1586">
        <f>'Part VIII-Threshold Criteria'!K70</f>
        <v>0</v>
      </c>
      <c r="L979" s="1586"/>
      <c r="M979" s="1586"/>
      <c r="N979" s="1586"/>
      <c r="O979" s="1586"/>
      <c r="P979" s="1586"/>
      <c r="Q979" s="1081"/>
    </row>
    <row r="980" spans="1:17">
      <c r="B980" s="952" t="s">
        <v>1996</v>
      </c>
      <c r="D980" s="952"/>
      <c r="E980" s="952"/>
      <c r="F980" s="952"/>
      <c r="G980" s="952"/>
      <c r="H980" s="1081"/>
      <c r="I980" s="1057"/>
      <c r="J980" s="1057"/>
      <c r="K980" s="1057"/>
      <c r="L980" s="1068"/>
      <c r="M980" s="1068"/>
      <c r="N980" s="1068"/>
      <c r="O980" s="1068"/>
      <c r="P980" s="1068"/>
      <c r="Q980" s="1068"/>
    </row>
    <row r="981" spans="1:17">
      <c r="A981" s="1574" t="str">
        <f>'Part VIII-Threshold Criteria'!A72</f>
        <v>Listed above are types of planned activities residents can anticipate.  Other activities will be implemented based on resident surveys and identified needs.  Field trips will be planned and conducted by DHA staff while other activities will be provided through collaboration with partners.</v>
      </c>
      <c r="B981" s="1574"/>
      <c r="C981" s="1574"/>
      <c r="D981" s="1574"/>
      <c r="E981" s="1574"/>
      <c r="F981" s="1574"/>
      <c r="G981" s="1574"/>
      <c r="H981" s="1574"/>
      <c r="I981" s="1574"/>
      <c r="J981" s="1574"/>
      <c r="K981" s="1574"/>
      <c r="L981" s="1574"/>
      <c r="M981" s="1574"/>
      <c r="N981" s="1574"/>
      <c r="O981" s="1574"/>
      <c r="P981" s="1574"/>
      <c r="Q981" s="1574"/>
    </row>
    <row r="982" spans="1:17">
      <c r="B982" s="945" t="s">
        <v>1997</v>
      </c>
      <c r="C982" s="946"/>
      <c r="D982" s="1063"/>
      <c r="E982" s="1063"/>
      <c r="F982" s="1063"/>
      <c r="G982" s="1063"/>
      <c r="H982" s="1063"/>
      <c r="I982" s="1063"/>
      <c r="J982" s="1063"/>
      <c r="K982" s="1063"/>
      <c r="L982" s="1063"/>
      <c r="M982" s="1063"/>
      <c r="N982" s="1063"/>
      <c r="O982" s="1063"/>
      <c r="P982" s="1063"/>
      <c r="Q982" s="1063"/>
    </row>
    <row r="983" spans="1:17">
      <c r="A983" s="1581">
        <f>'Part VIII-Threshold Criteria'!A74</f>
        <v>0</v>
      </c>
      <c r="B983" s="1581"/>
      <c r="C983" s="1581"/>
      <c r="D983" s="1581"/>
      <c r="E983" s="1581"/>
      <c r="F983" s="1581"/>
      <c r="G983" s="1581"/>
      <c r="H983" s="1581"/>
      <c r="I983" s="1581"/>
      <c r="J983" s="1581"/>
      <c r="K983" s="1581"/>
      <c r="L983" s="1581"/>
      <c r="M983" s="1581"/>
      <c r="N983" s="1581"/>
      <c r="O983" s="1581"/>
      <c r="P983" s="1581"/>
      <c r="Q983" s="1581"/>
    </row>
    <row r="984" spans="1:17">
      <c r="A984" s="1068"/>
      <c r="B984" s="1057"/>
      <c r="C984" s="1063"/>
      <c r="D984" s="1063"/>
      <c r="E984" s="1063"/>
      <c r="F984" s="1063"/>
      <c r="G984" s="1063"/>
      <c r="H984" s="1063"/>
      <c r="I984" s="1063"/>
      <c r="J984" s="1063"/>
      <c r="K984" s="1063"/>
      <c r="L984" s="1063"/>
      <c r="M984" s="1063"/>
      <c r="N984" s="1063"/>
      <c r="O984" s="1063"/>
      <c r="P984" s="1063"/>
      <c r="Q984" s="1068"/>
    </row>
    <row r="985" spans="1:17">
      <c r="A985" s="1125">
        <v>5</v>
      </c>
      <c r="B985" s="1125" t="s">
        <v>2852</v>
      </c>
      <c r="C985" s="1125"/>
      <c r="D985" s="1063"/>
      <c r="E985" s="1063"/>
      <c r="F985" s="1063"/>
      <c r="G985" s="1063"/>
      <c r="H985" s="1063"/>
      <c r="I985" s="1063"/>
      <c r="J985" s="1063"/>
      <c r="K985" s="1063"/>
      <c r="O985" s="940" t="s">
        <v>1998</v>
      </c>
      <c r="P985" s="1582">
        <f>'Part VIII-Threshold Criteria'!P76</f>
        <v>0</v>
      </c>
      <c r="Q985" s="1582"/>
    </row>
    <row r="987" spans="1:17">
      <c r="B987" s="943" t="s">
        <v>2119</v>
      </c>
      <c r="C987" s="565" t="s">
        <v>2628</v>
      </c>
      <c r="D987" s="1073"/>
      <c r="E987" s="1073"/>
      <c r="F987" s="1073"/>
      <c r="G987" s="1073"/>
      <c r="H987" s="1073"/>
      <c r="I987" s="581"/>
      <c r="J987" s="581"/>
      <c r="K987" s="581"/>
      <c r="L987" s="942" t="s">
        <v>2119</v>
      </c>
      <c r="M987" s="1586" t="str">
        <f>'Part VIII-Threshold Criteria'!M78</f>
        <v>Novogradac</v>
      </c>
      <c r="N987" s="1586"/>
      <c r="O987" s="1586"/>
      <c r="P987" s="1594"/>
      <c r="Q987" s="1122">
        <f>'Part VIII-Threshold Criteria'!Q78</f>
        <v>0</v>
      </c>
    </row>
    <row r="988" spans="1:17">
      <c r="B988" s="943" t="s">
        <v>2122</v>
      </c>
      <c r="C988" s="582" t="s">
        <v>2174</v>
      </c>
      <c r="D988" s="1073"/>
      <c r="E988" s="1073"/>
      <c r="F988" s="1073"/>
      <c r="L988" s="942" t="s">
        <v>2122</v>
      </c>
      <c r="M988" s="1586" t="str">
        <f>'Part VIII-Threshold Criteria'!M79</f>
        <v>4 to 5 Months</v>
      </c>
      <c r="N988" s="1586"/>
      <c r="O988" s="1586"/>
      <c r="P988" s="1594"/>
      <c r="Q988" s="1122">
        <f>'Part VIII-Threshold Criteria'!Q79</f>
        <v>0</v>
      </c>
    </row>
    <row r="989" spans="1:17">
      <c r="B989" s="943" t="s">
        <v>799</v>
      </c>
      <c r="C989" s="582" t="s">
        <v>3521</v>
      </c>
      <c r="D989" s="1073"/>
      <c r="E989" s="1073"/>
      <c r="F989" s="1073"/>
      <c r="L989" s="942" t="s">
        <v>799</v>
      </c>
      <c r="M989" s="1606">
        <f>'Part VIII-Threshold Criteria'!M80</f>
        <v>0.96099999999999997</v>
      </c>
      <c r="N989" s="1606"/>
      <c r="O989" s="1606"/>
      <c r="P989" s="1607"/>
      <c r="Q989" s="1122">
        <f>'Part VIII-Threshold Criteria'!Q80</f>
        <v>0</v>
      </c>
    </row>
    <row r="990" spans="1:17">
      <c r="B990" s="943" t="s">
        <v>2254</v>
      </c>
      <c r="C990" s="582" t="s">
        <v>2629</v>
      </c>
      <c r="D990" s="1073"/>
      <c r="E990" s="1073"/>
      <c r="F990" s="1073"/>
      <c r="L990" s="942" t="s">
        <v>2254</v>
      </c>
      <c r="M990" s="1606" t="str">
        <f>'Part VIII-Threshold Criteria'!M81</f>
        <v>2.5% - family units; 5% senior units</v>
      </c>
      <c r="N990" s="1606"/>
      <c r="O990" s="1606"/>
      <c r="P990" s="1607"/>
      <c r="Q990" s="1122">
        <f>'Part VIII-Threshold Criteria'!Q81</f>
        <v>0</v>
      </c>
    </row>
    <row r="991" spans="1:17">
      <c r="B991" s="941" t="s">
        <v>1857</v>
      </c>
      <c r="C991" s="1574" t="s">
        <v>3522</v>
      </c>
      <c r="D991" s="1574"/>
      <c r="E991" s="1574"/>
      <c r="F991" s="1574"/>
      <c r="G991" s="1574"/>
      <c r="H991" s="1574"/>
      <c r="I991" s="1574"/>
      <c r="J991" s="1574"/>
      <c r="K991" s="1574"/>
      <c r="L991" s="1574"/>
      <c r="M991" s="1574"/>
      <c r="N991" s="1574"/>
      <c r="O991" s="1574"/>
      <c r="P991" s="1574"/>
      <c r="Q991" s="1574"/>
    </row>
    <row r="992" spans="1:17">
      <c r="B992" s="943"/>
      <c r="C992" s="582"/>
      <c r="D992" s="1057" t="s">
        <v>2536</v>
      </c>
      <c r="E992" s="1081" t="s">
        <v>658</v>
      </c>
      <c r="F992" s="1081"/>
      <c r="H992" s="582"/>
      <c r="I992" s="1057" t="s">
        <v>2536</v>
      </c>
      <c r="J992" s="1081" t="s">
        <v>658</v>
      </c>
      <c r="K992" s="1081"/>
      <c r="M992" s="582"/>
      <c r="N992" s="1057" t="s">
        <v>2536</v>
      </c>
      <c r="O992" s="1081" t="s">
        <v>658</v>
      </c>
      <c r="P992" s="1081"/>
      <c r="Q992" s="942"/>
    </row>
    <row r="993" spans="1:17">
      <c r="B993" s="943"/>
      <c r="C993" s="582">
        <v>1</v>
      </c>
      <c r="D993" s="1122" t="str">
        <f>'Part VIII-Threshold Criteria'!D84</f>
        <v>2012-014</v>
      </c>
      <c r="E993" s="1586" t="str">
        <f>'Part VIII-Threshold Criteria'!E84</f>
        <v>Forrest Heights</v>
      </c>
      <c r="F993" s="1586"/>
      <c r="G993" s="1586"/>
      <c r="H993" s="582">
        <v>3</v>
      </c>
      <c r="I993" s="1122">
        <f>'Part VIII-Threshold Criteria'!I84</f>
        <v>0</v>
      </c>
      <c r="J993" s="1586">
        <f>'Part VIII-Threshold Criteria'!J84</f>
        <v>0</v>
      </c>
      <c r="K993" s="1586"/>
      <c r="L993" s="1586"/>
      <c r="M993" s="582">
        <v>5</v>
      </c>
      <c r="N993" s="1122">
        <f>'Part VIII-Threshold Criteria'!N84</f>
        <v>0</v>
      </c>
      <c r="O993" s="1586">
        <f>'Part VIII-Threshold Criteria'!O84</f>
        <v>0</v>
      </c>
      <c r="P993" s="1586"/>
      <c r="Q993" s="1586"/>
    </row>
    <row r="994" spans="1:17">
      <c r="B994" s="943"/>
      <c r="C994" s="582">
        <v>2</v>
      </c>
      <c r="D994" s="1122" t="str">
        <f>'Part VIII-Threshold Criteria'!D85</f>
        <v>2012-059</v>
      </c>
      <c r="E994" s="1586" t="str">
        <f>'Part VIII-Threshold Criteria'!E85</f>
        <v>Allen Wilson III</v>
      </c>
      <c r="F994" s="1586"/>
      <c r="G994" s="1586"/>
      <c r="H994" s="582">
        <v>4</v>
      </c>
      <c r="I994" s="1122">
        <f>'Part VIII-Threshold Criteria'!I85</f>
        <v>0</v>
      </c>
      <c r="J994" s="1586">
        <f>'Part VIII-Threshold Criteria'!J85</f>
        <v>0</v>
      </c>
      <c r="K994" s="1586"/>
      <c r="L994" s="1586"/>
      <c r="M994" s="582">
        <v>6</v>
      </c>
      <c r="N994" s="1122">
        <f>'Part VIII-Threshold Criteria'!N85</f>
        <v>0</v>
      </c>
      <c r="O994" s="1586">
        <f>'Part VIII-Threshold Criteria'!O85</f>
        <v>0</v>
      </c>
      <c r="P994" s="1586"/>
      <c r="Q994" s="1586"/>
    </row>
    <row r="995" spans="1:17">
      <c r="B995" s="943" t="s">
        <v>1858</v>
      </c>
      <c r="C995" s="582" t="s">
        <v>0</v>
      </c>
      <c r="D995" s="1073"/>
      <c r="E995" s="1073"/>
      <c r="F995" s="1073"/>
      <c r="G995" s="1073"/>
      <c r="H995" s="1073"/>
      <c r="I995" s="581"/>
      <c r="J995" s="581"/>
      <c r="K995" s="1073"/>
      <c r="L995" s="1060"/>
      <c r="M995" s="1060"/>
      <c r="O995" s="942" t="s">
        <v>1858</v>
      </c>
      <c r="P995" s="1122">
        <f>'Part VIII-Threshold Criteria'!P86</f>
        <v>0</v>
      </c>
      <c r="Q995" s="1122">
        <f>'Part VIII-Threshold Criteria'!Q86</f>
        <v>0</v>
      </c>
    </row>
    <row r="996" spans="1:17">
      <c r="B996" s="952" t="s">
        <v>1996</v>
      </c>
      <c r="D996" s="952"/>
      <c r="E996" s="952"/>
      <c r="F996" s="952"/>
      <c r="G996" s="952"/>
      <c r="H996" s="1081"/>
      <c r="I996" s="1057"/>
      <c r="J996" s="1057"/>
      <c r="K996" s="1057"/>
      <c r="L996" s="1068"/>
      <c r="M996" s="1068"/>
      <c r="N996" s="1068"/>
      <c r="O996" s="1068"/>
      <c r="P996" s="1068"/>
      <c r="Q996" s="1068"/>
    </row>
    <row r="997" spans="1:17">
      <c r="A997" s="1574" t="str">
        <f>'Part VIII-Threshold Criteria'!A88</f>
        <v xml:space="preserve">Decatur is an exceptionally viable and desirable market due to the extraordinary school system.  Project 2012-059 Allen Wilson leased up in 30 days and is 100% occupied.  DHA has a long waiting list of persons desiring affordable housing in Decatur.  This specific project (Trinity Walk I) will replace existing PBRA community with families desiring to return to the new units.  </v>
      </c>
      <c r="B997" s="1574"/>
      <c r="C997" s="1574"/>
      <c r="D997" s="1574"/>
      <c r="E997" s="1574"/>
      <c r="F997" s="1574"/>
      <c r="G997" s="1574"/>
      <c r="H997" s="1574"/>
      <c r="I997" s="1574"/>
      <c r="J997" s="1574"/>
      <c r="K997" s="1574"/>
      <c r="L997" s="1574"/>
      <c r="M997" s="1574"/>
      <c r="N997" s="1574"/>
      <c r="O997" s="1574"/>
      <c r="P997" s="1574"/>
      <c r="Q997" s="1574"/>
    </row>
    <row r="998" spans="1:17">
      <c r="B998" s="945" t="s">
        <v>1997</v>
      </c>
      <c r="C998" s="946"/>
      <c r="D998" s="1063"/>
      <c r="E998" s="1063"/>
      <c r="F998" s="1063"/>
      <c r="G998" s="1063"/>
      <c r="H998" s="1063"/>
      <c r="I998" s="1063"/>
      <c r="J998" s="1063"/>
      <c r="K998" s="1063"/>
      <c r="L998" s="1063"/>
      <c r="M998" s="1063"/>
      <c r="N998" s="1063"/>
      <c r="O998" s="1063"/>
      <c r="P998" s="1063"/>
      <c r="Q998" s="1063"/>
    </row>
    <row r="999" spans="1:17">
      <c r="A999" s="1581">
        <f>'Part VIII-Threshold Criteria'!A90</f>
        <v>0</v>
      </c>
      <c r="B999" s="1581"/>
      <c r="C999" s="1581"/>
      <c r="D999" s="1581"/>
      <c r="E999" s="1581"/>
      <c r="F999" s="1581"/>
      <c r="G999" s="1581"/>
      <c r="H999" s="1581"/>
      <c r="I999" s="1581"/>
      <c r="J999" s="1581"/>
      <c r="K999" s="1581"/>
      <c r="L999" s="1581"/>
      <c r="M999" s="1581"/>
      <c r="N999" s="1581"/>
      <c r="O999" s="1581"/>
      <c r="P999" s="1581"/>
      <c r="Q999" s="1581"/>
    </row>
    <row r="1000" spans="1:17">
      <c r="A1000" s="1125">
        <v>6</v>
      </c>
      <c r="B1000" s="1125" t="s">
        <v>2853</v>
      </c>
      <c r="C1000" s="1125"/>
      <c r="D1000" s="1063"/>
      <c r="E1000" s="1063"/>
      <c r="F1000" s="1063"/>
      <c r="G1000" s="1063"/>
      <c r="H1000" s="1063"/>
      <c r="I1000" s="1063"/>
      <c r="J1000" s="1063"/>
      <c r="K1000" s="1063"/>
      <c r="L1000" s="1063"/>
      <c r="M1000" s="1063"/>
      <c r="O1000" s="940" t="s">
        <v>1998</v>
      </c>
      <c r="P1000" s="1582">
        <f>'Part VIII-Threshold Criteria'!P91</f>
        <v>0</v>
      </c>
      <c r="Q1000" s="1582"/>
    </row>
    <row r="1002" spans="1:17">
      <c r="B1002" s="943" t="s">
        <v>2119</v>
      </c>
      <c r="C1002" s="582" t="s">
        <v>525</v>
      </c>
      <c r="D1002" s="582"/>
      <c r="E1002" s="582"/>
      <c r="F1002" s="582"/>
      <c r="G1002" s="582"/>
      <c r="H1002" s="582"/>
      <c r="I1002" s="582"/>
      <c r="J1002" s="582"/>
      <c r="K1002" s="582"/>
      <c r="L1002" s="582"/>
      <c r="M1002" s="582"/>
      <c r="O1002" s="942" t="s">
        <v>2119</v>
      </c>
      <c r="P1002" s="1122" t="str">
        <f>'Part VIII-Threshold Criteria'!P93</f>
        <v>No</v>
      </c>
      <c r="Q1002" s="1122">
        <f>'Part VIII-Threshold Criteria'!Q93</f>
        <v>0</v>
      </c>
    </row>
    <row r="1003" spans="1:17">
      <c r="B1003" s="943" t="s">
        <v>2122</v>
      </c>
      <c r="C1003" s="582" t="s">
        <v>1390</v>
      </c>
      <c r="D1003" s="582"/>
      <c r="E1003" s="582"/>
      <c r="F1003" s="582"/>
      <c r="G1003" s="582"/>
      <c r="H1003" s="582"/>
      <c r="I1003" s="582"/>
      <c r="J1003" s="582"/>
      <c r="K1003" s="582"/>
      <c r="L1003" s="1081"/>
      <c r="M1003" s="1081"/>
      <c r="O1003" s="942" t="s">
        <v>2122</v>
      </c>
      <c r="P1003" s="1122" t="str">
        <f>'Part VIII-Threshold Criteria'!P94</f>
        <v>No</v>
      </c>
      <c r="Q1003" s="1122">
        <f>'Part VIII-Threshold Criteria'!Q94</f>
        <v>0</v>
      </c>
    </row>
    <row r="1004" spans="1:17">
      <c r="A1004" s="1072"/>
      <c r="B1004" s="582"/>
      <c r="D1004" s="582" t="s">
        <v>587</v>
      </c>
      <c r="E1004" s="581"/>
      <c r="F1004" s="581"/>
      <c r="G1004" s="581"/>
      <c r="H1004" s="581"/>
      <c r="I1004" s="581"/>
      <c r="L1004" s="942" t="s">
        <v>588</v>
      </c>
      <c r="M1004" s="1586">
        <f>'Part VIII-Threshold Criteria'!M95</f>
        <v>0</v>
      </c>
      <c r="N1004" s="1586"/>
      <c r="O1004" s="1586"/>
      <c r="P1004" s="1594"/>
      <c r="Q1004" s="1122">
        <f>'Part VIII-Threshold Criteria'!Q95</f>
        <v>0</v>
      </c>
    </row>
    <row r="1005" spans="1:17">
      <c r="A1005" s="953"/>
      <c r="B1005" s="1057"/>
      <c r="C1005" s="954" t="s">
        <v>1859</v>
      </c>
      <c r="D1005" s="1583" t="s">
        <v>488</v>
      </c>
      <c r="E1005" s="1595"/>
      <c r="F1005" s="1595"/>
      <c r="G1005" s="1595"/>
      <c r="H1005" s="1595"/>
      <c r="I1005" s="1595"/>
      <c r="J1005" s="1595"/>
      <c r="K1005" s="1595"/>
      <c r="L1005" s="1595"/>
      <c r="M1005" s="1595"/>
      <c r="N1005" s="1595"/>
      <c r="O1005" s="954" t="s">
        <v>1859</v>
      </c>
      <c r="P1005" s="1122">
        <f>'Part VIII-Threshold Criteria'!P96</f>
        <v>0</v>
      </c>
      <c r="Q1005" s="1122">
        <f>'Part VIII-Threshold Criteria'!Q96</f>
        <v>0</v>
      </c>
    </row>
    <row r="1006" spans="1:17">
      <c r="A1006" s="953"/>
      <c r="B1006" s="1057"/>
      <c r="C1006" s="942" t="s">
        <v>1860</v>
      </c>
      <c r="D1006" s="582" t="s">
        <v>3524</v>
      </c>
      <c r="E1006" s="582"/>
      <c r="F1006" s="582"/>
      <c r="G1006" s="582"/>
      <c r="H1006" s="582"/>
      <c r="I1006" s="582"/>
      <c r="J1006" s="582"/>
      <c r="K1006" s="582"/>
      <c r="L1006" s="582"/>
      <c r="M1006" s="582"/>
      <c r="O1006" s="942" t="s">
        <v>1860</v>
      </c>
      <c r="P1006" s="1122">
        <f>'Part VIII-Threshold Criteria'!P97</f>
        <v>0</v>
      </c>
      <c r="Q1006" s="1122">
        <f>'Part VIII-Threshold Criteria'!Q97</f>
        <v>0</v>
      </c>
    </row>
    <row r="1007" spans="1:17">
      <c r="A1007" s="953"/>
      <c r="B1007" s="1057"/>
      <c r="C1007" s="954" t="s">
        <v>1861</v>
      </c>
      <c r="D1007" s="582" t="s">
        <v>3523</v>
      </c>
      <c r="E1007" s="582"/>
      <c r="F1007" s="582"/>
      <c r="G1007" s="582"/>
      <c r="H1007" s="582"/>
      <c r="I1007" s="582"/>
      <c r="J1007" s="582"/>
      <c r="K1007" s="582"/>
      <c r="L1007" s="582"/>
      <c r="M1007" s="582"/>
      <c r="O1007" s="954" t="s">
        <v>1861</v>
      </c>
      <c r="P1007" s="1122">
        <f>'Part VIII-Threshold Criteria'!P98</f>
        <v>0</v>
      </c>
      <c r="Q1007" s="1122">
        <f>'Part VIII-Threshold Criteria'!Q98</f>
        <v>0</v>
      </c>
    </row>
    <row r="1008" spans="1:17">
      <c r="A1008" s="953"/>
      <c r="B1008" s="955"/>
      <c r="C1008" s="954" t="s">
        <v>2521</v>
      </c>
      <c r="D1008" s="1574" t="s">
        <v>2918</v>
      </c>
      <c r="E1008" s="1574"/>
      <c r="F1008" s="1574"/>
      <c r="G1008" s="1574"/>
      <c r="H1008" s="1574"/>
      <c r="I1008" s="1574"/>
      <c r="J1008" s="1574"/>
      <c r="K1008" s="1574"/>
      <c r="L1008" s="1574"/>
      <c r="M1008" s="1574"/>
      <c r="N1008" s="1574"/>
      <c r="O1008" s="954" t="s">
        <v>2521</v>
      </c>
      <c r="P1008" s="1122">
        <f>'Part VIII-Threshold Criteria'!P99</f>
        <v>0</v>
      </c>
      <c r="Q1008" s="1122">
        <f>'Part VIII-Threshold Criteria'!Q99</f>
        <v>0</v>
      </c>
    </row>
    <row r="1009" spans="1:17">
      <c r="B1009" s="943" t="s">
        <v>799</v>
      </c>
      <c r="C1009" s="582" t="s">
        <v>149</v>
      </c>
      <c r="D1009" s="582"/>
      <c r="E1009" s="582"/>
      <c r="F1009" s="582"/>
      <c r="G1009" s="582"/>
      <c r="H1009" s="582"/>
      <c r="I1009" s="582"/>
      <c r="J1009" s="582"/>
      <c r="K1009" s="582"/>
      <c r="L1009" s="582"/>
      <c r="M1009" s="582"/>
      <c r="O1009" s="942" t="s">
        <v>799</v>
      </c>
      <c r="P1009" s="1122">
        <f>'Part VIII-Threshold Criteria'!P100</f>
        <v>0</v>
      </c>
      <c r="Q1009" s="1122">
        <f>'Part VIII-Threshold Criteria'!Q100</f>
        <v>0</v>
      </c>
    </row>
    <row r="1010" spans="1:17">
      <c r="B1010" s="943" t="s">
        <v>2254</v>
      </c>
      <c r="C1010" s="582" t="s">
        <v>1522</v>
      </c>
      <c r="D1010" s="582"/>
      <c r="E1010" s="582"/>
      <c r="G1010" s="582"/>
      <c r="I1010" s="582"/>
      <c r="K1010" s="582"/>
      <c r="L1010" s="1081"/>
      <c r="M1010" s="1081"/>
      <c r="N1010" s="1081"/>
      <c r="O1010" s="1081"/>
      <c r="P1010" s="1081"/>
      <c r="Q1010" s="1081"/>
    </row>
    <row r="1011" spans="1:17">
      <c r="B1011" s="943"/>
      <c r="C1011" s="942" t="s">
        <v>1859</v>
      </c>
      <c r="D1011" s="582" t="s">
        <v>1523</v>
      </c>
      <c r="E1011" s="582"/>
      <c r="F1011" s="582"/>
      <c r="G1011" s="582"/>
      <c r="H1011" s="582"/>
      <c r="I1011" s="582"/>
      <c r="J1011" s="582"/>
      <c r="K1011" s="582"/>
      <c r="L1011" s="1081"/>
      <c r="M1011" s="1081"/>
      <c r="O1011" s="942" t="s">
        <v>1859</v>
      </c>
      <c r="P1011" s="1122">
        <f>'Part VIII-Threshold Criteria'!P102</f>
        <v>0</v>
      </c>
      <c r="Q1011" s="1122">
        <f>'Part VIII-Threshold Criteria'!Q102</f>
        <v>0</v>
      </c>
    </row>
    <row r="1012" spans="1:17">
      <c r="B1012" s="943"/>
      <c r="C1012" s="942" t="s">
        <v>1860</v>
      </c>
      <c r="D1012" s="582" t="s">
        <v>1524</v>
      </c>
      <c r="E1012" s="582"/>
      <c r="F1012" s="582"/>
      <c r="G1012" s="582"/>
      <c r="H1012" s="582"/>
      <c r="I1012" s="582"/>
      <c r="J1012" s="582"/>
      <c r="K1012" s="582"/>
      <c r="L1012" s="1081"/>
      <c r="M1012" s="1081"/>
      <c r="O1012" s="942" t="s">
        <v>1860</v>
      </c>
      <c r="P1012" s="1122">
        <f>'Part VIII-Threshold Criteria'!P103</f>
        <v>0</v>
      </c>
      <c r="Q1012" s="1122">
        <f>'Part VIII-Threshold Criteria'!Q103</f>
        <v>0</v>
      </c>
    </row>
    <row r="1013" spans="1:17">
      <c r="B1013" s="943"/>
      <c r="C1013" s="942" t="s">
        <v>1861</v>
      </c>
      <c r="D1013" s="582" t="s">
        <v>1525</v>
      </c>
      <c r="E1013" s="582"/>
      <c r="F1013" s="582"/>
      <c r="G1013" s="582"/>
      <c r="H1013" s="582"/>
      <c r="I1013" s="582"/>
      <c r="J1013" s="582"/>
      <c r="K1013" s="582"/>
      <c r="L1013" s="1081"/>
      <c r="M1013" s="1081"/>
      <c r="O1013" s="942" t="s">
        <v>1861</v>
      </c>
      <c r="P1013" s="1122">
        <f>'Part VIII-Threshold Criteria'!P104</f>
        <v>0</v>
      </c>
      <c r="Q1013" s="1122">
        <f>'Part VIII-Threshold Criteria'!Q104</f>
        <v>0</v>
      </c>
    </row>
    <row r="1014" spans="1:17">
      <c r="B1014" s="952" t="s">
        <v>1996</v>
      </c>
      <c r="D1014" s="952"/>
      <c r="E1014" s="952"/>
      <c r="F1014" s="952"/>
      <c r="G1014" s="952"/>
      <c r="H1014" s="1081"/>
      <c r="I1014" s="1057"/>
      <c r="J1014" s="1057"/>
      <c r="K1014" s="1057"/>
      <c r="L1014" s="1068"/>
      <c r="M1014" s="1068"/>
      <c r="N1014" s="1068"/>
      <c r="O1014" s="1068"/>
      <c r="P1014" s="1068"/>
      <c r="Q1014" s="1068"/>
    </row>
    <row r="1015" spans="1:17">
      <c r="A1015" s="1574" t="str">
        <f>'Part VIII-Threshold Criteria'!A106</f>
        <v>The site is owned by Decatur Housing Authority which will retain ownership and transfer control via a ground lease.  The ground lease for this project is $1 per year for not less than 45 years reflected in the Option to Ground Lease in Tab 8.</v>
      </c>
      <c r="B1015" s="1574"/>
      <c r="C1015" s="1574"/>
      <c r="D1015" s="1574"/>
      <c r="E1015" s="1574"/>
      <c r="F1015" s="1574"/>
      <c r="G1015" s="1574"/>
      <c r="H1015" s="1574"/>
      <c r="I1015" s="1574"/>
      <c r="J1015" s="1574"/>
      <c r="K1015" s="1574"/>
      <c r="L1015" s="1574"/>
      <c r="M1015" s="1574"/>
      <c r="N1015" s="1574"/>
      <c r="O1015" s="1574"/>
      <c r="P1015" s="1574"/>
      <c r="Q1015" s="1574"/>
    </row>
    <row r="1016" spans="1:17">
      <c r="B1016" s="945" t="s">
        <v>1997</v>
      </c>
      <c r="C1016" s="946"/>
      <c r="D1016" s="1063"/>
      <c r="E1016" s="1063"/>
      <c r="F1016" s="1063"/>
      <c r="G1016" s="1063"/>
      <c r="H1016" s="1063"/>
      <c r="I1016" s="1063"/>
      <c r="J1016" s="1063"/>
      <c r="K1016" s="1063"/>
      <c r="L1016" s="1063"/>
      <c r="M1016" s="1063"/>
      <c r="N1016" s="1063"/>
      <c r="O1016" s="1063"/>
      <c r="P1016" s="1063"/>
      <c r="Q1016" s="1063"/>
    </row>
    <row r="1017" spans="1:17">
      <c r="A1017" s="1581">
        <f>'Part VIII-Threshold Criteria'!A108</f>
        <v>0</v>
      </c>
      <c r="B1017" s="1581"/>
      <c r="C1017" s="1581"/>
      <c r="D1017" s="1581"/>
      <c r="E1017" s="1581"/>
      <c r="F1017" s="1581"/>
      <c r="G1017" s="1581"/>
      <c r="H1017" s="1581"/>
      <c r="I1017" s="1581"/>
      <c r="J1017" s="1581"/>
      <c r="K1017" s="1581"/>
      <c r="L1017" s="1581"/>
      <c r="M1017" s="1581"/>
      <c r="N1017" s="1581"/>
      <c r="O1017" s="1581"/>
      <c r="P1017" s="1581"/>
      <c r="Q1017" s="1581"/>
    </row>
    <row r="1018" spans="1:17">
      <c r="A1018" s="1068"/>
      <c r="B1018" s="1057"/>
      <c r="C1018" s="1063"/>
      <c r="D1018" s="1063"/>
      <c r="E1018" s="1063"/>
      <c r="F1018" s="1063"/>
      <c r="G1018" s="1063"/>
      <c r="H1018" s="1063"/>
      <c r="I1018" s="1063"/>
      <c r="J1018" s="1063"/>
      <c r="K1018" s="1063"/>
      <c r="L1018" s="1063"/>
      <c r="M1018" s="1063"/>
      <c r="N1018" s="1063"/>
      <c r="O1018" s="1063"/>
      <c r="P1018" s="1063"/>
      <c r="Q1018" s="1068"/>
    </row>
    <row r="1019" spans="1:17">
      <c r="A1019" s="1125">
        <v>7</v>
      </c>
      <c r="B1019" s="1125" t="s">
        <v>2854</v>
      </c>
      <c r="C1019" s="1081"/>
      <c r="D1019" s="1063"/>
      <c r="E1019" s="1063"/>
      <c r="F1019" s="1063"/>
      <c r="G1019" s="1063"/>
      <c r="H1019" s="1063"/>
      <c r="I1019" s="1063"/>
      <c r="J1019" s="1063"/>
      <c r="K1019" s="1063"/>
      <c r="L1019" s="1063"/>
      <c r="M1019" s="1063"/>
      <c r="O1019" s="940" t="s">
        <v>1998</v>
      </c>
      <c r="P1019" s="1582">
        <f>'Part VIII-Threshold Criteria'!P110</f>
        <v>0</v>
      </c>
      <c r="Q1019" s="1582"/>
    </row>
    <row r="1021" spans="1:17">
      <c r="B1021" s="943" t="s">
        <v>2119</v>
      </c>
      <c r="C1021" s="582" t="s">
        <v>2916</v>
      </c>
      <c r="D1021" s="1073"/>
      <c r="E1021" s="1073"/>
      <c r="F1021" s="1073"/>
      <c r="G1021" s="1073"/>
      <c r="H1021" s="1073"/>
      <c r="I1021" s="581"/>
      <c r="J1021" s="581"/>
      <c r="K1021" s="581"/>
      <c r="L1021" s="942" t="s">
        <v>2119</v>
      </c>
      <c r="M1021" s="1586" t="str">
        <f>'Part VIII-Threshold Criteria'!M112</f>
        <v>ECS Southeast, LLC</v>
      </c>
      <c r="N1021" s="1586"/>
      <c r="O1021" s="1586"/>
      <c r="P1021" s="1586"/>
      <c r="Q1021" s="1122">
        <f>'Part VIII-Threshold Criteria'!Q112</f>
        <v>0</v>
      </c>
    </row>
    <row r="1022" spans="1:17">
      <c r="B1022" s="943" t="s">
        <v>2122</v>
      </c>
      <c r="C1022" s="582" t="s">
        <v>1645</v>
      </c>
      <c r="D1022" s="1073"/>
      <c r="E1022" s="1073"/>
      <c r="F1022" s="1073"/>
      <c r="G1022" s="1073"/>
      <c r="H1022" s="1073"/>
      <c r="I1022" s="581"/>
      <c r="J1022" s="581"/>
      <c r="K1022" s="1073"/>
      <c r="L1022" s="1073"/>
      <c r="M1022" s="1060"/>
      <c r="O1022" s="942" t="s">
        <v>2122</v>
      </c>
      <c r="P1022" s="1122" t="str">
        <f>'Part VIII-Threshold Criteria'!P113</f>
        <v>No</v>
      </c>
      <c r="Q1022" s="1122">
        <f>'Part VIII-Threshold Criteria'!Q113</f>
        <v>0</v>
      </c>
    </row>
    <row r="1023" spans="1:17">
      <c r="B1023" s="943" t="s">
        <v>799</v>
      </c>
      <c r="C1023" s="582" t="s">
        <v>157</v>
      </c>
      <c r="D1023" s="1073"/>
      <c r="E1023" s="1073"/>
      <c r="F1023" s="1073"/>
      <c r="G1023" s="1073"/>
      <c r="H1023" s="1073"/>
      <c r="I1023" s="581"/>
      <c r="J1023" s="581"/>
      <c r="K1023" s="1073"/>
      <c r="L1023" s="1060"/>
      <c r="M1023" s="1060"/>
      <c r="O1023" s="942" t="s">
        <v>799</v>
      </c>
      <c r="P1023" s="1122" t="str">
        <f>'Part VIII-Threshold Criteria'!P114</f>
        <v>Yes</v>
      </c>
      <c r="Q1023" s="1122">
        <f>'Part VIII-Threshold Criteria'!Q114</f>
        <v>0</v>
      </c>
    </row>
    <row r="1024" spans="1:17">
      <c r="B1024" s="943"/>
      <c r="C1024" s="942" t="s">
        <v>1859</v>
      </c>
      <c r="D1024" s="582" t="s">
        <v>2917</v>
      </c>
      <c r="E1024" s="1073"/>
      <c r="F1024" s="1073"/>
      <c r="G1024" s="1073"/>
      <c r="H1024" s="1073"/>
      <c r="I1024" s="581"/>
      <c r="J1024" s="581"/>
      <c r="K1024" s="1073"/>
      <c r="L1024" s="942" t="s">
        <v>1859</v>
      </c>
      <c r="M1024" s="1586" t="str">
        <f>'Part VIII-Threshold Criteria'!M115</f>
        <v>ECS Southeast, LLC</v>
      </c>
      <c r="N1024" s="1586"/>
      <c r="O1024" s="1586"/>
      <c r="P1024" s="1586"/>
      <c r="Q1024" s="1122">
        <f>'Part VIII-Threshold Criteria'!Q115</f>
        <v>0</v>
      </c>
    </row>
    <row r="1025" spans="2:17">
      <c r="B1025" s="949"/>
      <c r="C1025" s="942" t="s">
        <v>1860</v>
      </c>
      <c r="D1025" s="582" t="s">
        <v>2788</v>
      </c>
      <c r="E1025" s="581"/>
      <c r="F1025" s="581"/>
      <c r="G1025" s="581"/>
      <c r="H1025" s="582"/>
      <c r="I1025" s="581"/>
      <c r="J1025" s="581"/>
      <c r="K1025" s="1073"/>
      <c r="L1025" s="1060"/>
      <c r="M1025" s="1060"/>
      <c r="O1025" s="942" t="s">
        <v>1860</v>
      </c>
      <c r="P1025" s="1122">
        <f>'Part VIII-Threshold Criteria'!P116</f>
        <v>55.587899999999998</v>
      </c>
      <c r="Q1025" s="1122">
        <f>'Part VIII-Threshold Criteria'!Q116</f>
        <v>0</v>
      </c>
    </row>
    <row r="1026" spans="2:17">
      <c r="B1026" s="949"/>
      <c r="C1026" s="942" t="s">
        <v>1861</v>
      </c>
      <c r="D1026" s="582" t="s">
        <v>1471</v>
      </c>
      <c r="E1026" s="581"/>
      <c r="F1026" s="581"/>
      <c r="G1026" s="581"/>
      <c r="H1026" s="582"/>
      <c r="I1026" s="581"/>
      <c r="J1026" s="581"/>
      <c r="K1026" s="1073"/>
      <c r="L1026" s="1060"/>
      <c r="M1026" s="1060"/>
      <c r="N1026" s="1060"/>
      <c r="O1026" s="1060"/>
    </row>
    <row r="1027" spans="2:17">
      <c r="B1027" s="1068"/>
      <c r="C1027" s="942"/>
      <c r="D1027" s="1583" t="str">
        <f>'Part VIII-Threshold Criteria'!D118</f>
        <v>The noise level is well below DCA's action level.</v>
      </c>
      <c r="E1027" s="1583"/>
      <c r="F1027" s="1583"/>
      <c r="G1027" s="1583"/>
      <c r="H1027" s="1583"/>
      <c r="I1027" s="1583"/>
      <c r="J1027" s="1583"/>
      <c r="K1027" s="1583"/>
      <c r="L1027" s="1583"/>
      <c r="M1027" s="1583"/>
      <c r="N1027" s="1583"/>
      <c r="O1027" s="1583"/>
      <c r="P1027" s="1583"/>
      <c r="Q1027" s="1583"/>
    </row>
    <row r="1028" spans="2:17">
      <c r="B1028" s="943" t="s">
        <v>2254</v>
      </c>
      <c r="C1028" s="582" t="s">
        <v>1340</v>
      </c>
      <c r="D1028" s="1073"/>
      <c r="E1028" s="1073"/>
      <c r="F1028" s="1073"/>
      <c r="G1028" s="1073"/>
      <c r="H1028" s="1073"/>
      <c r="I1028" s="581"/>
      <c r="J1028" s="581"/>
      <c r="K1028" s="1073"/>
      <c r="L1028" s="1060"/>
      <c r="M1028" s="1060"/>
      <c r="N1028" s="1060"/>
      <c r="O1028" s="942" t="s">
        <v>2254</v>
      </c>
    </row>
    <row r="1029" spans="2:17">
      <c r="B1029" s="943"/>
      <c r="C1029" s="942" t="s">
        <v>1859</v>
      </c>
      <c r="D1029" s="582" t="s">
        <v>155</v>
      </c>
      <c r="E1029" s="1073"/>
      <c r="F1029" s="1073"/>
      <c r="G1029" s="1073"/>
      <c r="H1029" s="1073"/>
      <c r="I1029" s="581"/>
      <c r="J1029" s="581"/>
      <c r="K1029" s="1073"/>
      <c r="L1029" s="1060"/>
      <c r="M1029" s="1060"/>
      <c r="O1029" s="942" t="s">
        <v>1859</v>
      </c>
      <c r="P1029" s="1122" t="str">
        <f>'Part VIII-Threshold Criteria'!P120</f>
        <v>No</v>
      </c>
      <c r="Q1029" s="1122">
        <f>'Part VIII-Threshold Criteria'!Q120</f>
        <v>0</v>
      </c>
    </row>
    <row r="1030" spans="2:17">
      <c r="B1030" s="943"/>
      <c r="C1030" s="942" t="s">
        <v>1860</v>
      </c>
      <c r="D1030" s="582" t="s">
        <v>1341</v>
      </c>
      <c r="E1030" s="1073"/>
      <c r="F1030" s="1073"/>
      <c r="G1030" s="1073"/>
      <c r="H1030" s="581"/>
      <c r="I1030" s="581"/>
      <c r="J1030" s="581"/>
      <c r="K1030" s="1073"/>
      <c r="L1030" s="1060"/>
      <c r="M1030" s="1060"/>
      <c r="O1030" s="942" t="s">
        <v>1860</v>
      </c>
      <c r="P1030" s="1122" t="str">
        <f>'Part VIII-Threshold Criteria'!P121</f>
        <v>Yes</v>
      </c>
      <c r="Q1030" s="1122">
        <f>'Part VIII-Threshold Criteria'!Q121</f>
        <v>0</v>
      </c>
    </row>
    <row r="1031" spans="2:17">
      <c r="B1031" s="943"/>
      <c r="C1031" s="942"/>
      <c r="D1031" s="582" t="s">
        <v>2829</v>
      </c>
      <c r="E1031" s="956" t="s">
        <v>2601</v>
      </c>
      <c r="F1031" s="582" t="s">
        <v>2830</v>
      </c>
      <c r="G1031" s="581"/>
      <c r="H1031" s="582"/>
      <c r="I1031" s="581"/>
      <c r="J1031" s="581"/>
      <c r="K1031" s="1073"/>
      <c r="L1031" s="1060"/>
      <c r="M1031" s="1060"/>
      <c r="O1031" s="956" t="s">
        <v>2601</v>
      </c>
      <c r="P1031" s="1050">
        <f>'Part VIII-Threshold Criteria'!P122</f>
        <v>1.4999999999999999E-2</v>
      </c>
      <c r="Q1031" s="1050">
        <f>'Part VIII-Threshold Criteria'!Q122</f>
        <v>0</v>
      </c>
    </row>
    <row r="1032" spans="2:17">
      <c r="B1032" s="943"/>
      <c r="C1032" s="942"/>
      <c r="E1032" s="956" t="s">
        <v>2602</v>
      </c>
      <c r="F1032" s="582" t="s">
        <v>2831</v>
      </c>
      <c r="G1032" s="581"/>
      <c r="H1032" s="582"/>
      <c r="I1032" s="581"/>
      <c r="J1032" s="581"/>
      <c r="K1032" s="1073"/>
      <c r="L1032" s="1060"/>
      <c r="M1032" s="1060"/>
      <c r="O1032" s="956" t="s">
        <v>2602</v>
      </c>
      <c r="P1032" s="1122" t="str">
        <f>'Part VIII-Threshold Criteria'!P123</f>
        <v>No</v>
      </c>
      <c r="Q1032" s="1122">
        <f>'Part VIII-Threshold Criteria'!Q123</f>
        <v>0</v>
      </c>
    </row>
    <row r="1033" spans="2:17">
      <c r="B1033" s="943"/>
      <c r="C1033" s="942"/>
      <c r="E1033" s="956" t="s">
        <v>2603</v>
      </c>
      <c r="F1033" s="582" t="s">
        <v>2832</v>
      </c>
      <c r="G1033" s="581"/>
      <c r="H1033" s="582"/>
      <c r="I1033" s="581"/>
      <c r="J1033" s="581"/>
      <c r="K1033" s="1073"/>
      <c r="L1033" s="1060"/>
      <c r="M1033" s="1060"/>
      <c r="O1033" s="956" t="s">
        <v>2603</v>
      </c>
      <c r="P1033" s="1122" t="str">
        <f>'Part VIII-Threshold Criteria'!P124</f>
        <v>Yes</v>
      </c>
      <c r="Q1033" s="1122">
        <f>'Part VIII-Threshold Criteria'!Q124</f>
        <v>0</v>
      </c>
    </row>
    <row r="1034" spans="2:17">
      <c r="B1034" s="943"/>
      <c r="C1034" s="942" t="s">
        <v>1861</v>
      </c>
      <c r="D1034" s="582" t="s">
        <v>1342</v>
      </c>
      <c r="E1034" s="1073"/>
      <c r="F1034" s="1073"/>
      <c r="G1034" s="1073"/>
      <c r="H1034" s="582"/>
      <c r="I1034" s="581"/>
      <c r="J1034" s="581"/>
      <c r="K1034" s="1073"/>
      <c r="L1034" s="1060"/>
      <c r="M1034" s="1060"/>
      <c r="O1034" s="942" t="s">
        <v>1861</v>
      </c>
      <c r="P1034" s="1122" t="str">
        <f>'Part VIII-Threshold Criteria'!P125</f>
        <v>No</v>
      </c>
      <c r="Q1034" s="1122">
        <f>'Part VIII-Threshold Criteria'!Q125</f>
        <v>0</v>
      </c>
    </row>
    <row r="1035" spans="2:17">
      <c r="B1035" s="943"/>
      <c r="C1035" s="942"/>
      <c r="D1035" s="582" t="s">
        <v>2829</v>
      </c>
      <c r="E1035" s="956" t="s">
        <v>2601</v>
      </c>
      <c r="F1035" s="582" t="s">
        <v>2833</v>
      </c>
      <c r="G1035" s="581"/>
      <c r="H1035" s="582"/>
      <c r="I1035" s="581"/>
      <c r="J1035" s="581"/>
      <c r="K1035" s="1073"/>
      <c r="L1035" s="1060"/>
      <c r="O1035" s="956" t="s">
        <v>2601</v>
      </c>
      <c r="P1035" s="1050">
        <f>'Part VIII-Threshold Criteria'!P126</f>
        <v>0</v>
      </c>
      <c r="Q1035" s="1050">
        <f>'Part VIII-Threshold Criteria'!Q126</f>
        <v>0</v>
      </c>
    </row>
    <row r="1036" spans="2:17">
      <c r="B1036" s="943"/>
      <c r="C1036" s="942"/>
      <c r="E1036" s="956" t="s">
        <v>2602</v>
      </c>
      <c r="F1036" s="582" t="s">
        <v>2834</v>
      </c>
      <c r="G1036" s="581"/>
      <c r="H1036" s="582"/>
      <c r="I1036" s="581"/>
      <c r="J1036" s="581"/>
      <c r="O1036" s="956" t="s">
        <v>2602</v>
      </c>
      <c r="P1036" s="1122">
        <f>'Part VIII-Threshold Criteria'!P127</f>
        <v>0</v>
      </c>
      <c r="Q1036" s="1122">
        <f>'Part VIII-Threshold Criteria'!Q127</f>
        <v>0</v>
      </c>
    </row>
    <row r="1037" spans="2:17">
      <c r="B1037" s="943"/>
      <c r="C1037" s="942"/>
      <c r="E1037" s="956" t="s">
        <v>2603</v>
      </c>
      <c r="F1037" s="582" t="s">
        <v>2832</v>
      </c>
      <c r="G1037" s="581"/>
      <c r="H1037" s="582"/>
      <c r="I1037" s="581"/>
      <c r="J1037" s="581"/>
      <c r="O1037" s="956" t="s">
        <v>2603</v>
      </c>
      <c r="P1037" s="1122">
        <f>'Part VIII-Threshold Criteria'!P128</f>
        <v>0</v>
      </c>
      <c r="Q1037" s="1122">
        <f>'Part VIII-Threshold Criteria'!Q128</f>
        <v>0</v>
      </c>
    </row>
    <row r="1038" spans="2:17">
      <c r="B1038" s="582"/>
      <c r="C1038" s="942" t="s">
        <v>2521</v>
      </c>
      <c r="D1038" s="582" t="s">
        <v>2835</v>
      </c>
      <c r="E1038" s="1073"/>
      <c r="F1038" s="1073"/>
      <c r="G1038" s="1073"/>
      <c r="H1038" s="1073"/>
      <c r="I1038" s="581"/>
      <c r="J1038" s="581"/>
      <c r="O1038" s="942" t="s">
        <v>2521</v>
      </c>
      <c r="P1038" s="1122" t="str">
        <f>'Part VIII-Threshold Criteria'!P129</f>
        <v>Yes</v>
      </c>
      <c r="Q1038" s="1122">
        <f>'Part VIII-Threshold Criteria'!Q129</f>
        <v>0</v>
      </c>
    </row>
    <row r="1039" spans="2:17">
      <c r="B1039" s="943" t="s">
        <v>1857</v>
      </c>
      <c r="C1039" s="1081" t="s">
        <v>2579</v>
      </c>
      <c r="D1039" s="1073"/>
      <c r="E1039" s="1073"/>
      <c r="F1039" s="1073"/>
      <c r="G1039" s="1073"/>
      <c r="H1039" s="1073"/>
      <c r="I1039" s="581"/>
      <c r="J1039" s="581"/>
      <c r="K1039" s="1073"/>
      <c r="L1039" s="1060"/>
      <c r="M1039" s="1060"/>
      <c r="N1039" s="1060"/>
      <c r="O1039" s="1060"/>
      <c r="P1039" s="1060"/>
      <c r="Q1039" s="1060"/>
    </row>
    <row r="1040" spans="2:17">
      <c r="C1040" s="942" t="s">
        <v>1859</v>
      </c>
      <c r="D1040" s="582" t="s">
        <v>2665</v>
      </c>
      <c r="E1040" s="1073"/>
      <c r="F1040" s="1122" t="str">
        <f>'Part VIII-Threshold Criteria'!F131</f>
        <v>Yes</v>
      </c>
      <c r="G1040" s="1122">
        <f>'Part VIII-Threshold Criteria'!G131</f>
        <v>0</v>
      </c>
      <c r="H1040" s="942" t="s">
        <v>1657</v>
      </c>
      <c r="I1040" s="565" t="s">
        <v>2837</v>
      </c>
      <c r="L1040" s="1122" t="str">
        <f>'Part VIII-Threshold Criteria'!L131</f>
        <v>No</v>
      </c>
      <c r="M1040" s="1122">
        <f>'Part VIII-Threshold Criteria'!M131</f>
        <v>0</v>
      </c>
      <c r="N1040" s="942" t="s">
        <v>545</v>
      </c>
      <c r="O1040" s="582" t="s">
        <v>1660</v>
      </c>
      <c r="P1040" s="1122" t="str">
        <f>'Part VIII-Threshold Criteria'!P131</f>
        <v>No</v>
      </c>
      <c r="Q1040" s="1122">
        <f>'Part VIII-Threshold Criteria'!Q131</f>
        <v>0</v>
      </c>
    </row>
    <row r="1041" spans="1:17">
      <c r="B1041" s="582"/>
      <c r="C1041" s="942" t="s">
        <v>1860</v>
      </c>
      <c r="D1041" s="582" t="s">
        <v>3262</v>
      </c>
      <c r="E1041" s="1073"/>
      <c r="F1041" s="1122" t="str">
        <f>'Part VIII-Threshold Criteria'!F132</f>
        <v>No</v>
      </c>
      <c r="G1041" s="1122">
        <f>'Part VIII-Threshold Criteria'!G132</f>
        <v>0</v>
      </c>
      <c r="H1041" s="942" t="s">
        <v>1658</v>
      </c>
      <c r="I1041" s="565" t="s">
        <v>2838</v>
      </c>
      <c r="L1041" s="1122" t="str">
        <f>'Part VIII-Threshold Criteria'!L132</f>
        <v>No</v>
      </c>
      <c r="M1041" s="1122">
        <f>'Part VIII-Threshold Criteria'!M132</f>
        <v>0</v>
      </c>
      <c r="N1041" s="942" t="s">
        <v>546</v>
      </c>
      <c r="O1041" s="582" t="s">
        <v>1659</v>
      </c>
      <c r="P1041" s="1122" t="str">
        <f>'Part VIII-Threshold Criteria'!P132</f>
        <v>No</v>
      </c>
      <c r="Q1041" s="1122">
        <f>'Part VIII-Threshold Criteria'!Q132</f>
        <v>0</v>
      </c>
    </row>
    <row r="1042" spans="1:17">
      <c r="B1042" s="582"/>
      <c r="C1042" s="942" t="s">
        <v>1861</v>
      </c>
      <c r="D1042" s="582" t="s">
        <v>2836</v>
      </c>
      <c r="E1042" s="1073"/>
      <c r="F1042" s="1122" t="str">
        <f>'Part VIII-Threshold Criteria'!F133</f>
        <v>No</v>
      </c>
      <c r="G1042" s="1122">
        <f>'Part VIII-Threshold Criteria'!G133</f>
        <v>0</v>
      </c>
      <c r="H1042" s="942" t="s">
        <v>101</v>
      </c>
      <c r="I1042" s="565" t="s">
        <v>3263</v>
      </c>
      <c r="L1042" s="1122" t="str">
        <f>'Part VIII-Threshold Criteria'!L133</f>
        <v>No</v>
      </c>
      <c r="M1042" s="1122">
        <f>'Part VIII-Threshold Criteria'!M133</f>
        <v>0</v>
      </c>
      <c r="N1042" s="942" t="s">
        <v>3265</v>
      </c>
      <c r="O1042" s="582" t="s">
        <v>1661</v>
      </c>
      <c r="P1042" s="1122" t="str">
        <f>'Part VIII-Threshold Criteria'!P133</f>
        <v>No</v>
      </c>
      <c r="Q1042" s="1122">
        <f>'Part VIII-Threshold Criteria'!Q133</f>
        <v>0</v>
      </c>
    </row>
    <row r="1043" spans="1:17">
      <c r="B1043" s="582"/>
      <c r="C1043" s="942" t="s">
        <v>2521</v>
      </c>
      <c r="D1043" s="582" t="s">
        <v>3266</v>
      </c>
      <c r="E1043" s="1073"/>
      <c r="F1043" s="1122" t="str">
        <f>'Part VIII-Threshold Criteria'!F134</f>
        <v>No</v>
      </c>
      <c r="G1043" s="1122">
        <f>'Part VIII-Threshold Criteria'!G134</f>
        <v>0</v>
      </c>
      <c r="H1043" s="942" t="s">
        <v>544</v>
      </c>
      <c r="I1043" s="582" t="s">
        <v>3261</v>
      </c>
      <c r="L1043" s="1122" t="str">
        <f>'Part VIII-Threshold Criteria'!L134</f>
        <v>Yes</v>
      </c>
      <c r="M1043" s="1122">
        <f>'Part VIII-Threshold Criteria'!M134</f>
        <v>0</v>
      </c>
      <c r="O1043" s="942"/>
    </row>
    <row r="1044" spans="1:17">
      <c r="B1044" s="582"/>
      <c r="C1044" s="942" t="s">
        <v>3560</v>
      </c>
      <c r="D1044" s="582" t="s">
        <v>3264</v>
      </c>
      <c r="E1044" s="1073"/>
      <c r="F1044" s="1073"/>
      <c r="G1044" s="1073"/>
      <c r="H1044" s="1073"/>
      <c r="I1044" s="1073"/>
      <c r="J1044" s="1073"/>
      <c r="K1044" s="1073"/>
      <c r="L1044" s="1073"/>
      <c r="M1044" s="582"/>
      <c r="O1044" s="942"/>
      <c r="P1044" s="942"/>
    </row>
    <row r="1045" spans="1:17">
      <c r="B1045" s="582"/>
      <c r="D1045" s="1586">
        <f>'Part VIII-Threshold Criteria'!D136</f>
        <v>0</v>
      </c>
      <c r="E1045" s="1586"/>
      <c r="F1045" s="1586"/>
      <c r="G1045" s="1586"/>
      <c r="H1045" s="1586"/>
      <c r="I1045" s="1586"/>
      <c r="J1045" s="1586"/>
      <c r="K1045" s="1586"/>
      <c r="L1045" s="1586"/>
      <c r="M1045" s="1586"/>
      <c r="N1045" s="1586"/>
      <c r="O1045" s="1586"/>
      <c r="P1045" s="1586"/>
      <c r="Q1045" s="1122">
        <f>'Part VIII-Threshold Criteria'!Q136</f>
        <v>0</v>
      </c>
    </row>
    <row r="1046" spans="1:17">
      <c r="B1046" s="943" t="s">
        <v>1858</v>
      </c>
      <c r="C1046" s="582" t="s">
        <v>1370</v>
      </c>
      <c r="D1046" s="1073"/>
      <c r="E1046" s="1073"/>
      <c r="F1046" s="1073"/>
      <c r="G1046" s="1073"/>
      <c r="H1046" s="1073"/>
      <c r="I1046" s="581"/>
      <c r="J1046" s="581"/>
      <c r="K1046" s="1073"/>
      <c r="L1046" s="1073"/>
      <c r="M1046" s="1060"/>
      <c r="O1046" s="942" t="s">
        <v>1858</v>
      </c>
      <c r="P1046" s="1122" t="str">
        <f>'Part VIII-Threshold Criteria'!P137</f>
        <v>N/A</v>
      </c>
      <c r="Q1046" s="1122">
        <f>'Part VIII-Threshold Criteria'!Q137</f>
        <v>0</v>
      </c>
    </row>
    <row r="1047" spans="1:17">
      <c r="A1047" s="953"/>
      <c r="B1047" s="581"/>
      <c r="C1047" s="942" t="s">
        <v>1859</v>
      </c>
      <c r="D1047" s="582" t="s">
        <v>3267</v>
      </c>
      <c r="E1047" s="1073"/>
      <c r="F1047" s="1073"/>
      <c r="G1047" s="1073"/>
      <c r="H1047" s="1073"/>
      <c r="O1047" s="942" t="s">
        <v>1859</v>
      </c>
      <c r="P1047" s="1122" t="str">
        <f>'Part VIII-Threshold Criteria'!P138</f>
        <v>No</v>
      </c>
      <c r="Q1047" s="1122">
        <f>'Part VIII-Threshold Criteria'!Q138</f>
        <v>0</v>
      </c>
    </row>
    <row r="1048" spans="1:17">
      <c r="A1048" s="953"/>
      <c r="B1048" s="1057"/>
      <c r="C1048" s="942" t="s">
        <v>1860</v>
      </c>
      <c r="D1048" s="582" t="s">
        <v>522</v>
      </c>
      <c r="E1048" s="582"/>
      <c r="F1048" s="582"/>
      <c r="G1048" s="582"/>
      <c r="H1048" s="582"/>
      <c r="I1048" s="581"/>
      <c r="J1048" s="581"/>
      <c r="K1048" s="582"/>
      <c r="L1048" s="582"/>
      <c r="M1048" s="582"/>
      <c r="O1048" s="942" t="s">
        <v>1860</v>
      </c>
      <c r="P1048" s="1122" t="str">
        <f>'Part VIII-Threshold Criteria'!P139</f>
        <v>Yes</v>
      </c>
      <c r="Q1048" s="1122">
        <f>'Part VIII-Threshold Criteria'!Q139</f>
        <v>0</v>
      </c>
    </row>
    <row r="1049" spans="1:17">
      <c r="A1049" s="953"/>
      <c r="B1049" s="1057"/>
      <c r="C1049" s="942" t="s">
        <v>1861</v>
      </c>
      <c r="D1049" s="582" t="s">
        <v>727</v>
      </c>
      <c r="E1049" s="582"/>
      <c r="F1049" s="582"/>
      <c r="G1049" s="582"/>
      <c r="H1049" s="582"/>
      <c r="I1049" s="581"/>
      <c r="J1049" s="581"/>
      <c r="K1049" s="582"/>
      <c r="L1049" s="582"/>
      <c r="M1049" s="582"/>
      <c r="O1049" s="942" t="s">
        <v>1861</v>
      </c>
      <c r="P1049" s="1122" t="str">
        <f>'Part VIII-Threshold Criteria'!P140</f>
        <v>No</v>
      </c>
      <c r="Q1049" s="1122">
        <f>'Part VIII-Threshold Criteria'!Q140</f>
        <v>0</v>
      </c>
    </row>
    <row r="1050" spans="1:17">
      <c r="B1050" s="943" t="s">
        <v>2082</v>
      </c>
      <c r="C1050" s="582" t="s">
        <v>1876</v>
      </c>
      <c r="D1050" s="1073"/>
      <c r="E1050" s="1073"/>
      <c r="F1050" s="1073"/>
      <c r="G1050" s="1073"/>
      <c r="H1050" s="1073"/>
      <c r="I1050" s="581"/>
      <c r="J1050" s="581"/>
      <c r="K1050" s="1073"/>
      <c r="L1050" s="1073"/>
      <c r="M1050" s="1060"/>
      <c r="O1050" s="942" t="s">
        <v>2082</v>
      </c>
      <c r="P1050" s="1122" t="str">
        <f>'Part VIII-Threshold Criteria'!P141</f>
        <v>N/A</v>
      </c>
      <c r="Q1050" s="1122">
        <f>'Part VIII-Threshold Criteria'!Q141</f>
        <v>0</v>
      </c>
    </row>
    <row r="1052" spans="1:17">
      <c r="B1052" s="952" t="s">
        <v>1996</v>
      </c>
      <c r="D1052" s="952"/>
      <c r="E1052" s="952"/>
      <c r="F1052" s="952"/>
      <c r="G1052" s="952"/>
      <c r="H1052" s="1081"/>
      <c r="I1052" s="1057"/>
      <c r="J1052" s="1057"/>
      <c r="K1052" s="1057"/>
      <c r="L1052" s="1068"/>
      <c r="M1052" s="1068"/>
      <c r="N1052" s="1068"/>
      <c r="O1052" s="1068"/>
      <c r="P1052" s="1068"/>
      <c r="Q1052" s="1068"/>
    </row>
    <row r="1053" spans="1:17">
      <c r="A1053" s="1574" t="str">
        <f>'Part VIII-Threshold Criteria'!A144</f>
        <v>100-YEAR FLOOD PLAIN &amp; STATE WATERS MITIGATION PLAN - The western property line of the site is the centerline of Peavine Creek, which is a State Water. The creek’s stream bed lies within the AE flood zone (100-year flood zone); however only a small portion (383 square feet or 1.5%) of the usable site is actually in the flood zone. The mitigation plan is a site design with the nearest building being 130 feet away from the edge of the flood plain and with a finished floor elevation that is nearly 10-feet above the flood elevation. Plus, a 75-foot Greenspace along the bank of Peavine Creek will be included that will add protection for the creek while providing an array of amenities for the residents. The amenities within the Greenspace include a large children’s playground, a covered community gathering area, raised bed garden as well as walking trails.  Details on the mitigation plan can be found on the Conceptual Site Development Plan (Tab #16 and electronic document 160100TW1CncptSiteDevPlan.pdf). And, detailed narrative description of the mitigation plan is included in Tab #24 (electronic document 240400TW1Exceptions.pdf).</v>
      </c>
      <c r="B1053" s="1574"/>
      <c r="C1053" s="1574"/>
      <c r="D1053" s="1574"/>
      <c r="E1053" s="1574"/>
      <c r="F1053" s="1574"/>
      <c r="G1053" s="1574"/>
      <c r="H1053" s="1574"/>
      <c r="I1053" s="1574"/>
      <c r="J1053" s="1574"/>
      <c r="K1053" s="1574"/>
      <c r="L1053" s="1574"/>
      <c r="M1053" s="1574"/>
      <c r="N1053" s="1574"/>
      <c r="O1053" s="1574"/>
      <c r="P1053" s="1574"/>
      <c r="Q1053" s="1574"/>
    </row>
    <row r="1054" spans="1:17">
      <c r="B1054" s="945" t="s">
        <v>1997</v>
      </c>
      <c r="C1054" s="946"/>
      <c r="D1054" s="1063"/>
      <c r="E1054" s="1063"/>
      <c r="F1054" s="1063"/>
      <c r="G1054" s="1063"/>
      <c r="H1054" s="1063"/>
      <c r="I1054" s="1063"/>
      <c r="J1054" s="1063"/>
      <c r="K1054" s="1063"/>
      <c r="L1054" s="1063"/>
      <c r="M1054" s="1063"/>
      <c r="N1054" s="1063"/>
      <c r="O1054" s="1063"/>
      <c r="P1054" s="1063"/>
      <c r="Q1054" s="1063"/>
    </row>
    <row r="1055" spans="1:17">
      <c r="A1055" s="1581">
        <f>'Part VIII-Threshold Criteria'!A146</f>
        <v>0</v>
      </c>
      <c r="B1055" s="1581"/>
      <c r="C1055" s="1581"/>
      <c r="D1055" s="1581"/>
      <c r="E1055" s="1581"/>
      <c r="F1055" s="1581"/>
      <c r="G1055" s="1581"/>
      <c r="H1055" s="1581"/>
      <c r="I1055" s="1581"/>
      <c r="J1055" s="1581"/>
      <c r="K1055" s="1581"/>
      <c r="L1055" s="1581"/>
      <c r="M1055" s="1581"/>
      <c r="N1055" s="1581"/>
      <c r="O1055" s="1581"/>
      <c r="P1055" s="1581"/>
      <c r="Q1055" s="1581"/>
    </row>
    <row r="1056" spans="1:17">
      <c r="A1056" s="1068"/>
      <c r="B1056" s="1057"/>
      <c r="C1056" s="1063"/>
      <c r="D1056" s="1063"/>
      <c r="E1056" s="1063"/>
      <c r="F1056" s="1063"/>
      <c r="G1056" s="1063"/>
      <c r="H1056" s="1063"/>
      <c r="I1056" s="1063"/>
      <c r="J1056" s="1063"/>
      <c r="K1056" s="1063"/>
      <c r="L1056" s="1063"/>
      <c r="M1056" s="1063"/>
      <c r="N1056" s="1063"/>
      <c r="O1056" s="1063"/>
      <c r="P1056" s="1063"/>
      <c r="Q1056" s="1068"/>
    </row>
    <row r="1057" spans="1:17">
      <c r="A1057" s="1125">
        <v>8</v>
      </c>
      <c r="B1057" s="1125" t="s">
        <v>2855</v>
      </c>
      <c r="C1057" s="1125"/>
      <c r="D1057" s="1063"/>
      <c r="E1057" s="1063"/>
      <c r="F1057" s="1063"/>
      <c r="G1057" s="1063"/>
      <c r="H1057" s="1063"/>
      <c r="I1057" s="1063"/>
      <c r="J1057" s="1063"/>
      <c r="K1057" s="1063"/>
      <c r="O1057" s="940" t="s">
        <v>1998</v>
      </c>
      <c r="P1057" s="1582">
        <f>'Part VIII-Threshold Criteria'!P148</f>
        <v>0</v>
      </c>
      <c r="Q1057" s="1582"/>
    </row>
    <row r="1058" spans="1:17">
      <c r="B1058" s="943" t="s">
        <v>2119</v>
      </c>
      <c r="C1058" s="582" t="s">
        <v>3260</v>
      </c>
      <c r="D1058" s="582"/>
      <c r="E1058" s="582"/>
      <c r="F1058" s="582"/>
      <c r="G1058" s="582"/>
      <c r="I1058" s="582" t="s">
        <v>2949</v>
      </c>
      <c r="K1058" s="1592">
        <f>'Part VIII-Threshold Criteria'!K149</f>
        <v>42101</v>
      </c>
      <c r="L1058" s="1592"/>
      <c r="N1058" s="582"/>
      <c r="O1058" s="942" t="s">
        <v>2119</v>
      </c>
      <c r="P1058" s="1122" t="str">
        <f>'Part VIII-Threshold Criteria'!P149</f>
        <v>Yes</v>
      </c>
      <c r="Q1058" s="1122">
        <f>'Part VIII-Threshold Criteria'!Q149</f>
        <v>0</v>
      </c>
    </row>
    <row r="1059" spans="1:17">
      <c r="A1059" s="949"/>
      <c r="B1059" s="943" t="s">
        <v>2122</v>
      </c>
      <c r="C1059" s="948" t="s">
        <v>156</v>
      </c>
      <c r="D1059" s="948"/>
      <c r="E1059" s="948"/>
      <c r="F1059" s="948"/>
      <c r="G1059" s="948"/>
      <c r="H1059" s="948"/>
      <c r="M1059" s="942" t="s">
        <v>2122</v>
      </c>
      <c r="N1059" s="1593" t="str">
        <f>'Part VIII-Threshold Criteria'!N150</f>
        <v>Ground lease/Option</v>
      </c>
      <c r="O1059" s="1593"/>
      <c r="P1059" s="1593">
        <f>'Part VIII-Threshold Criteria'!P150</f>
        <v>0</v>
      </c>
      <c r="Q1059" s="1593"/>
    </row>
    <row r="1060" spans="1:17">
      <c r="A1060" s="949"/>
      <c r="B1060" s="943" t="s">
        <v>799</v>
      </c>
      <c r="C1060" s="948" t="s">
        <v>728</v>
      </c>
      <c r="D1060" s="948"/>
      <c r="E1060" s="948"/>
      <c r="F1060" s="948"/>
      <c r="G1060" s="948"/>
      <c r="H1060" s="948"/>
      <c r="J1060" s="942" t="s">
        <v>799</v>
      </c>
      <c r="K1060" s="1586" t="str">
        <f>'Part VIII-Threshold Criteria'!K151</f>
        <v>Trinity Walk I, LP</v>
      </c>
      <c r="L1060" s="1586"/>
      <c r="M1060" s="1586"/>
      <c r="N1060" s="1586"/>
      <c r="O1060" s="1586"/>
      <c r="P1060" s="1586"/>
      <c r="Q1060" s="1122">
        <f>'Part VIII-Threshold Criteria'!Q151</f>
        <v>0</v>
      </c>
    </row>
    <row r="1061" spans="1:17">
      <c r="A1061" s="949"/>
      <c r="B1061" s="943" t="s">
        <v>2254</v>
      </c>
      <c r="C1061" s="948" t="s">
        <v>3541</v>
      </c>
      <c r="D1061" s="948"/>
      <c r="E1061" s="948"/>
      <c r="F1061" s="948"/>
      <c r="G1061" s="948"/>
      <c r="H1061" s="948"/>
      <c r="J1061" s="942"/>
      <c r="K1061" s="942"/>
      <c r="L1061" s="942"/>
      <c r="M1061" s="942"/>
      <c r="N1061" s="942"/>
      <c r="O1061" s="942" t="s">
        <v>2254</v>
      </c>
      <c r="P1061" s="1122" t="str">
        <f>'Part VIII-Threshold Criteria'!P152</f>
        <v>Yes</v>
      </c>
      <c r="Q1061" s="1122">
        <f>'Part VIII-Threshold Criteria'!Q152</f>
        <v>0</v>
      </c>
    </row>
    <row r="1062" spans="1:17">
      <c r="B1062" s="952" t="s">
        <v>1996</v>
      </c>
      <c r="D1062" s="952"/>
      <c r="E1062" s="952"/>
      <c r="F1062" s="952"/>
      <c r="G1062" s="952"/>
      <c r="H1062" s="1081"/>
      <c r="I1062" s="1057"/>
      <c r="J1062" s="1057"/>
      <c r="K1062" s="1057"/>
      <c r="L1062" s="1068"/>
      <c r="M1062" s="1068"/>
      <c r="N1062" s="1068"/>
      <c r="O1062" s="1068"/>
      <c r="P1062" s="1068"/>
      <c r="Q1062" s="1068"/>
    </row>
    <row r="1063" spans="1:17">
      <c r="A1063" s="1574" t="str">
        <f>'Part VIII-Threshold Criteria'!A154</f>
        <v>The Option to Ground Lease is included in Tab 8.</v>
      </c>
      <c r="B1063" s="1574"/>
      <c r="C1063" s="1574"/>
      <c r="D1063" s="1574"/>
      <c r="E1063" s="1574"/>
      <c r="F1063" s="1574"/>
      <c r="G1063" s="1574"/>
      <c r="H1063" s="1574"/>
      <c r="I1063" s="1574"/>
      <c r="J1063" s="1574"/>
      <c r="K1063" s="1574"/>
      <c r="L1063" s="1574"/>
      <c r="M1063" s="1574"/>
      <c r="N1063" s="1574"/>
      <c r="O1063" s="1574"/>
      <c r="P1063" s="1574"/>
      <c r="Q1063" s="1574"/>
    </row>
    <row r="1064" spans="1:17">
      <c r="B1064" s="945" t="s">
        <v>1997</v>
      </c>
      <c r="C1064" s="946"/>
      <c r="D1064" s="1063"/>
      <c r="E1064" s="1063"/>
      <c r="F1064" s="1063"/>
      <c r="G1064" s="1063"/>
      <c r="H1064" s="1063"/>
      <c r="I1064" s="1063"/>
      <c r="J1064" s="1063"/>
      <c r="K1064" s="1063"/>
      <c r="L1064" s="1063"/>
      <c r="M1064" s="1063"/>
      <c r="N1064" s="1063"/>
      <c r="O1064" s="1063"/>
      <c r="P1064" s="1063"/>
      <c r="Q1064" s="1063"/>
    </row>
    <row r="1065" spans="1:17">
      <c r="A1065" s="1581">
        <f>'Part VIII-Threshold Criteria'!A156</f>
        <v>0</v>
      </c>
      <c r="B1065" s="1581"/>
      <c r="C1065" s="1581"/>
      <c r="D1065" s="1581"/>
      <c r="E1065" s="1581"/>
      <c r="F1065" s="1581"/>
      <c r="G1065" s="1581"/>
      <c r="H1065" s="1581"/>
      <c r="I1065" s="1581"/>
      <c r="J1065" s="1581"/>
      <c r="K1065" s="1581"/>
      <c r="L1065" s="1581"/>
      <c r="M1065" s="1581"/>
      <c r="N1065" s="1581"/>
      <c r="O1065" s="1581"/>
      <c r="P1065" s="1581"/>
      <c r="Q1065" s="1581"/>
    </row>
    <row r="1066" spans="1:17">
      <c r="A1066" s="1068"/>
      <c r="B1066" s="1057"/>
      <c r="C1066" s="1063"/>
      <c r="D1066" s="1063"/>
      <c r="E1066" s="1063"/>
      <c r="F1066" s="1063"/>
      <c r="G1066" s="1063"/>
      <c r="H1066" s="1063"/>
      <c r="I1066" s="1063"/>
      <c r="J1066" s="1063"/>
      <c r="K1066" s="1063"/>
      <c r="L1066" s="1063"/>
      <c r="M1066" s="1063"/>
      <c r="Q1066" s="1068"/>
    </row>
    <row r="1067" spans="1:17">
      <c r="A1067" s="1125">
        <v>9</v>
      </c>
      <c r="B1067" s="1125" t="s">
        <v>2856</v>
      </c>
      <c r="C1067" s="1125"/>
      <c r="D1067" s="1063"/>
      <c r="E1067" s="1063"/>
      <c r="F1067" s="1063"/>
      <c r="G1067" s="1063"/>
      <c r="H1067" s="1063"/>
      <c r="I1067" s="1063"/>
      <c r="J1067" s="1063"/>
      <c r="K1067" s="1063"/>
      <c r="L1067" s="1063"/>
      <c r="M1067" s="1063"/>
      <c r="O1067" s="940" t="s">
        <v>1998</v>
      </c>
      <c r="P1067" s="1582">
        <f>'Part VIII-Threshold Criteria'!P158</f>
        <v>0</v>
      </c>
      <c r="Q1067" s="1582"/>
    </row>
    <row r="1068" spans="1:17">
      <c r="B1068" s="941" t="s">
        <v>2119</v>
      </c>
      <c r="C1068" s="1574" t="s">
        <v>3525</v>
      </c>
      <c r="D1068" s="1574"/>
      <c r="E1068" s="1574"/>
      <c r="F1068" s="1574"/>
      <c r="G1068" s="1574"/>
      <c r="H1068" s="1574"/>
      <c r="I1068" s="1574"/>
      <c r="J1068" s="1574"/>
      <c r="K1068" s="1574"/>
      <c r="L1068" s="1574"/>
      <c r="M1068" s="1574"/>
      <c r="N1068" s="1574"/>
      <c r="O1068" s="954" t="s">
        <v>2119</v>
      </c>
      <c r="P1068" s="1122" t="str">
        <f>'Part VIII-Threshold Criteria'!P159</f>
        <v>Yes</v>
      </c>
      <c r="Q1068" s="1122">
        <f>'Part VIII-Threshold Criteria'!Q159</f>
        <v>0</v>
      </c>
    </row>
    <row r="1069" spans="1:17">
      <c r="B1069" s="941" t="s">
        <v>2122</v>
      </c>
      <c r="C1069" s="1574" t="s">
        <v>2680</v>
      </c>
      <c r="D1069" s="1574"/>
      <c r="E1069" s="1574"/>
      <c r="F1069" s="1574"/>
      <c r="G1069" s="1574"/>
      <c r="H1069" s="1574"/>
      <c r="I1069" s="1574"/>
      <c r="J1069" s="1574"/>
      <c r="K1069" s="1574"/>
      <c r="L1069" s="1574"/>
      <c r="M1069" s="1574"/>
      <c r="N1069" s="1574"/>
      <c r="O1069" s="954" t="s">
        <v>2122</v>
      </c>
      <c r="P1069" s="1122">
        <f>'Part VIII-Threshold Criteria'!P160</f>
        <v>0</v>
      </c>
      <c r="Q1069" s="1122">
        <f>'Part VIII-Threshold Criteria'!Q160</f>
        <v>0</v>
      </c>
    </row>
    <row r="1070" spans="1:17">
      <c r="B1070" s="941" t="s">
        <v>799</v>
      </c>
      <c r="C1070" s="1574" t="s">
        <v>2839</v>
      </c>
      <c r="D1070" s="1574"/>
      <c r="E1070" s="1574"/>
      <c r="F1070" s="1574"/>
      <c r="G1070" s="1574"/>
      <c r="H1070" s="1574"/>
      <c r="I1070" s="1574"/>
      <c r="J1070" s="1574"/>
      <c r="K1070" s="1574"/>
      <c r="L1070" s="1574"/>
      <c r="M1070" s="1574"/>
      <c r="N1070" s="1574"/>
      <c r="O1070" s="954" t="s">
        <v>799</v>
      </c>
      <c r="P1070" s="1122">
        <f>'Part VIII-Threshold Criteria'!P161</f>
        <v>0</v>
      </c>
      <c r="Q1070" s="1122">
        <f>'Part VIII-Threshold Criteria'!Q161</f>
        <v>0</v>
      </c>
    </row>
    <row r="1071" spans="1:17">
      <c r="B1071" s="952" t="s">
        <v>1996</v>
      </c>
      <c r="D1071" s="952"/>
      <c r="E1071" s="952"/>
      <c r="F1071" s="952"/>
      <c r="G1071" s="952"/>
      <c r="H1071" s="1081"/>
      <c r="I1071" s="1057"/>
      <c r="J1071" s="1057"/>
      <c r="K1071" s="1057"/>
      <c r="L1071" s="1068"/>
      <c r="M1071" s="1068"/>
      <c r="N1071" s="1068"/>
      <c r="O1071" s="1068"/>
      <c r="P1071" s="1068"/>
      <c r="Q1071" s="1068"/>
    </row>
    <row r="1072" spans="1:17">
      <c r="A1072" s="1574" t="str">
        <f>'Part VIII-Threshold Criteria'!A163</f>
        <v xml:space="preserve">This is an existing apartment community with direct access vehicular to W. Trinity Place.  This access is clearly shown on property survey (Tab #9), as well as the Conceptual Site Development Plan (Tab #16).   </v>
      </c>
      <c r="B1072" s="1574"/>
      <c r="C1072" s="1574"/>
      <c r="D1072" s="1574"/>
      <c r="E1072" s="1574"/>
      <c r="F1072" s="1574"/>
      <c r="G1072" s="1574"/>
      <c r="H1072" s="1574"/>
      <c r="I1072" s="1574"/>
      <c r="J1072" s="1574"/>
      <c r="K1072" s="1574"/>
      <c r="L1072" s="1574"/>
      <c r="M1072" s="1574"/>
      <c r="N1072" s="1574"/>
      <c r="O1072" s="1574"/>
      <c r="P1072" s="1574"/>
      <c r="Q1072" s="1574"/>
    </row>
    <row r="1073" spans="1:17">
      <c r="B1073" s="945" t="s">
        <v>1997</v>
      </c>
      <c r="C1073" s="946"/>
      <c r="D1073" s="1063"/>
      <c r="E1073" s="1063"/>
      <c r="F1073" s="1063"/>
      <c r="G1073" s="1063"/>
      <c r="H1073" s="1063"/>
      <c r="I1073" s="1063"/>
      <c r="J1073" s="1063"/>
      <c r="K1073" s="1063"/>
      <c r="L1073" s="1063"/>
      <c r="M1073" s="1063"/>
      <c r="N1073" s="1063"/>
      <c r="O1073" s="1063"/>
      <c r="P1073" s="1063"/>
      <c r="Q1073" s="1063"/>
    </row>
    <row r="1074" spans="1:17">
      <c r="A1074" s="1581">
        <f>'Part VIII-Threshold Criteria'!A165</f>
        <v>0</v>
      </c>
      <c r="B1074" s="1581"/>
      <c r="C1074" s="1581"/>
      <c r="D1074" s="1581"/>
      <c r="E1074" s="1581"/>
      <c r="F1074" s="1581"/>
      <c r="G1074" s="1581"/>
      <c r="H1074" s="1581"/>
      <c r="I1074" s="1581"/>
      <c r="J1074" s="1581"/>
      <c r="K1074" s="1581"/>
      <c r="L1074" s="1581"/>
      <c r="M1074" s="1581"/>
      <c r="N1074" s="1581"/>
      <c r="O1074" s="1581"/>
      <c r="P1074" s="1581"/>
      <c r="Q1074" s="1581"/>
    </row>
    <row r="1075" spans="1:17">
      <c r="B1075" s="1057"/>
      <c r="C1075" s="1063"/>
      <c r="D1075" s="1063"/>
      <c r="E1075" s="1063"/>
      <c r="F1075" s="1063"/>
      <c r="G1075" s="1063"/>
      <c r="H1075" s="1063"/>
      <c r="I1075" s="1063"/>
      <c r="J1075" s="1063"/>
      <c r="K1075" s="1063"/>
      <c r="L1075" s="1063"/>
      <c r="M1075" s="1063"/>
      <c r="N1075" s="1063"/>
      <c r="O1075" s="1063"/>
      <c r="P1075" s="1063"/>
      <c r="Q1075" s="1068"/>
    </row>
    <row r="1076" spans="1:17">
      <c r="A1076" s="1117">
        <v>10</v>
      </c>
      <c r="B1076" s="1591" t="s">
        <v>2857</v>
      </c>
      <c r="C1076" s="1591"/>
      <c r="D1076" s="1591"/>
      <c r="O1076" s="940" t="s">
        <v>1998</v>
      </c>
      <c r="P1076" s="1582">
        <f>'Part VIII-Threshold Criteria'!P167</f>
        <v>0</v>
      </c>
      <c r="Q1076" s="1582"/>
    </row>
    <row r="1077" spans="1:17">
      <c r="B1077" s="941" t="s">
        <v>2119</v>
      </c>
      <c r="C1077" s="1075" t="s">
        <v>497</v>
      </c>
      <c r="D1077" s="1075"/>
      <c r="E1077" s="1075"/>
      <c r="F1077" s="1075"/>
      <c r="G1077" s="1075"/>
      <c r="H1077" s="1075"/>
      <c r="I1077" s="1075"/>
      <c r="J1077" s="1075"/>
      <c r="K1077" s="1075"/>
      <c r="L1077" s="1075"/>
      <c r="M1077" s="1075"/>
      <c r="O1077" s="954" t="s">
        <v>2119</v>
      </c>
      <c r="P1077" s="1122" t="str">
        <f>'Part VIII-Threshold Criteria'!P168</f>
        <v>Yes</v>
      </c>
      <c r="Q1077" s="1122">
        <f>'Part VIII-Threshold Criteria'!Q168</f>
        <v>0</v>
      </c>
    </row>
    <row r="1078" spans="1:17">
      <c r="B1078" s="941" t="s">
        <v>2122</v>
      </c>
      <c r="C1078" s="1075" t="s">
        <v>2840</v>
      </c>
      <c r="D1078" s="1075"/>
      <c r="E1078" s="1075"/>
      <c r="F1078" s="1075"/>
      <c r="G1078" s="1075"/>
      <c r="H1078" s="1075"/>
      <c r="I1078" s="1075"/>
      <c r="J1078" s="1075"/>
      <c r="K1078" s="1075"/>
      <c r="L1078" s="1075"/>
      <c r="M1078" s="1075"/>
      <c r="O1078" s="954" t="s">
        <v>2122</v>
      </c>
      <c r="P1078" s="1122" t="str">
        <f>'Part VIII-Threshold Criteria'!P169</f>
        <v>Yes</v>
      </c>
      <c r="Q1078" s="1122">
        <f>'Part VIII-Threshold Criteria'!Q169</f>
        <v>0</v>
      </c>
    </row>
    <row r="1079" spans="1:17">
      <c r="B1079" s="941" t="s">
        <v>799</v>
      </c>
      <c r="C1079" s="1075" t="s">
        <v>2841</v>
      </c>
      <c r="D1079" s="1075"/>
      <c r="E1079" s="1075"/>
      <c r="F1079" s="1075"/>
      <c r="G1079" s="1075"/>
      <c r="H1079" s="1075"/>
      <c r="I1079" s="1075"/>
      <c r="J1079" s="1075"/>
      <c r="K1079" s="1075"/>
      <c r="L1079" s="1075"/>
      <c r="M1079" s="1075"/>
      <c r="O1079" s="954" t="s">
        <v>799</v>
      </c>
      <c r="P1079" s="1122" t="str">
        <f>'Part VIII-Threshold Criteria'!P170</f>
        <v>Yes</v>
      </c>
      <c r="Q1079" s="1122">
        <f>'Part VIII-Threshold Criteria'!Q170</f>
        <v>0</v>
      </c>
    </row>
    <row r="1080" spans="1:17">
      <c r="B1080" s="941"/>
      <c r="C1080" s="1075" t="s">
        <v>2829</v>
      </c>
      <c r="D1080" s="1075"/>
      <c r="E1080" s="956" t="s">
        <v>1859</v>
      </c>
      <c r="F1080" s="1075" t="s">
        <v>2842</v>
      </c>
      <c r="G1080" s="1075"/>
      <c r="H1080" s="1075"/>
      <c r="I1080" s="1075"/>
      <c r="J1080" s="1075"/>
      <c r="K1080" s="1075"/>
      <c r="L1080" s="1075"/>
      <c r="M1080" s="1075"/>
      <c r="O1080" s="956" t="s">
        <v>1859</v>
      </c>
      <c r="P1080" s="1122" t="str">
        <f>'Part VIII-Threshold Criteria'!P171</f>
        <v>Yes</v>
      </c>
      <c r="Q1080" s="1122">
        <f>'Part VIII-Threshold Criteria'!Q171</f>
        <v>0</v>
      </c>
    </row>
    <row r="1081" spans="1:17">
      <c r="B1081" s="941"/>
      <c r="C1081" s="1075"/>
      <c r="D1081" s="1075"/>
      <c r="E1081" s="956" t="s">
        <v>1860</v>
      </c>
      <c r="F1081" s="1075" t="s">
        <v>3681</v>
      </c>
      <c r="G1081" s="1075"/>
      <c r="H1081" s="1075"/>
      <c r="I1081" s="1075"/>
      <c r="J1081" s="1075"/>
      <c r="K1081" s="1075"/>
      <c r="L1081" s="1075"/>
      <c r="M1081" s="1075"/>
      <c r="O1081" s="956" t="s">
        <v>1860</v>
      </c>
      <c r="P1081" s="1122" t="str">
        <f>'Part VIII-Threshold Criteria'!P172</f>
        <v>Yes</v>
      </c>
      <c r="Q1081" s="1122">
        <f>'Part VIII-Threshold Criteria'!Q172</f>
        <v>0</v>
      </c>
    </row>
    <row r="1082" spans="1:17">
      <c r="A1082" s="1072"/>
      <c r="B1082" s="941"/>
      <c r="C1082" s="1075"/>
      <c r="D1082" s="1075"/>
      <c r="E1082" s="954" t="s">
        <v>1861</v>
      </c>
      <c r="F1082" s="1574" t="s">
        <v>2844</v>
      </c>
      <c r="G1082" s="1574"/>
      <c r="H1082" s="1574"/>
      <c r="I1082" s="1574"/>
      <c r="J1082" s="1574"/>
      <c r="K1082" s="1574"/>
      <c r="L1082" s="1574"/>
      <c r="M1082" s="1574"/>
      <c r="N1082" s="1574"/>
      <c r="O1082" s="954" t="s">
        <v>1861</v>
      </c>
      <c r="P1082" s="1122" t="str">
        <f>'Part VIII-Threshold Criteria'!P173</f>
        <v>Yes</v>
      </c>
      <c r="Q1082" s="1122">
        <f>'Part VIII-Threshold Criteria'!Q173</f>
        <v>0</v>
      </c>
    </row>
    <row r="1083" spans="1:17">
      <c r="B1083" s="941"/>
      <c r="C1083" s="1075"/>
      <c r="D1083" s="1075"/>
      <c r="E1083" s="956" t="s">
        <v>2521</v>
      </c>
      <c r="F1083" s="1075" t="s">
        <v>2845</v>
      </c>
      <c r="G1083" s="1075"/>
      <c r="H1083" s="1075"/>
      <c r="I1083" s="1075"/>
      <c r="J1083" s="1075"/>
      <c r="K1083" s="1075"/>
      <c r="L1083" s="1075"/>
      <c r="M1083" s="1075"/>
      <c r="O1083" s="956" t="s">
        <v>2521</v>
      </c>
      <c r="P1083" s="1122" t="str">
        <f>'Part VIII-Threshold Criteria'!P174</f>
        <v>Yes</v>
      </c>
      <c r="Q1083" s="1122">
        <f>'Part VIII-Threshold Criteria'!Q174</f>
        <v>0</v>
      </c>
    </row>
    <row r="1084" spans="1:17">
      <c r="A1084" s="1072"/>
      <c r="B1084" s="941"/>
      <c r="C1084" s="1075"/>
      <c r="D1084" s="1075"/>
      <c r="E1084" s="954" t="s">
        <v>1657</v>
      </c>
      <c r="F1084" s="1574" t="s">
        <v>2846</v>
      </c>
      <c r="G1084" s="1574"/>
      <c r="H1084" s="1574"/>
      <c r="I1084" s="1574"/>
      <c r="J1084" s="1574"/>
      <c r="K1084" s="1574"/>
      <c r="L1084" s="1574"/>
      <c r="M1084" s="1574"/>
      <c r="N1084" s="1574"/>
      <c r="O1084" s="954" t="s">
        <v>1657</v>
      </c>
      <c r="P1084" s="1122">
        <f>'Part VIII-Threshold Criteria'!P175</f>
        <v>0</v>
      </c>
      <c r="Q1084" s="1122">
        <f>'Part VIII-Threshold Criteria'!Q175</f>
        <v>0</v>
      </c>
    </row>
    <row r="1085" spans="1:17">
      <c r="B1085" s="941" t="s">
        <v>2254</v>
      </c>
      <c r="C1085" s="1574" t="s">
        <v>2847</v>
      </c>
      <c r="D1085" s="1574"/>
      <c r="E1085" s="1574"/>
      <c r="F1085" s="1574"/>
      <c r="G1085" s="1574"/>
      <c r="H1085" s="1574"/>
      <c r="I1085" s="1574"/>
      <c r="J1085" s="1574"/>
      <c r="K1085" s="1574"/>
      <c r="L1085" s="1574"/>
      <c r="M1085" s="1574"/>
      <c r="N1085" s="1574"/>
      <c r="O1085" s="954" t="s">
        <v>2254</v>
      </c>
      <c r="P1085" s="1122" t="str">
        <f>'Part VIII-Threshold Criteria'!P176</f>
        <v>Yes</v>
      </c>
      <c r="Q1085" s="1122">
        <f>'Part VIII-Threshold Criteria'!Q176</f>
        <v>0</v>
      </c>
    </row>
    <row r="1086" spans="1:17">
      <c r="B1086" s="941" t="s">
        <v>1857</v>
      </c>
      <c r="C1086" s="1075" t="s">
        <v>2537</v>
      </c>
      <c r="D1086" s="1075"/>
      <c r="E1086" s="1075"/>
      <c r="F1086" s="1075"/>
      <c r="G1086" s="1075"/>
      <c r="H1086" s="1075"/>
      <c r="I1086" s="1075"/>
      <c r="J1086" s="1075"/>
      <c r="K1086" s="1075"/>
      <c r="L1086" s="1075"/>
      <c r="M1086" s="1075"/>
      <c r="O1086" s="954" t="s">
        <v>1857</v>
      </c>
      <c r="P1086" s="1122" t="str">
        <f>'Part VIII-Threshold Criteria'!P177</f>
        <v>Yes</v>
      </c>
      <c r="Q1086" s="1122">
        <f>'Part VIII-Threshold Criteria'!Q177</f>
        <v>0</v>
      </c>
    </row>
    <row r="1087" spans="1:17">
      <c r="B1087" s="952" t="s">
        <v>1996</v>
      </c>
      <c r="D1087" s="952"/>
      <c r="E1087" s="952"/>
      <c r="F1087" s="952"/>
      <c r="G1087" s="952"/>
      <c r="H1087" s="1081"/>
      <c r="I1087" s="1057"/>
      <c r="J1087" s="1057"/>
      <c r="K1087" s="1057"/>
      <c r="L1087" s="1068"/>
      <c r="M1087" s="1068"/>
      <c r="N1087" s="1068"/>
      <c r="O1087" s="1068"/>
      <c r="P1087" s="1068"/>
      <c r="Q1087" s="1068"/>
    </row>
    <row r="1088" spans="1:17">
      <c r="A1088" s="1574" t="str">
        <f>'Part VIII-Threshold Criteria'!A179</f>
        <v>See the Zoning Confirmation Letter in Tab #10. The answer for Question C-5 is blank because this project is not requesting DCA HOME funds, nor is it being built on prime or unique farmland.</v>
      </c>
      <c r="B1088" s="1574"/>
      <c r="C1088" s="1574"/>
      <c r="D1088" s="1574"/>
      <c r="E1088" s="1574"/>
      <c r="F1088" s="1574"/>
      <c r="G1088" s="1574"/>
      <c r="H1088" s="1574"/>
      <c r="I1088" s="1574"/>
      <c r="J1088" s="1574"/>
      <c r="K1088" s="1574"/>
      <c r="L1088" s="1574"/>
      <c r="M1088" s="1574"/>
      <c r="N1088" s="1574"/>
      <c r="O1088" s="1574"/>
      <c r="P1088" s="1574"/>
      <c r="Q1088" s="1574"/>
    </row>
    <row r="1089" spans="1:17">
      <c r="B1089" s="945" t="s">
        <v>1997</v>
      </c>
      <c r="C1089" s="946"/>
      <c r="D1089" s="1063"/>
      <c r="E1089" s="1063"/>
      <c r="F1089" s="1063"/>
      <c r="G1089" s="1063"/>
      <c r="H1089" s="1063"/>
      <c r="I1089" s="1063"/>
      <c r="J1089" s="1063"/>
      <c r="K1089" s="1063"/>
      <c r="L1089" s="1063"/>
      <c r="M1089" s="1063"/>
      <c r="N1089" s="1063"/>
      <c r="O1089" s="1063"/>
      <c r="P1089" s="1063"/>
      <c r="Q1089" s="1063"/>
    </row>
    <row r="1090" spans="1:17">
      <c r="A1090" s="1581">
        <f>'Part VIII-Threshold Criteria'!A181</f>
        <v>0</v>
      </c>
      <c r="B1090" s="1581"/>
      <c r="C1090" s="1581"/>
      <c r="D1090" s="1581"/>
      <c r="E1090" s="1581"/>
      <c r="F1090" s="1581"/>
      <c r="G1090" s="1581"/>
      <c r="H1090" s="1581"/>
      <c r="I1090" s="1581"/>
      <c r="J1090" s="1581"/>
      <c r="K1090" s="1581"/>
      <c r="L1090" s="1581"/>
      <c r="M1090" s="1581"/>
      <c r="N1090" s="1581"/>
      <c r="O1090" s="1581"/>
      <c r="P1090" s="1581"/>
      <c r="Q1090" s="1581"/>
    </row>
    <row r="1091" spans="1:17">
      <c r="A1091" s="1068"/>
      <c r="B1091" s="1057"/>
      <c r="C1091" s="1063"/>
      <c r="D1091" s="1063"/>
      <c r="E1091" s="1063"/>
      <c r="F1091" s="1063"/>
      <c r="G1091" s="1063"/>
      <c r="H1091" s="1063"/>
      <c r="I1091" s="1063"/>
      <c r="J1091" s="1063"/>
      <c r="K1091" s="1063"/>
      <c r="L1091" s="1063"/>
      <c r="M1091" s="1063"/>
      <c r="N1091" s="1063"/>
      <c r="O1091" s="1063"/>
      <c r="P1091" s="1063"/>
      <c r="Q1091" s="1068"/>
    </row>
    <row r="1092" spans="1:17">
      <c r="A1092" s="1125">
        <v>11</v>
      </c>
      <c r="B1092" s="1125" t="s">
        <v>2858</v>
      </c>
      <c r="C1092" s="1125"/>
      <c r="D1092" s="1063"/>
      <c r="E1092" s="1078"/>
      <c r="F1092" s="1078"/>
      <c r="G1092" s="1063"/>
      <c r="J1092" s="1127"/>
      <c r="K1092" s="1127"/>
      <c r="L1092" s="1127"/>
      <c r="M1092" s="1127"/>
      <c r="N1092" s="1127"/>
      <c r="O1092" s="940" t="s">
        <v>1998</v>
      </c>
      <c r="P1092" s="1582">
        <f>'Part VIII-Threshold Criteria'!P183</f>
        <v>0</v>
      </c>
      <c r="Q1092" s="1582"/>
    </row>
    <row r="1093" spans="1:17">
      <c r="A1093" s="949"/>
      <c r="B1093" s="943" t="s">
        <v>2119</v>
      </c>
      <c r="C1093" s="1574" t="s">
        <v>100</v>
      </c>
      <c r="D1093" s="1574"/>
      <c r="E1093" s="1574"/>
      <c r="F1093" s="1574"/>
      <c r="G1093" s="1574"/>
      <c r="H1093" s="942" t="s">
        <v>1859</v>
      </c>
      <c r="I1093" s="582" t="s">
        <v>158</v>
      </c>
      <c r="K1093" s="1586" t="str">
        <f>'Part VIII-Threshold Criteria'!K184</f>
        <v>&lt;&lt;Enter Provider Name Here&gt;&gt;</v>
      </c>
      <c r="L1093" s="1586"/>
      <c r="M1093" s="1586"/>
      <c r="N1093" s="1586"/>
      <c r="O1093" s="942" t="s">
        <v>1859</v>
      </c>
      <c r="P1093" s="1122" t="str">
        <f>'Part VIII-Threshold Criteria'!P184</f>
        <v>No</v>
      </c>
      <c r="Q1093" s="1122">
        <f>'Part VIII-Threshold Criteria'!Q184</f>
        <v>0</v>
      </c>
    </row>
    <row r="1094" spans="1:17">
      <c r="A1094" s="949"/>
      <c r="B1094" s="1057"/>
      <c r="C1094" s="1128"/>
      <c r="D1094" s="1128"/>
      <c r="E1094" s="1128"/>
      <c r="F1094" s="1128"/>
      <c r="H1094" s="942" t="s">
        <v>1860</v>
      </c>
      <c r="I1094" s="582" t="s">
        <v>1704</v>
      </c>
      <c r="K1094" s="1586" t="str">
        <f>'Part VIII-Threshold Criteria'!K185</f>
        <v>Georgia Power</v>
      </c>
      <c r="L1094" s="1586"/>
      <c r="M1094" s="1586"/>
      <c r="N1094" s="1586"/>
      <c r="O1094" s="942" t="s">
        <v>1860</v>
      </c>
      <c r="P1094" s="1122" t="str">
        <f>'Part VIII-Threshold Criteria'!P185</f>
        <v>Yes</v>
      </c>
      <c r="Q1094" s="1122">
        <f>'Part VIII-Threshold Criteria'!Q185</f>
        <v>0</v>
      </c>
    </row>
    <row r="1095" spans="1:17">
      <c r="B1095" s="952" t="s">
        <v>1996</v>
      </c>
      <c r="D1095" s="952"/>
      <c r="E1095" s="952"/>
      <c r="F1095" s="952"/>
      <c r="G1095" s="952"/>
      <c r="J1095" s="1057"/>
      <c r="K1095" s="1057"/>
      <c r="L1095" s="1068"/>
      <c r="M1095" s="1068"/>
      <c r="N1095" s="1068"/>
      <c r="O1095" s="1068"/>
      <c r="P1095" s="1068"/>
      <c r="Q1095" s="1068"/>
    </row>
    <row r="1096" spans="1:17">
      <c r="A1096" s="1574" t="str">
        <f>'Part VIII-Threshold Criteria'!A187</f>
        <v>The project will be total electric and will not need a natural gas provider.</v>
      </c>
      <c r="B1096" s="1574"/>
      <c r="C1096" s="1574"/>
      <c r="D1096" s="1574"/>
      <c r="E1096" s="1574"/>
      <c r="F1096" s="1574"/>
      <c r="G1096" s="1574"/>
      <c r="H1096" s="1574"/>
      <c r="I1096" s="1574"/>
      <c r="J1096" s="1574"/>
      <c r="K1096" s="1574"/>
      <c r="L1096" s="1574"/>
      <c r="M1096" s="1574"/>
      <c r="N1096" s="1574"/>
      <c r="O1096" s="1574"/>
      <c r="P1096" s="1574"/>
      <c r="Q1096" s="1574"/>
    </row>
    <row r="1097" spans="1:17">
      <c r="B1097" s="945" t="s">
        <v>1997</v>
      </c>
      <c r="C1097" s="946"/>
      <c r="D1097" s="1063"/>
      <c r="E1097" s="1063"/>
      <c r="F1097" s="1063"/>
      <c r="G1097" s="1063"/>
      <c r="H1097" s="1063"/>
      <c r="I1097" s="1063"/>
      <c r="J1097" s="1063"/>
      <c r="K1097" s="1063"/>
      <c r="L1097" s="1063"/>
      <c r="M1097" s="1063"/>
      <c r="N1097" s="1063"/>
      <c r="O1097" s="1063"/>
      <c r="P1097" s="1063"/>
      <c r="Q1097" s="1063"/>
    </row>
    <row r="1098" spans="1:17">
      <c r="A1098" s="1581">
        <f>'Part VIII-Threshold Criteria'!A189</f>
        <v>0</v>
      </c>
      <c r="B1098" s="1581"/>
      <c r="C1098" s="1581"/>
      <c r="D1098" s="1581"/>
      <c r="E1098" s="1581"/>
      <c r="F1098" s="1581"/>
      <c r="G1098" s="1581"/>
      <c r="H1098" s="1581"/>
      <c r="I1098" s="1581"/>
      <c r="J1098" s="1581"/>
      <c r="K1098" s="1581"/>
      <c r="L1098" s="1581"/>
      <c r="M1098" s="1581"/>
      <c r="N1098" s="1581"/>
      <c r="O1098" s="1581"/>
      <c r="P1098" s="1581"/>
      <c r="Q1098" s="1581"/>
    </row>
    <row r="1099" spans="1:17">
      <c r="B1099" s="1057"/>
      <c r="C1099" s="1063"/>
      <c r="D1099" s="1063"/>
      <c r="E1099" s="1063"/>
      <c r="F1099" s="1063"/>
      <c r="G1099" s="1063"/>
      <c r="H1099" s="1063"/>
      <c r="I1099" s="1063"/>
      <c r="J1099" s="1063"/>
      <c r="K1099" s="1063"/>
      <c r="L1099" s="1063"/>
      <c r="M1099" s="1063"/>
      <c r="Q1099" s="1068"/>
    </row>
    <row r="1100" spans="1:17">
      <c r="A1100" s="1125">
        <v>12</v>
      </c>
      <c r="B1100" s="584" t="s">
        <v>2859</v>
      </c>
      <c r="C1100" s="584"/>
      <c r="D1100" s="939"/>
      <c r="E1100" s="939"/>
      <c r="F1100" s="939"/>
      <c r="G1100" s="1063"/>
      <c r="H1100" s="1063"/>
      <c r="I1100" s="1063"/>
      <c r="J1100" s="1063"/>
      <c r="K1100" s="1063"/>
      <c r="L1100" s="1063"/>
      <c r="M1100" s="1063"/>
      <c r="O1100" s="940" t="s">
        <v>1998</v>
      </c>
      <c r="P1100" s="1582">
        <f>'Part VIII-Threshold Criteria'!P191</f>
        <v>0</v>
      </c>
      <c r="Q1100" s="1582"/>
    </row>
    <row r="1102" spans="1:17">
      <c r="B1102" s="941" t="s">
        <v>2119</v>
      </c>
      <c r="C1102" s="1059" t="s">
        <v>1859</v>
      </c>
      <c r="D1102" s="957" t="s">
        <v>547</v>
      </c>
      <c r="E1102" s="957"/>
      <c r="F1102" s="957"/>
      <c r="G1102" s="957"/>
      <c r="H1102" s="957"/>
      <c r="I1102" s="957"/>
      <c r="J1102" s="957"/>
      <c r="K1102" s="957"/>
      <c r="L1102" s="957"/>
      <c r="M1102" s="957"/>
      <c r="N1102" s="957"/>
      <c r="O1102" s="954" t="s">
        <v>1588</v>
      </c>
      <c r="P1102" s="1122">
        <f>'Part VIII-Threshold Criteria'!P193</f>
        <v>0</v>
      </c>
      <c r="Q1102" s="1122">
        <f>'Part VIII-Threshold Criteria'!Q193</f>
        <v>0</v>
      </c>
    </row>
    <row r="1103" spans="1:17">
      <c r="B1103" s="941"/>
      <c r="C1103" s="1059" t="s">
        <v>1860</v>
      </c>
      <c r="D1103" s="957" t="s">
        <v>1565</v>
      </c>
      <c r="E1103" s="957"/>
      <c r="F1103" s="957"/>
      <c r="G1103" s="957"/>
      <c r="H1103" s="957"/>
      <c r="I1103" s="957"/>
      <c r="J1103" s="957"/>
      <c r="K1103" s="957"/>
      <c r="L1103" s="957"/>
      <c r="M1103" s="957"/>
      <c r="N1103" s="957"/>
      <c r="O1103" s="954" t="s">
        <v>1860</v>
      </c>
      <c r="P1103" s="1122">
        <f>'Part VIII-Threshold Criteria'!P194</f>
        <v>0</v>
      </c>
      <c r="Q1103" s="1122">
        <f>'Part VIII-Threshold Criteria'!Q194</f>
        <v>0</v>
      </c>
    </row>
    <row r="1104" spans="1:17">
      <c r="A1104" s="949"/>
      <c r="B1104" s="941" t="s">
        <v>2122</v>
      </c>
      <c r="C1104" s="1574" t="s">
        <v>1979</v>
      </c>
      <c r="D1104" s="1574"/>
      <c r="E1104" s="1574"/>
      <c r="F1104" s="1574"/>
      <c r="G1104" s="1574"/>
      <c r="H1104" s="942" t="s">
        <v>1859</v>
      </c>
      <c r="I1104" s="582" t="s">
        <v>676</v>
      </c>
      <c r="K1104" s="1586" t="str">
        <f>'Part VIII-Threshold Criteria'!K195</f>
        <v>DeKalb Watershed Management</v>
      </c>
      <c r="L1104" s="1586"/>
      <c r="M1104" s="1586"/>
      <c r="N1104" s="1586"/>
      <c r="O1104" s="942" t="s">
        <v>1542</v>
      </c>
      <c r="P1104" s="1122" t="str">
        <f>'Part VIII-Threshold Criteria'!P195</f>
        <v>Yes</v>
      </c>
      <c r="Q1104" s="1122">
        <f>'Part VIII-Threshold Criteria'!Q195</f>
        <v>0</v>
      </c>
    </row>
    <row r="1105" spans="1:17">
      <c r="A1105" s="949"/>
      <c r="B1105" s="1074"/>
      <c r="C1105" s="1574"/>
      <c r="D1105" s="1574"/>
      <c r="E1105" s="1574"/>
      <c r="F1105" s="1574"/>
      <c r="G1105" s="1574"/>
      <c r="H1105" s="942" t="s">
        <v>1860</v>
      </c>
      <c r="I1105" s="582" t="s">
        <v>119</v>
      </c>
      <c r="K1105" s="1586" t="str">
        <f>'Part VIII-Threshold Criteria'!K196</f>
        <v>DeKalb Watershed Management</v>
      </c>
      <c r="L1105" s="1586"/>
      <c r="M1105" s="1586"/>
      <c r="N1105" s="1586"/>
      <c r="O1105" s="942" t="s">
        <v>1860</v>
      </c>
      <c r="P1105" s="1122" t="str">
        <f>'Part VIII-Threshold Criteria'!P196</f>
        <v>Yes</v>
      </c>
      <c r="Q1105" s="1122">
        <f>'Part VIII-Threshold Criteria'!Q196</f>
        <v>0</v>
      </c>
    </row>
    <row r="1106" spans="1:17">
      <c r="B1106" s="952" t="s">
        <v>1996</v>
      </c>
      <c r="D1106" s="952"/>
      <c r="E1106" s="952"/>
      <c r="F1106" s="952"/>
      <c r="G1106" s="952"/>
      <c r="H1106" s="1081"/>
      <c r="I1106" s="1057"/>
      <c r="J1106" s="1057"/>
      <c r="K1106" s="1057"/>
      <c r="L1106" s="1068"/>
      <c r="M1106" s="1068"/>
      <c r="N1106" s="1068"/>
      <c r="O1106" s="1068"/>
      <c r="P1106" s="1068"/>
      <c r="Q1106" s="1068"/>
    </row>
    <row r="1107" spans="1:17">
      <c r="A1107" s="1574">
        <f>'Part VIII-Threshold Criteria'!A198</f>
        <v>0</v>
      </c>
      <c r="B1107" s="1574"/>
      <c r="C1107" s="1574"/>
      <c r="D1107" s="1574"/>
      <c r="E1107" s="1574"/>
      <c r="F1107" s="1574"/>
      <c r="G1107" s="1574"/>
      <c r="H1107" s="1574"/>
      <c r="I1107" s="1574"/>
      <c r="J1107" s="1574"/>
      <c r="K1107" s="1574"/>
      <c r="L1107" s="1574"/>
      <c r="M1107" s="1574"/>
      <c r="N1107" s="1574"/>
      <c r="O1107" s="1574"/>
      <c r="P1107" s="1574"/>
      <c r="Q1107" s="1574"/>
    </row>
    <row r="1108" spans="1:17">
      <c r="B1108" s="945" t="s">
        <v>1997</v>
      </c>
      <c r="C1108" s="946"/>
      <c r="D1108" s="1063"/>
      <c r="E1108" s="1063"/>
      <c r="F1108" s="1063"/>
      <c r="G1108" s="1063"/>
      <c r="H1108" s="1063"/>
      <c r="I1108" s="1063"/>
      <c r="J1108" s="1063"/>
      <c r="K1108" s="1063"/>
      <c r="L1108" s="1063"/>
      <c r="M1108" s="1063"/>
      <c r="N1108" s="1063"/>
      <c r="O1108" s="1063"/>
      <c r="P1108" s="1063"/>
      <c r="Q1108" s="1063"/>
    </row>
    <row r="1109" spans="1:17">
      <c r="A1109" s="1581">
        <f>'Part VIII-Threshold Criteria'!A200</f>
        <v>0</v>
      </c>
      <c r="B1109" s="1581"/>
      <c r="C1109" s="1581"/>
      <c r="D1109" s="1581"/>
      <c r="E1109" s="1581"/>
      <c r="F1109" s="1581"/>
      <c r="G1109" s="1581"/>
      <c r="H1109" s="1581"/>
      <c r="I1109" s="1581"/>
      <c r="J1109" s="1581"/>
      <c r="K1109" s="1581"/>
      <c r="L1109" s="1581"/>
      <c r="M1109" s="1581"/>
      <c r="N1109" s="1581"/>
      <c r="O1109" s="1581"/>
      <c r="P1109" s="1581"/>
      <c r="Q1109" s="1581"/>
    </row>
    <row r="1110" spans="1:17">
      <c r="A1110" s="1068"/>
      <c r="B1110" s="1057"/>
      <c r="C1110" s="1063"/>
      <c r="D1110" s="1063"/>
      <c r="E1110" s="1063"/>
      <c r="F1110" s="1063"/>
      <c r="G1110" s="1063"/>
      <c r="H1110" s="1063"/>
      <c r="I1110" s="1063"/>
      <c r="J1110" s="1063"/>
      <c r="K1110" s="1063"/>
      <c r="L1110" s="1063"/>
      <c r="M1110" s="1063"/>
      <c r="Q1110" s="1068"/>
    </row>
    <row r="1111" spans="1:17">
      <c r="A1111" s="1125">
        <v>13</v>
      </c>
      <c r="B1111" s="584" t="s">
        <v>2860</v>
      </c>
      <c r="C1111" s="584"/>
      <c r="D1111" s="939"/>
      <c r="E1111" s="939"/>
      <c r="F1111" s="939"/>
      <c r="G1111" s="939"/>
      <c r="H1111" s="1063"/>
      <c r="I1111" s="1063"/>
      <c r="J1111" s="1063"/>
      <c r="K1111" s="1063"/>
      <c r="L1111" s="1063"/>
      <c r="M1111" s="1063"/>
      <c r="O1111" s="940" t="s">
        <v>1998</v>
      </c>
      <c r="P1111" s="1582">
        <f>'Part VIII-Threshold Criteria'!P202</f>
        <v>0</v>
      </c>
      <c r="Q1111" s="1582"/>
    </row>
    <row r="1112" spans="1:17">
      <c r="B1112" s="565" t="s">
        <v>150</v>
      </c>
    </row>
    <row r="1113" spans="1:17">
      <c r="B1113" s="943" t="s">
        <v>2119</v>
      </c>
      <c r="C1113" s="582" t="s">
        <v>3268</v>
      </c>
      <c r="D1113" s="581"/>
      <c r="E1113" s="582"/>
      <c r="F1113" s="582"/>
      <c r="G1113" s="582"/>
      <c r="H1113" s="582"/>
      <c r="I1113" s="581"/>
      <c r="J1113" s="581"/>
      <c r="K1113" s="581"/>
      <c r="L1113" s="1075"/>
      <c r="M1113" s="1075"/>
      <c r="O1113" s="954" t="s">
        <v>2119</v>
      </c>
      <c r="P1113" s="1122" t="str">
        <f>'Part VIII-Threshold Criteria'!P204</f>
        <v>Yes</v>
      </c>
      <c r="Q1113" s="1122">
        <f>'Part VIII-Threshold Criteria'!Q204</f>
        <v>0</v>
      </c>
    </row>
    <row r="1114" spans="1:17">
      <c r="B1114" s="943"/>
      <c r="C1114" s="582"/>
      <c r="D1114" s="582" t="s">
        <v>3580</v>
      </c>
      <c r="E1114" s="582"/>
      <c r="F1114" s="582"/>
      <c r="G1114" s="1051" t="str">
        <f>'Part VIII-Threshold Criteria'!G205</f>
        <v>On-Going</v>
      </c>
      <c r="H1114" s="582"/>
      <c r="I1114" s="582" t="s">
        <v>3581</v>
      </c>
      <c r="J1114" s="581"/>
      <c r="K1114" s="1051">
        <f>'Part VIII-Threshold Criteria'!K205</f>
        <v>41596</v>
      </c>
      <c r="M1114" s="1075"/>
    </row>
    <row r="1115" spans="1:17">
      <c r="B1115" s="943"/>
      <c r="C1115" s="582"/>
      <c r="D1115" s="565" t="s">
        <v>3582</v>
      </c>
      <c r="E1115" s="582"/>
      <c r="F1115" s="582"/>
      <c r="G1115" s="1586" t="str">
        <f>'Part VIII-Threshold Criteria'!G206</f>
        <v>City Website, newspapers, door to door flyers for resident meetings</v>
      </c>
      <c r="H1115" s="1586"/>
      <c r="I1115" s="1586"/>
      <c r="J1115" s="1586"/>
      <c r="K1115" s="1586"/>
      <c r="L1115" s="582"/>
      <c r="M1115" s="582"/>
      <c r="N1115" s="582"/>
      <c r="O1115" s="582"/>
      <c r="P1115" s="582"/>
    </row>
    <row r="1116" spans="1:17">
      <c r="B1116" s="943" t="s">
        <v>2122</v>
      </c>
      <c r="C1116" s="582" t="s">
        <v>3269</v>
      </c>
      <c r="D1116" s="582"/>
      <c r="E1116" s="582"/>
      <c r="F1116" s="582"/>
      <c r="G1116" s="582"/>
      <c r="H1116" s="582"/>
      <c r="I1116" s="581"/>
      <c r="J1116" s="581"/>
      <c r="K1116" s="581"/>
      <c r="L1116" s="948"/>
      <c r="M1116" s="948"/>
      <c r="O1116" s="954" t="s">
        <v>2122</v>
      </c>
      <c r="P1116" s="1122" t="str">
        <f>'Part VIII-Threshold Criteria'!P207</f>
        <v>Yes</v>
      </c>
      <c r="Q1116" s="1122">
        <f>'Part VIII-Threshold Criteria'!Q207</f>
        <v>0</v>
      </c>
    </row>
    <row r="1117" spans="1:17">
      <c r="B1117" s="943" t="s">
        <v>799</v>
      </c>
      <c r="C1117" s="582" t="s">
        <v>3270</v>
      </c>
      <c r="D1117" s="582"/>
      <c r="E1117" s="582"/>
      <c r="F1117" s="582"/>
      <c r="G1117" s="582"/>
      <c r="H1117" s="582"/>
      <c r="I1117" s="581"/>
      <c r="J1117" s="581"/>
      <c r="K1117" s="581"/>
      <c r="L1117" s="948"/>
      <c r="M1117" s="948"/>
      <c r="O1117" s="954" t="s">
        <v>799</v>
      </c>
      <c r="P1117" s="1122" t="str">
        <f>'Part VIII-Threshold Criteria'!P208</f>
        <v>Yes</v>
      </c>
      <c r="Q1117" s="1122">
        <f>'Part VIII-Threshold Criteria'!Q208</f>
        <v>0</v>
      </c>
    </row>
    <row r="1118" spans="1:17">
      <c r="B1118" s="943" t="s">
        <v>2254</v>
      </c>
      <c r="C1118" s="582" t="s">
        <v>3577</v>
      </c>
      <c r="D1118" s="582"/>
      <c r="E1118" s="582"/>
      <c r="F1118" s="582"/>
      <c r="G1118" s="582"/>
      <c r="H1118" s="582"/>
      <c r="I1118" s="581"/>
      <c r="J1118" s="581"/>
      <c r="K1118" s="581"/>
      <c r="L1118" s="1075"/>
      <c r="M1118" s="1075"/>
      <c r="O1118" s="942" t="s">
        <v>2254</v>
      </c>
      <c r="P1118" s="1122" t="str">
        <f>'Part VIII-Threshold Criteria'!P209</f>
        <v>Yes</v>
      </c>
      <c r="Q1118" s="1122">
        <f>'Part VIII-Threshold Criteria'!Q209</f>
        <v>0</v>
      </c>
    </row>
    <row r="1119" spans="1:17">
      <c r="B1119" s="943" t="s">
        <v>1857</v>
      </c>
      <c r="C1119" s="582" t="s">
        <v>151</v>
      </c>
      <c r="D1119" s="582"/>
      <c r="E1119" s="582"/>
      <c r="F1119" s="582"/>
      <c r="G1119" s="582"/>
      <c r="H1119" s="582"/>
      <c r="I1119" s="581"/>
      <c r="J1119" s="581"/>
      <c r="K1119" s="581"/>
      <c r="L1119" s="581"/>
      <c r="M1119" s="581"/>
      <c r="O1119" s="942" t="s">
        <v>1857</v>
      </c>
      <c r="P1119" s="1122" t="str">
        <f>'Part VIII-Threshold Criteria'!P210</f>
        <v>Yes</v>
      </c>
      <c r="Q1119" s="1122">
        <f>'Part VIII-Threshold Criteria'!Q210</f>
        <v>0</v>
      </c>
    </row>
    <row r="1120" spans="1:17">
      <c r="B1120" s="952" t="s">
        <v>1996</v>
      </c>
      <c r="D1120" s="952"/>
      <c r="E1120" s="952"/>
      <c r="F1120" s="952"/>
      <c r="G1120" s="952"/>
      <c r="H1120" s="1081"/>
      <c r="I1120" s="1057"/>
      <c r="J1120" s="1057"/>
      <c r="K1120" s="1057"/>
      <c r="L1120" s="1068"/>
      <c r="M1120" s="1068"/>
      <c r="N1120" s="1068"/>
      <c r="O1120" s="1068"/>
      <c r="P1120" s="1068"/>
      <c r="Q1120" s="1068"/>
    </row>
    <row r="1121" spans="1:17">
      <c r="A1121" s="1574" t="str">
        <f>'Part VIII-Threshold Criteria'!A212</f>
        <v>There have been four public and seven resident meetings regarding the redevelopment plans for Gateway and Oakview. The first public meeting was a general introductory meeting with the Decatur City Commission was on November 11, 2013. Another presentation was made at the next Board of Commissioners meeting on January 21, 2014 (no December 2013 meeting). Subsequent public meetings were held in December 2013 with the Decatur Downtown Development Authority, in January 2014 again with the City's Board of Commissioners as well as the Planning Commission and during February 2014 there was another public meeting with the City's Zoning Board of Appeals. All of these monthly public meetings are scheduled a year in advance on the calendar that is available on the City’s website, as well as in announcements in local newspapers and various other media. For a historical calendar of the Decatur meetings, see http://www.decaturga.com/index.aspx?page=318&amp;showpast=1. On July 30, 2013, began a series of seven (7) meetings held with DHA residents to discuss the redevelopment project. See the extensive backup material included in Tab #13 with minutes and attendance sheets for all resident meetings. DHA also had meetings with the Decatur City Schools and the Atlanta Office of HUD to present and solicit input into this project.</v>
      </c>
      <c r="B1121" s="1574"/>
      <c r="C1121" s="1574"/>
      <c r="D1121" s="1574"/>
      <c r="E1121" s="1574"/>
      <c r="F1121" s="1574"/>
      <c r="G1121" s="1574"/>
      <c r="H1121" s="1574"/>
      <c r="I1121" s="1574"/>
      <c r="J1121" s="1574"/>
      <c r="K1121" s="1574"/>
      <c r="L1121" s="1574"/>
      <c r="M1121" s="1574"/>
      <c r="N1121" s="1574"/>
      <c r="O1121" s="1574"/>
      <c r="P1121" s="1574"/>
      <c r="Q1121" s="1574"/>
    </row>
    <row r="1123" spans="1:17">
      <c r="B1123" s="945" t="s">
        <v>1997</v>
      </c>
      <c r="C1123" s="946"/>
      <c r="D1123" s="1063"/>
      <c r="E1123" s="1063"/>
      <c r="F1123" s="1063"/>
      <c r="G1123" s="1063"/>
      <c r="H1123" s="1063"/>
      <c r="I1123" s="1063"/>
      <c r="J1123" s="1063"/>
      <c r="K1123" s="1063"/>
      <c r="L1123" s="1063"/>
      <c r="M1123" s="1063"/>
      <c r="N1123" s="1063"/>
      <c r="O1123" s="1063"/>
      <c r="P1123" s="1063"/>
      <c r="Q1123" s="1063"/>
    </row>
    <row r="1124" spans="1:17">
      <c r="A1124" s="1581">
        <f>'Part VIII-Threshold Criteria'!A215</f>
        <v>0</v>
      </c>
      <c r="B1124" s="1581"/>
      <c r="C1124" s="1581"/>
      <c r="D1124" s="1581"/>
      <c r="E1124" s="1581"/>
      <c r="F1124" s="1581"/>
      <c r="G1124" s="1581"/>
      <c r="H1124" s="1581"/>
      <c r="I1124" s="1581"/>
      <c r="J1124" s="1581"/>
      <c r="K1124" s="1581"/>
      <c r="L1124" s="1581"/>
      <c r="M1124" s="1581"/>
      <c r="N1124" s="1581"/>
      <c r="O1124" s="1581"/>
      <c r="P1124" s="1581"/>
      <c r="Q1124" s="1581"/>
    </row>
    <row r="1125" spans="1:17">
      <c r="A1125" s="1068"/>
      <c r="B1125" s="1057"/>
      <c r="C1125" s="1063"/>
      <c r="D1125" s="1063"/>
      <c r="E1125" s="1063"/>
      <c r="F1125" s="1063"/>
      <c r="G1125" s="1063"/>
      <c r="H1125" s="1063"/>
      <c r="I1125" s="1063"/>
      <c r="J1125" s="1063"/>
      <c r="K1125" s="1063"/>
      <c r="L1125" s="1063"/>
      <c r="M1125" s="1063"/>
      <c r="Q1125" s="1068"/>
    </row>
    <row r="1126" spans="1:17">
      <c r="A1126" s="1125">
        <v>14</v>
      </c>
      <c r="B1126" s="1125" t="s">
        <v>2861</v>
      </c>
      <c r="C1126" s="1083"/>
      <c r="D1126" s="1063"/>
      <c r="E1126" s="1063"/>
      <c r="F1126" s="1063"/>
      <c r="G1126" s="1063"/>
      <c r="H1126" s="1063"/>
      <c r="I1126" s="1063"/>
      <c r="J1126" s="1063"/>
      <c r="K1126" s="1063"/>
      <c r="L1126" s="1063"/>
      <c r="M1126" s="1063"/>
      <c r="O1126" s="940" t="s">
        <v>1998</v>
      </c>
      <c r="P1126" s="1582">
        <f>'Part VIII-Threshold Criteria'!P217</f>
        <v>0</v>
      </c>
      <c r="Q1126" s="1582"/>
    </row>
    <row r="1127" spans="1:17">
      <c r="B1127" s="565" t="s">
        <v>1264</v>
      </c>
      <c r="N1127" s="830"/>
      <c r="P1127" s="1122" t="str">
        <f>'Part VIII-Threshold Criteria'!P218</f>
        <v>Yes</v>
      </c>
      <c r="Q1127" s="1122">
        <f>'Part VIII-Threshold Criteria'!Q218</f>
        <v>0</v>
      </c>
    </row>
    <row r="1128" spans="1:17">
      <c r="B1128" s="943" t="s">
        <v>2119</v>
      </c>
      <c r="C1128" s="939" t="s">
        <v>1468</v>
      </c>
      <c r="D1128" s="581"/>
      <c r="E1128" s="581"/>
      <c r="F1128" s="581"/>
      <c r="G1128" s="581"/>
      <c r="H1128" s="581"/>
      <c r="I1128" s="581"/>
      <c r="J1128" s="581"/>
      <c r="K1128" s="581"/>
      <c r="L1128" s="581"/>
      <c r="M1128" s="581"/>
    </row>
    <row r="1129" spans="1:17">
      <c r="B1129" s="943"/>
      <c r="C1129" s="942" t="s">
        <v>1859</v>
      </c>
      <c r="D1129" s="582" t="s">
        <v>2066</v>
      </c>
      <c r="E1129" s="582"/>
      <c r="F1129" s="582"/>
      <c r="G1129" s="582"/>
      <c r="H1129" s="582"/>
      <c r="I1129" s="581"/>
      <c r="K1129" s="942" t="s">
        <v>1588</v>
      </c>
      <c r="L1129" s="1586" t="str">
        <f>'Part VIII-Threshold Criteria'!L220</f>
        <v>Room</v>
      </c>
      <c r="M1129" s="1586"/>
      <c r="Q1129" s="1122">
        <f>'Part VIII-Threshold Criteria'!Q220</f>
        <v>0</v>
      </c>
    </row>
    <row r="1130" spans="1:17" ht="13.5">
      <c r="B1130" s="943"/>
      <c r="C1130" s="942" t="s">
        <v>1860</v>
      </c>
      <c r="D1130" s="1081" t="s">
        <v>2979</v>
      </c>
      <c r="E1130" s="1081"/>
      <c r="F1130" s="1081"/>
      <c r="G1130" s="1081"/>
      <c r="H1130" s="1081"/>
      <c r="I1130" s="581"/>
      <c r="K1130" s="942" t="s">
        <v>1589</v>
      </c>
      <c r="L1130" s="1586" t="str">
        <f>'Part VIII-Threshold Criteria'!L221</f>
        <v>Covered Porch</v>
      </c>
      <c r="M1130" s="1586"/>
      <c r="N1130" s="1587" t="str">
        <f>'Part VIII-Threshold Criteria'!N221</f>
        <v>If "Other", explain here</v>
      </c>
      <c r="O1130" s="1587"/>
      <c r="P1130" s="1587"/>
      <c r="Q1130" s="1122">
        <f>'Part VIII-Threshold Criteria'!Q221</f>
        <v>0</v>
      </c>
    </row>
    <row r="1131" spans="1:17">
      <c r="B1131" s="943"/>
      <c r="C1131" s="942" t="s">
        <v>1861</v>
      </c>
      <c r="D1131" s="1081" t="s">
        <v>591</v>
      </c>
      <c r="E1131" s="1081"/>
      <c r="F1131" s="1081"/>
      <c r="G1131" s="1081"/>
      <c r="H1131" s="1081"/>
      <c r="I1131" s="581"/>
      <c r="K1131" s="942" t="s">
        <v>1590</v>
      </c>
      <c r="L1131" s="1586" t="str">
        <f>'Part VIII-Threshold Criteria'!L222</f>
        <v>On-site laundry</v>
      </c>
      <c r="M1131" s="1586"/>
      <c r="N1131" s="1586"/>
      <c r="Q1131" s="1122">
        <f>'Part VIII-Threshold Criteria'!Q222</f>
        <v>0</v>
      </c>
    </row>
    <row r="1132" spans="1:17">
      <c r="B1132" s="943"/>
      <c r="C1132" s="942"/>
      <c r="D1132" s="582"/>
      <c r="E1132" s="582"/>
      <c r="F1132" s="582"/>
      <c r="G1132" s="582"/>
      <c r="H1132" s="582"/>
      <c r="I1132" s="581"/>
      <c r="J1132" s="581"/>
      <c r="K1132" s="581"/>
      <c r="L1132" s="581"/>
      <c r="M1132" s="581"/>
    </row>
    <row r="1133" spans="1:17">
      <c r="B1133" s="943" t="s">
        <v>2122</v>
      </c>
      <c r="C1133" s="939" t="s">
        <v>2682</v>
      </c>
      <c r="D1133" s="582"/>
      <c r="E1133" s="582"/>
      <c r="F1133" s="582"/>
      <c r="G1133" s="582"/>
      <c r="H1133" s="582"/>
      <c r="I1133" s="582"/>
      <c r="J1133" s="582"/>
      <c r="K1133" s="581"/>
      <c r="L1133" s="581"/>
      <c r="M1133" s="581"/>
      <c r="N1133" s="581"/>
      <c r="O1133" s="942" t="s">
        <v>2122</v>
      </c>
      <c r="P1133" s="1122" t="str">
        <f>'Part VIII-Threshold Criteria'!P224</f>
        <v>Agree</v>
      </c>
      <c r="Q1133" s="1122">
        <f>'Part VIII-Threshold Criteria'!Q224</f>
        <v>0</v>
      </c>
    </row>
    <row r="1134" spans="1:17">
      <c r="B1134" s="943"/>
      <c r="C1134" s="582" t="s">
        <v>3682</v>
      </c>
      <c r="D1134" s="582"/>
      <c r="E1134" s="582"/>
      <c r="F1134" s="582"/>
      <c r="G1134" s="582"/>
      <c r="H1134" s="582"/>
      <c r="I1134" s="582"/>
      <c r="J1134" s="582"/>
      <c r="K1134" s="581"/>
      <c r="L1134" s="581"/>
      <c r="M1134" s="581"/>
      <c r="N1134" s="581"/>
      <c r="O1134" s="581"/>
      <c r="P1134" s="1588" t="s">
        <v>3</v>
      </c>
      <c r="Q1134" s="1588"/>
    </row>
    <row r="1135" spans="1:17">
      <c r="B1135" s="943"/>
      <c r="D1135" s="582" t="s">
        <v>2</v>
      </c>
      <c r="E1135" s="582"/>
      <c r="F1135" s="582"/>
      <c r="G1135" s="582"/>
      <c r="I1135" s="1098" t="s">
        <v>825</v>
      </c>
      <c r="J1135" s="842" t="s">
        <v>826</v>
      </c>
      <c r="L1135" s="582" t="s">
        <v>2981</v>
      </c>
      <c r="M1135" s="581"/>
      <c r="N1135" s="581"/>
      <c r="O1135" s="1098"/>
      <c r="P1135" s="958" t="s">
        <v>825</v>
      </c>
      <c r="Q1135" s="842" t="s">
        <v>826</v>
      </c>
    </row>
    <row r="1136" spans="1:17">
      <c r="A1136" s="581"/>
      <c r="B1136" s="1122"/>
      <c r="C1136" s="942" t="s">
        <v>1859</v>
      </c>
      <c r="D1136" s="1574" t="str">
        <f>'Part VIII-Threshold Criteria'!D227</f>
        <v>Fenced Community Garden</v>
      </c>
      <c r="E1136" s="1574"/>
      <c r="F1136" s="1574"/>
      <c r="G1136" s="1574"/>
      <c r="H1136" s="1574"/>
      <c r="I1136" s="1122">
        <f>'Part VIII-Threshold Criteria'!I227</f>
        <v>0</v>
      </c>
      <c r="J1136" s="1122">
        <f>'Part VIII-Threshold Criteria'!J227</f>
        <v>0</v>
      </c>
      <c r="K1136" s="942" t="s">
        <v>1861</v>
      </c>
      <c r="L1136" s="1574" t="str">
        <f>'Part VIII-Threshold Criteria'!L227</f>
        <v>Equipped Computer Center</v>
      </c>
      <c r="M1136" s="1574"/>
      <c r="N1136" s="1574"/>
      <c r="O1136" s="1574"/>
      <c r="P1136" s="1122">
        <f>'Part VIII-Threshold Criteria'!P227</f>
        <v>0</v>
      </c>
      <c r="Q1136" s="1122">
        <f>'Part VIII-Threshold Criteria'!Q227</f>
        <v>0</v>
      </c>
    </row>
    <row r="1137" spans="1:17">
      <c r="A1137" s="581"/>
      <c r="B1137" s="1122"/>
      <c r="C1137" s="942" t="s">
        <v>1860</v>
      </c>
      <c r="D1137" s="1574" t="str">
        <f>'Part VIII-Threshold Criteria'!D228</f>
        <v>Equipped Playground</v>
      </c>
      <c r="E1137" s="1574"/>
      <c r="F1137" s="1574"/>
      <c r="G1137" s="1574"/>
      <c r="H1137" s="1574"/>
      <c r="I1137" s="1122">
        <f>'Part VIII-Threshold Criteria'!I228</f>
        <v>0</v>
      </c>
      <c r="J1137" s="1122">
        <f>'Part VIII-Threshold Criteria'!J228</f>
        <v>0</v>
      </c>
      <c r="K1137" s="942" t="s">
        <v>2521</v>
      </c>
      <c r="L1137" s="1574" t="str">
        <f>'Part VIII-Threshold Criteria'!L228</f>
        <v>Covered Pavilion with Picnic/barbecue Facilities</v>
      </c>
      <c r="M1137" s="1574"/>
      <c r="N1137" s="1574"/>
      <c r="O1137" s="1574"/>
      <c r="P1137" s="1122">
        <f>'Part VIII-Threshold Criteria'!P228</f>
        <v>0</v>
      </c>
      <c r="Q1137" s="1122">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43" t="s">
        <v>799</v>
      </c>
      <c r="C1139" s="939" t="s">
        <v>1469</v>
      </c>
      <c r="D1139" s="582"/>
      <c r="E1139" s="582"/>
      <c r="F1139" s="582"/>
      <c r="G1139" s="582"/>
      <c r="H1139" s="582"/>
      <c r="I1139" s="582"/>
      <c r="J1139" s="582"/>
      <c r="K1139" s="581"/>
      <c r="L1139" s="582"/>
      <c r="M1139" s="582"/>
      <c r="O1139" s="942" t="s">
        <v>799</v>
      </c>
      <c r="P1139" s="1122" t="str">
        <f>'Part VIII-Threshold Criteria'!P230</f>
        <v>Agree</v>
      </c>
      <c r="Q1139" s="1122">
        <f>'Part VIII-Threshold Criteria'!Q230</f>
        <v>0</v>
      </c>
    </row>
    <row r="1140" spans="1:17">
      <c r="B1140" s="943"/>
      <c r="C1140" s="942" t="s">
        <v>1859</v>
      </c>
      <c r="D1140" s="582" t="s">
        <v>159</v>
      </c>
      <c r="E1140" s="582"/>
      <c r="F1140" s="582"/>
      <c r="G1140" s="582"/>
      <c r="H1140" s="582"/>
      <c r="I1140" s="581"/>
      <c r="J1140" s="581"/>
      <c r="K1140" s="581"/>
      <c r="L1140" s="581"/>
      <c r="M1140" s="581"/>
      <c r="O1140" s="942" t="s">
        <v>1859</v>
      </c>
      <c r="P1140" s="1122" t="str">
        <f>'Part VIII-Threshold Criteria'!P231</f>
        <v>Yes</v>
      </c>
      <c r="Q1140" s="1122">
        <f>'Part VIII-Threshold Criteria'!Q231</f>
        <v>0</v>
      </c>
    </row>
    <row r="1141" spans="1:17">
      <c r="C1141" s="942" t="s">
        <v>1860</v>
      </c>
      <c r="D1141" s="1081" t="s">
        <v>3271</v>
      </c>
      <c r="E1141" s="1081"/>
      <c r="F1141" s="1081"/>
      <c r="G1141" s="1081"/>
      <c r="H1141" s="1081"/>
      <c r="I1141" s="581"/>
      <c r="J1141" s="581"/>
      <c r="K1141" s="581"/>
      <c r="L1141" s="581"/>
      <c r="M1141" s="581"/>
      <c r="O1141" s="942" t="s">
        <v>1860</v>
      </c>
      <c r="P1141" s="1122" t="str">
        <f>'Part VIII-Threshold Criteria'!P232</f>
        <v>Yes</v>
      </c>
      <c r="Q1141" s="1122">
        <f>'Part VIII-Threshold Criteria'!Q232</f>
        <v>0</v>
      </c>
    </row>
    <row r="1142" spans="1:17">
      <c r="C1142" s="942" t="s">
        <v>1861</v>
      </c>
      <c r="D1142" s="1081" t="s">
        <v>3272</v>
      </c>
      <c r="E1142" s="1081"/>
      <c r="F1142" s="1081"/>
      <c r="G1142" s="1081"/>
      <c r="H1142" s="1081"/>
      <c r="I1142" s="581"/>
      <c r="J1142" s="581"/>
      <c r="K1142" s="581"/>
      <c r="L1142" s="581"/>
      <c r="M1142" s="581"/>
      <c r="O1142" s="942" t="s">
        <v>1861</v>
      </c>
      <c r="P1142" s="1122" t="str">
        <f>'Part VIII-Threshold Criteria'!P233</f>
        <v>Yes</v>
      </c>
      <c r="Q1142" s="1122">
        <f>'Part VIII-Threshold Criteria'!Q233</f>
        <v>0</v>
      </c>
    </row>
    <row r="1143" spans="1:17">
      <c r="B1143" s="943"/>
      <c r="C1143" s="942" t="s">
        <v>2521</v>
      </c>
      <c r="D1143" s="1081" t="s">
        <v>3273</v>
      </c>
      <c r="E1143" s="1081"/>
      <c r="F1143" s="1081"/>
      <c r="G1143" s="1081"/>
      <c r="H1143" s="1081"/>
      <c r="I1143" s="581"/>
      <c r="J1143" s="581"/>
      <c r="K1143" s="581"/>
      <c r="L1143" s="581"/>
      <c r="M1143" s="581"/>
      <c r="O1143" s="942" t="s">
        <v>2521</v>
      </c>
      <c r="P1143" s="1122" t="str">
        <f>'Part VIII-Threshold Criteria'!P234</f>
        <v>Yes</v>
      </c>
      <c r="Q1143" s="1122">
        <f>'Part VIII-Threshold Criteria'!Q234</f>
        <v>0</v>
      </c>
    </row>
    <row r="1144" spans="1:17">
      <c r="B1144" s="943"/>
      <c r="C1144" s="942" t="s">
        <v>1657</v>
      </c>
      <c r="D1144" s="1081" t="s">
        <v>3274</v>
      </c>
      <c r="E1144" s="1081"/>
      <c r="F1144" s="1081"/>
      <c r="G1144" s="1081"/>
      <c r="H1144" s="1081"/>
      <c r="I1144" s="581"/>
      <c r="J1144" s="581"/>
      <c r="K1144" s="581"/>
      <c r="L1144" s="581"/>
      <c r="M1144" s="581"/>
      <c r="O1144" s="942" t="s">
        <v>1657</v>
      </c>
      <c r="P1144" s="1122" t="str">
        <f>'Part VIII-Threshold Criteria'!P235</f>
        <v>Yes</v>
      </c>
      <c r="Q1144" s="1122">
        <f>'Part VIII-Threshold Criteria'!Q235</f>
        <v>0</v>
      </c>
    </row>
    <row r="1145" spans="1:17">
      <c r="B1145" s="943"/>
      <c r="C1145" s="942" t="s">
        <v>1658</v>
      </c>
      <c r="D1145" s="582" t="s">
        <v>827</v>
      </c>
      <c r="E1145" s="582"/>
      <c r="F1145" s="582"/>
      <c r="G1145" s="582"/>
      <c r="H1145" s="582"/>
      <c r="I1145" s="581"/>
      <c r="J1145" s="581"/>
      <c r="K1145" s="581"/>
      <c r="L1145" s="581"/>
      <c r="M1145" s="581"/>
      <c r="O1145" s="942" t="s">
        <v>3257</v>
      </c>
      <c r="P1145" s="1122" t="str">
        <f>'Part VIII-Threshold Criteria'!P236</f>
        <v>Yes</v>
      </c>
      <c r="Q1145" s="1122">
        <f>'Part VIII-Threshold Criteria'!Q236</f>
        <v>0</v>
      </c>
    </row>
    <row r="1146" spans="1:17">
      <c r="B1146" s="943"/>
      <c r="C1146" s="942"/>
      <c r="D1146" s="582" t="s">
        <v>1591</v>
      </c>
      <c r="E1146" s="582"/>
      <c r="F1146" s="582"/>
      <c r="G1146" s="582"/>
      <c r="H1146" s="582"/>
      <c r="I1146" s="581"/>
      <c r="J1146" s="581"/>
      <c r="K1146" s="581"/>
      <c r="L1146" s="581"/>
      <c r="M1146" s="581"/>
      <c r="O1146" s="942" t="s">
        <v>3258</v>
      </c>
      <c r="P1146" s="1122" t="str">
        <f>'Part VIII-Threshold Criteria'!P237</f>
        <v>No</v>
      </c>
      <c r="Q1146" s="1122">
        <f>'Part VIII-Threshold Criteria'!Q237</f>
        <v>0</v>
      </c>
    </row>
    <row r="1147" spans="1:17">
      <c r="B1147" s="943"/>
      <c r="C1147" s="942"/>
      <c r="D1147" s="582"/>
      <c r="E1147" s="582"/>
      <c r="F1147" s="582"/>
      <c r="G1147" s="582"/>
      <c r="H1147" s="582"/>
      <c r="I1147" s="581"/>
      <c r="J1147" s="581"/>
      <c r="K1147" s="581"/>
      <c r="L1147" s="581"/>
      <c r="M1147" s="581"/>
    </row>
    <row r="1148" spans="1:17">
      <c r="B1148" s="943" t="s">
        <v>2254</v>
      </c>
      <c r="C1148" s="939" t="s">
        <v>2895</v>
      </c>
      <c r="D1148" s="582"/>
      <c r="E1148" s="582"/>
      <c r="F1148" s="582"/>
      <c r="G1148" s="582"/>
      <c r="H1148" s="582"/>
      <c r="I1148" s="582"/>
      <c r="J1148" s="582"/>
      <c r="K1148" s="581"/>
      <c r="L1148" s="582"/>
      <c r="M1148" s="582"/>
      <c r="O1148" s="942" t="s">
        <v>2254</v>
      </c>
      <c r="P1148" s="1122">
        <f>'Part VIII-Threshold Criteria'!P239</f>
        <v>0</v>
      </c>
      <c r="Q1148" s="1122">
        <f>'Part VIII-Threshold Criteria'!Q239</f>
        <v>0</v>
      </c>
    </row>
    <row r="1149" spans="1:17">
      <c r="B1149" s="943"/>
      <c r="C1149" s="942" t="s">
        <v>1859</v>
      </c>
      <c r="D1149" s="582" t="s">
        <v>1333</v>
      </c>
      <c r="E1149" s="581"/>
      <c r="F1149" s="581"/>
      <c r="G1149" s="582"/>
      <c r="H1149" s="1081"/>
      <c r="I1149" s="581"/>
      <c r="J1149" s="1081"/>
      <c r="K1149" s="581"/>
      <c r="L1149" s="1081"/>
      <c r="M1149" s="1081"/>
      <c r="O1149" s="942" t="s">
        <v>1859</v>
      </c>
      <c r="P1149" s="1122">
        <f>'Part VIII-Threshold Criteria'!P240</f>
        <v>0</v>
      </c>
      <c r="Q1149" s="1122">
        <f>'Part VIII-Threshold Criteria'!Q240</f>
        <v>0</v>
      </c>
    </row>
    <row r="1150" spans="1:17">
      <c r="B1150" s="943"/>
      <c r="C1150" s="942" t="s">
        <v>1860</v>
      </c>
      <c r="D1150" s="582" t="s">
        <v>152</v>
      </c>
      <c r="E1150" s="581"/>
      <c r="F1150" s="581"/>
      <c r="G1150" s="1081"/>
      <c r="H1150" s="1081"/>
      <c r="I1150" s="581"/>
      <c r="J1150" s="1081"/>
      <c r="K1150" s="581"/>
      <c r="L1150" s="1081"/>
      <c r="M1150" s="1081"/>
      <c r="O1150" s="942" t="s">
        <v>1860</v>
      </c>
      <c r="P1150" s="1122">
        <f>'Part VIII-Threshold Criteria'!P241</f>
        <v>0</v>
      </c>
      <c r="Q1150" s="1122">
        <f>'Part VIII-Threshold Criteria'!Q241</f>
        <v>0</v>
      </c>
    </row>
    <row r="1151" spans="1:17">
      <c r="B1151" s="943"/>
      <c r="C1151" s="942" t="s">
        <v>1861</v>
      </c>
      <c r="D1151" s="1081" t="s">
        <v>1753</v>
      </c>
      <c r="E1151" s="581"/>
      <c r="F1151" s="581"/>
      <c r="G1151" s="1081"/>
      <c r="H1151" s="1081"/>
      <c r="I1151" s="581"/>
      <c r="J1151" s="1081"/>
      <c r="K1151" s="581"/>
      <c r="L1151" s="1081"/>
      <c r="M1151" s="1081"/>
      <c r="O1151" s="942" t="s">
        <v>2527</v>
      </c>
      <c r="P1151" s="1122">
        <f>'Part VIII-Threshold Criteria'!P242</f>
        <v>0</v>
      </c>
      <c r="Q1151" s="1122">
        <f>'Part VIII-Threshold Criteria'!Q242</f>
        <v>0</v>
      </c>
    </row>
    <row r="1152" spans="1:17">
      <c r="B1152" s="582"/>
      <c r="C1152" s="581"/>
      <c r="D1152" s="1081" t="s">
        <v>1371</v>
      </c>
      <c r="E1152" s="581"/>
      <c r="F1152" s="581"/>
      <c r="G1152" s="1081"/>
      <c r="H1152" s="1081"/>
      <c r="I1152" s="581"/>
      <c r="J1152" s="1081"/>
      <c r="K1152" s="581"/>
      <c r="L1152" s="1081"/>
      <c r="M1152" s="1081"/>
      <c r="O1152" s="942" t="s">
        <v>2528</v>
      </c>
      <c r="P1152" s="1122">
        <f>'Part VIII-Threshold Criteria'!P243</f>
        <v>0</v>
      </c>
      <c r="Q1152" s="1122">
        <f>'Part VIII-Threshold Criteria'!Q243</f>
        <v>0</v>
      </c>
    </row>
    <row r="1153" spans="1:17">
      <c r="B1153" s="952" t="s">
        <v>1996</v>
      </c>
      <c r="D1153" s="952"/>
      <c r="E1153" s="952"/>
      <c r="F1153" s="952"/>
      <c r="G1153" s="952"/>
      <c r="H1153" s="1081"/>
      <c r="I1153" s="1057"/>
      <c r="J1153" s="1057"/>
      <c r="K1153" s="1057"/>
      <c r="L1153" s="1068"/>
      <c r="M1153" s="1068"/>
      <c r="N1153" s="1068"/>
      <c r="O1153" s="1068"/>
      <c r="P1153" s="1068"/>
      <c r="Q1153" s="1068"/>
    </row>
    <row r="1154" spans="1:17">
      <c r="A1154" s="1574" t="str">
        <f>'Part VIII-Threshold Criteria'!A245</f>
        <v>All units designated for occupancy by seniors or disabled persons will be on the ground floor and will be ADA accessible.</v>
      </c>
      <c r="B1154" s="1574"/>
      <c r="C1154" s="1574"/>
      <c r="D1154" s="1574"/>
      <c r="E1154" s="1574"/>
      <c r="F1154" s="1574"/>
      <c r="G1154" s="1574"/>
      <c r="H1154" s="1574"/>
      <c r="I1154" s="1574"/>
      <c r="J1154" s="1574"/>
      <c r="K1154" s="1574"/>
      <c r="L1154" s="1574"/>
      <c r="M1154" s="1574"/>
      <c r="N1154" s="1574"/>
      <c r="O1154" s="1574"/>
      <c r="P1154" s="1574"/>
      <c r="Q1154" s="1574"/>
    </row>
    <row r="1155" spans="1:17">
      <c r="B1155" s="945" t="s">
        <v>1997</v>
      </c>
      <c r="C1155" s="946"/>
      <c r="D1155" s="1063"/>
      <c r="E1155" s="1063"/>
      <c r="F1155" s="1063"/>
      <c r="G1155" s="1063"/>
      <c r="H1155" s="1063"/>
      <c r="I1155" s="1063"/>
      <c r="J1155" s="1063"/>
      <c r="K1155" s="1063"/>
      <c r="L1155" s="1063"/>
      <c r="M1155" s="1063"/>
      <c r="N1155" s="1063"/>
      <c r="O1155" s="1063"/>
      <c r="P1155" s="1063"/>
      <c r="Q1155" s="1063"/>
    </row>
    <row r="1156" spans="1:17">
      <c r="A1156" s="1581">
        <f>'Part VIII-Threshold Criteria'!A247</f>
        <v>0</v>
      </c>
      <c r="B1156" s="1581"/>
      <c r="C1156" s="1581"/>
      <c r="D1156" s="1581"/>
      <c r="E1156" s="1581"/>
      <c r="F1156" s="1581"/>
      <c r="G1156" s="1581"/>
      <c r="H1156" s="1581"/>
      <c r="I1156" s="1581"/>
      <c r="J1156" s="1581"/>
      <c r="K1156" s="1581"/>
      <c r="L1156" s="1581"/>
      <c r="M1156" s="1581"/>
      <c r="N1156" s="1581"/>
      <c r="O1156" s="1581"/>
      <c r="P1156" s="1581"/>
      <c r="Q1156" s="1581"/>
    </row>
    <row r="1157" spans="1:17">
      <c r="A1157" s="1068"/>
      <c r="B1157" s="1057"/>
      <c r="C1157" s="1063"/>
      <c r="D1157" s="1063"/>
      <c r="E1157" s="1063"/>
      <c r="F1157" s="1063"/>
      <c r="G1157" s="1063"/>
      <c r="H1157" s="1063"/>
      <c r="I1157" s="1063"/>
      <c r="J1157" s="1063"/>
      <c r="K1157" s="1063"/>
      <c r="L1157" s="1063"/>
      <c r="M1157" s="1063"/>
      <c r="Q1157" s="1068"/>
    </row>
    <row r="1158" spans="1:17">
      <c r="A1158" s="1125">
        <v>15</v>
      </c>
      <c r="B1158" s="584" t="s">
        <v>2862</v>
      </c>
      <c r="C1158" s="584"/>
      <c r="D1158" s="939"/>
      <c r="E1158" s="939"/>
      <c r="F1158" s="939"/>
      <c r="G1158" s="939"/>
      <c r="H1158" s="1063"/>
      <c r="I1158" s="1063"/>
      <c r="J1158" s="1063"/>
      <c r="K1158" s="1063"/>
      <c r="L1158" s="1063"/>
      <c r="M1158" s="1063"/>
      <c r="O1158" s="940" t="s">
        <v>1998</v>
      </c>
      <c r="P1158" s="1582">
        <f>'Part VIII-Threshold Criteria'!P249</f>
        <v>0</v>
      </c>
      <c r="Q1158" s="1582"/>
    </row>
    <row r="1160" spans="1:17">
      <c r="B1160" s="943" t="s">
        <v>2119</v>
      </c>
      <c r="C1160" s="582" t="s">
        <v>1348</v>
      </c>
      <c r="D1160" s="581"/>
      <c r="E1160" s="582"/>
      <c r="F1160" s="582"/>
      <c r="G1160" s="582"/>
      <c r="H1160" s="582"/>
      <c r="I1160" s="581"/>
      <c r="J1160" s="581"/>
      <c r="K1160" s="581"/>
      <c r="L1160" s="942" t="s">
        <v>2119</v>
      </c>
      <c r="M1160" s="1586" t="str">
        <f>'Part VIII-Threshold Criteria'!M251</f>
        <v>&lt;&lt;Select&gt;&gt;</v>
      </c>
      <c r="N1160" s="1586"/>
      <c r="O1160" s="1586"/>
      <c r="P1160" s="1586" t="str">
        <f>'Part VIII-Threshold Criteria'!P251</f>
        <v>&lt;&lt;Select&gt;&gt;</v>
      </c>
      <c r="Q1160" s="1586"/>
    </row>
    <row r="1161" spans="1:17">
      <c r="B1161" s="943" t="s">
        <v>2122</v>
      </c>
      <c r="C1161" s="582" t="s">
        <v>3275</v>
      </c>
      <c r="D1161" s="582"/>
      <c r="E1161" s="582"/>
      <c r="F1161" s="582"/>
      <c r="G1161" s="582"/>
      <c r="H1161" s="582"/>
      <c r="I1161" s="581"/>
      <c r="J1161" s="581"/>
      <c r="K1161" s="581"/>
      <c r="L1161" s="942" t="s">
        <v>2122</v>
      </c>
      <c r="M1161" s="1605">
        <f>'Part VIII-Threshold Criteria'!M252</f>
        <v>0</v>
      </c>
      <c r="N1161" s="1605"/>
      <c r="O1161" s="1605"/>
      <c r="P1161" s="1605">
        <f>'Part VIII-Threshold Criteria'!P252</f>
        <v>0</v>
      </c>
      <c r="Q1161" s="1605"/>
    </row>
    <row r="1162" spans="1:17">
      <c r="B1162" s="943" t="s">
        <v>799</v>
      </c>
      <c r="C1162" s="582" t="s">
        <v>2080</v>
      </c>
      <c r="D1162" s="582"/>
      <c r="E1162" s="582"/>
      <c r="F1162" s="582"/>
      <c r="G1162" s="582"/>
      <c r="H1162" s="582"/>
      <c r="I1162" s="581"/>
      <c r="J1162" s="581"/>
      <c r="K1162" s="581"/>
      <c r="L1162" s="942" t="s">
        <v>799</v>
      </c>
      <c r="M1162" s="1586">
        <f>'Part VIII-Threshold Criteria'!M253</f>
        <v>0</v>
      </c>
      <c r="N1162" s="1586"/>
      <c r="O1162" s="1586"/>
      <c r="P1162" s="1586">
        <f>'Part VIII-Threshold Criteria'!P253</f>
        <v>0</v>
      </c>
      <c r="Q1162" s="1586"/>
    </row>
    <row r="1163" spans="1:17">
      <c r="B1163" s="943" t="s">
        <v>2254</v>
      </c>
      <c r="C1163" s="582" t="s">
        <v>2727</v>
      </c>
      <c r="D1163" s="582"/>
      <c r="E1163" s="582"/>
      <c r="F1163" s="582"/>
      <c r="G1163" s="582"/>
      <c r="H1163" s="582"/>
      <c r="I1163" s="581"/>
      <c r="J1163" s="581"/>
      <c r="K1163" s="581"/>
      <c r="L1163" s="581"/>
      <c r="M1163" s="581"/>
      <c r="O1163" s="942" t="s">
        <v>2254</v>
      </c>
      <c r="P1163" s="1122">
        <f>'Part VIII-Threshold Criteria'!P254</f>
        <v>0</v>
      </c>
      <c r="Q1163" s="1122">
        <f>'Part VIII-Threshold Criteria'!Q254</f>
        <v>0</v>
      </c>
    </row>
    <row r="1164" spans="1:17">
      <c r="B1164" s="941" t="s">
        <v>1857</v>
      </c>
      <c r="C1164" s="1574" t="s">
        <v>3683</v>
      </c>
      <c r="D1164" s="1574"/>
      <c r="E1164" s="1574"/>
      <c r="F1164" s="1574"/>
      <c r="G1164" s="1574"/>
      <c r="H1164" s="1574"/>
      <c r="I1164" s="1574"/>
      <c r="J1164" s="1574"/>
      <c r="K1164" s="1574"/>
      <c r="L1164" s="1574"/>
      <c r="M1164" s="1574"/>
      <c r="N1164" s="1574"/>
      <c r="O1164" s="954" t="s">
        <v>1857</v>
      </c>
      <c r="P1164" s="1122">
        <f>'Part VIII-Threshold Criteria'!P255</f>
        <v>0</v>
      </c>
      <c r="Q1164" s="1122">
        <f>'Part VIII-Threshold Criteria'!Q255</f>
        <v>0</v>
      </c>
    </row>
    <row r="1165" spans="1:17">
      <c r="B1165" s="952" t="s">
        <v>1996</v>
      </c>
      <c r="D1165" s="952"/>
      <c r="E1165" s="952"/>
      <c r="F1165" s="952"/>
      <c r="G1165" s="952"/>
      <c r="H1165" s="1081"/>
      <c r="I1165" s="1057"/>
      <c r="J1165" s="1057"/>
      <c r="K1165" s="1057"/>
      <c r="L1165" s="1068"/>
      <c r="M1165" s="1068"/>
      <c r="N1165" s="1068"/>
      <c r="O1165" s="1068"/>
      <c r="P1165" s="1068"/>
      <c r="Q1165" s="1068"/>
    </row>
    <row r="1166" spans="1:17">
      <c r="A1166" s="1574">
        <f>'Part VIII-Threshold Criteria'!A257</f>
        <v>0</v>
      </c>
      <c r="B1166" s="1574"/>
      <c r="C1166" s="1574"/>
      <c r="D1166" s="1574"/>
      <c r="E1166" s="1574"/>
      <c r="F1166" s="1574"/>
      <c r="G1166" s="1574"/>
      <c r="H1166" s="1574"/>
      <c r="I1166" s="1574"/>
      <c r="J1166" s="1574"/>
      <c r="K1166" s="1574"/>
      <c r="L1166" s="1574"/>
      <c r="M1166" s="1574"/>
      <c r="N1166" s="1574"/>
      <c r="O1166" s="1574"/>
      <c r="P1166" s="1574"/>
      <c r="Q1166" s="1574"/>
    </row>
    <row r="1167" spans="1:17">
      <c r="B1167" s="945" t="s">
        <v>1997</v>
      </c>
      <c r="C1167" s="946"/>
      <c r="D1167" s="1063"/>
      <c r="E1167" s="1063"/>
      <c r="F1167" s="1063"/>
      <c r="G1167" s="1063"/>
      <c r="H1167" s="1063"/>
      <c r="I1167" s="1063"/>
      <c r="J1167" s="1063"/>
      <c r="K1167" s="1063"/>
      <c r="L1167" s="1063"/>
      <c r="M1167" s="1063"/>
      <c r="N1167" s="1063"/>
      <c r="O1167" s="1063"/>
      <c r="P1167" s="1063"/>
      <c r="Q1167" s="1063"/>
    </row>
    <row r="1168" spans="1:17">
      <c r="A1168" s="1581">
        <f>'Part VIII-Threshold Criteria'!A259</f>
        <v>0</v>
      </c>
      <c r="B1168" s="1581"/>
      <c r="C1168" s="1581"/>
      <c r="D1168" s="1581"/>
      <c r="E1168" s="1581"/>
      <c r="F1168" s="1581"/>
      <c r="G1168" s="1581"/>
      <c r="H1168" s="1581"/>
      <c r="I1168" s="1581"/>
      <c r="J1168" s="1581"/>
      <c r="K1168" s="1581"/>
      <c r="L1168" s="1581"/>
      <c r="M1168" s="1581"/>
      <c r="N1168" s="1581"/>
      <c r="O1168" s="1581"/>
      <c r="P1168" s="1581"/>
      <c r="Q1168" s="1581"/>
    </row>
    <row r="1169" spans="1:17">
      <c r="A1169" s="1068"/>
      <c r="B1169" s="1057"/>
      <c r="C1169" s="1063"/>
      <c r="D1169" s="1063"/>
      <c r="E1169" s="1063"/>
      <c r="F1169" s="1063"/>
      <c r="G1169" s="1063"/>
      <c r="H1169" s="1063"/>
      <c r="I1169" s="1063"/>
      <c r="J1169" s="1063"/>
      <c r="K1169" s="1063"/>
      <c r="L1169" s="1063"/>
      <c r="M1169" s="1063"/>
      <c r="Q1169" s="1068"/>
    </row>
    <row r="1170" spans="1:17">
      <c r="A1170" s="1125">
        <v>16</v>
      </c>
      <c r="B1170" s="584" t="s">
        <v>2863</v>
      </c>
      <c r="C1170" s="584"/>
      <c r="D1170" s="939"/>
      <c r="E1170" s="939"/>
      <c r="F1170" s="939"/>
      <c r="G1170" s="939"/>
      <c r="H1170" s="1063"/>
      <c r="I1170" s="1063"/>
      <c r="J1170" s="1063"/>
      <c r="K1170" s="1063"/>
      <c r="L1170" s="1063"/>
      <c r="M1170" s="1063"/>
      <c r="O1170" s="940" t="s">
        <v>1998</v>
      </c>
      <c r="P1170" s="1582">
        <f>'Part VIII-Threshold Criteria'!P261</f>
        <v>0</v>
      </c>
      <c r="Q1170" s="1582"/>
    </row>
    <row r="1172" spans="1:17">
      <c r="A1172" s="1072"/>
      <c r="B1172" s="941" t="s">
        <v>2119</v>
      </c>
      <c r="C1172" s="1574" t="s">
        <v>3276</v>
      </c>
      <c r="D1172" s="1574"/>
      <c r="E1172" s="1574"/>
      <c r="F1172" s="1574"/>
      <c r="G1172" s="1574"/>
      <c r="H1172" s="1574"/>
      <c r="I1172" s="1574"/>
      <c r="J1172" s="1574"/>
      <c r="K1172" s="1574"/>
      <c r="L1172" s="1574"/>
      <c r="M1172" s="1574"/>
      <c r="N1172" s="1574"/>
      <c r="O1172" s="954" t="s">
        <v>2119</v>
      </c>
      <c r="P1172" s="1122" t="str">
        <f>'Part VIII-Threshold Criteria'!P263</f>
        <v>Yes</v>
      </c>
      <c r="Q1172" s="1122">
        <f>'Part VIII-Threshold Criteria'!Q263</f>
        <v>0</v>
      </c>
    </row>
    <row r="1173" spans="1:17">
      <c r="B1173" s="943" t="s">
        <v>2122</v>
      </c>
      <c r="C1173" s="582" t="s">
        <v>1495</v>
      </c>
      <c r="D1173" s="582"/>
      <c r="E1173" s="582"/>
      <c r="F1173" s="582"/>
      <c r="G1173" s="582"/>
      <c r="H1173" s="582"/>
      <c r="I1173" s="582"/>
      <c r="J1173" s="582"/>
      <c r="K1173" s="582"/>
      <c r="L1173" s="582"/>
      <c r="M1173" s="582"/>
      <c r="O1173" s="942" t="s">
        <v>2122</v>
      </c>
      <c r="P1173" s="1122" t="str">
        <f>'Part VIII-Threshold Criteria'!P264</f>
        <v>Yes</v>
      </c>
      <c r="Q1173" s="1122">
        <f>'Part VIII-Threshold Criteria'!Q264</f>
        <v>0</v>
      </c>
    </row>
    <row r="1174" spans="1:17">
      <c r="B1174" s="952" t="s">
        <v>1996</v>
      </c>
      <c r="D1174" s="952"/>
      <c r="E1174" s="952"/>
      <c r="F1174" s="952"/>
      <c r="G1174" s="952"/>
      <c r="H1174" s="1081"/>
      <c r="I1174" s="1057"/>
      <c r="J1174" s="1057"/>
      <c r="K1174" s="1057"/>
      <c r="L1174" s="1068"/>
      <c r="M1174" s="1068"/>
      <c r="N1174" s="1068"/>
      <c r="O1174" s="1068"/>
      <c r="P1174" s="1068"/>
      <c r="Q1174" s="1068"/>
    </row>
    <row r="1175" spans="1:17">
      <c r="A1175" s="1574" t="str">
        <f>'Part VIII-Threshold Criteria'!A266</f>
        <v>Please note that DCA approved amenity waivers for the project.</v>
      </c>
      <c r="B1175" s="1574"/>
      <c r="C1175" s="1574"/>
      <c r="D1175" s="1574"/>
      <c r="E1175" s="1574"/>
      <c r="F1175" s="1574"/>
      <c r="G1175" s="1574"/>
      <c r="H1175" s="1574"/>
      <c r="I1175" s="1574"/>
      <c r="J1175" s="1574"/>
      <c r="K1175" s="1574"/>
      <c r="L1175" s="1574"/>
      <c r="M1175" s="1574"/>
      <c r="N1175" s="1574"/>
      <c r="O1175" s="1574"/>
      <c r="P1175" s="1574"/>
      <c r="Q1175" s="1574"/>
    </row>
    <row r="1176" spans="1:17">
      <c r="B1176" s="945" t="s">
        <v>1997</v>
      </c>
      <c r="C1176" s="946"/>
      <c r="D1176" s="1063"/>
      <c r="E1176" s="1063"/>
      <c r="F1176" s="1063"/>
      <c r="G1176" s="1063"/>
      <c r="H1176" s="1063"/>
      <c r="I1176" s="1063"/>
      <c r="J1176" s="1063"/>
      <c r="K1176" s="1063"/>
      <c r="L1176" s="1063"/>
      <c r="M1176" s="1063"/>
      <c r="N1176" s="1063"/>
      <c r="O1176" s="1063"/>
      <c r="P1176" s="1063"/>
      <c r="Q1176" s="1063"/>
    </row>
    <row r="1177" spans="1:17">
      <c r="A1177" s="1581">
        <f>'Part VIII-Threshold Criteria'!A268</f>
        <v>0</v>
      </c>
      <c r="B1177" s="1581"/>
      <c r="C1177" s="1581"/>
      <c r="D1177" s="1581"/>
      <c r="E1177" s="1581"/>
      <c r="F1177" s="1581"/>
      <c r="G1177" s="1581"/>
      <c r="H1177" s="1581"/>
      <c r="I1177" s="1581"/>
      <c r="J1177" s="1581"/>
      <c r="K1177" s="1581"/>
      <c r="L1177" s="1581"/>
      <c r="M1177" s="1581"/>
      <c r="N1177" s="1581"/>
      <c r="O1177" s="1581"/>
      <c r="P1177" s="1581"/>
      <c r="Q1177" s="1581"/>
    </row>
    <row r="1178" spans="1:17">
      <c r="A1178" s="1068"/>
      <c r="B1178" s="1057"/>
      <c r="C1178" s="1063"/>
      <c r="D1178" s="1063"/>
      <c r="E1178" s="1063"/>
      <c r="F1178" s="1063"/>
      <c r="G1178" s="1063"/>
      <c r="H1178" s="1063"/>
      <c r="I1178" s="1063"/>
      <c r="J1178" s="1063"/>
      <c r="K1178" s="1063"/>
      <c r="L1178" s="1063"/>
      <c r="M1178" s="1063"/>
      <c r="N1178" s="1063"/>
      <c r="O1178" s="1063"/>
      <c r="P1178" s="940"/>
      <c r="Q1178" s="1068"/>
    </row>
    <row r="1179" spans="1:17">
      <c r="A1179" s="1125">
        <v>17</v>
      </c>
      <c r="B1179" s="1125" t="s">
        <v>2864</v>
      </c>
      <c r="C1179" s="1125"/>
      <c r="D1179" s="1063"/>
      <c r="E1179" s="1063"/>
      <c r="F1179" s="1063"/>
      <c r="G1179" s="1063"/>
      <c r="H1179" s="1063"/>
      <c r="I1179" s="1063"/>
      <c r="J1179" s="1063"/>
      <c r="K1179" s="1063"/>
      <c r="L1179" s="1063"/>
      <c r="M1179" s="1063"/>
      <c r="O1179" s="940" t="s">
        <v>1998</v>
      </c>
      <c r="P1179" s="1582">
        <f>'Part VIII-Threshold Criteria'!P270</f>
        <v>0</v>
      </c>
      <c r="Q1179" s="1582"/>
    </row>
    <row r="1181" spans="1:17">
      <c r="A1181" s="1072"/>
      <c r="B1181" s="941" t="s">
        <v>2119</v>
      </c>
      <c r="C1181" s="1580" t="s">
        <v>3277</v>
      </c>
      <c r="D1181" s="1604"/>
      <c r="E1181" s="1604"/>
      <c r="F1181" s="1604"/>
      <c r="G1181" s="1604"/>
      <c r="H1181" s="1604"/>
      <c r="I1181" s="1604"/>
      <c r="J1181" s="1604"/>
      <c r="K1181" s="1604"/>
      <c r="L1181" s="1604"/>
      <c r="M1181" s="1604"/>
      <c r="N1181" s="1604"/>
      <c r="O1181" s="954" t="s">
        <v>2119</v>
      </c>
      <c r="P1181" s="1122" t="str">
        <f>'Part VIII-Threshold Criteria'!P272</f>
        <v>Agree</v>
      </c>
      <c r="Q1181" s="1122">
        <f>'Part VIII-Threshold Criteria'!Q272</f>
        <v>0</v>
      </c>
    </row>
    <row r="1182" spans="1:17">
      <c r="A1182" s="1072"/>
      <c r="B1182" s="941" t="s">
        <v>2122</v>
      </c>
      <c r="C1182" s="1580" t="s">
        <v>3278</v>
      </c>
      <c r="D1182" s="1604"/>
      <c r="E1182" s="1604"/>
      <c r="F1182" s="1604"/>
      <c r="G1182" s="1604"/>
      <c r="H1182" s="1604"/>
      <c r="I1182" s="1604"/>
      <c r="J1182" s="1604"/>
      <c r="K1182" s="1604"/>
      <c r="L1182" s="1604"/>
      <c r="M1182" s="1604"/>
      <c r="N1182" s="1604"/>
      <c r="O1182" s="954" t="s">
        <v>2122</v>
      </c>
      <c r="P1182" s="1122" t="str">
        <f>'Part VIII-Threshold Criteria'!P273</f>
        <v>Agree</v>
      </c>
      <c r="Q1182" s="1122">
        <f>'Part VIII-Threshold Criteria'!Q273</f>
        <v>0</v>
      </c>
    </row>
    <row r="1183" spans="1:17">
      <c r="B1183" s="952" t="s">
        <v>1996</v>
      </c>
      <c r="D1183" s="952"/>
      <c r="E1183" s="952"/>
      <c r="F1183" s="952"/>
      <c r="G1183" s="952"/>
      <c r="H1183" s="1081"/>
      <c r="I1183" s="1057"/>
      <c r="J1183" s="1057"/>
      <c r="K1183" s="1057"/>
      <c r="L1183" s="1068"/>
      <c r="M1183" s="1068"/>
      <c r="N1183" s="1068"/>
      <c r="O1183" s="1068"/>
      <c r="P1183" s="1068"/>
      <c r="Q1183" s="1068"/>
    </row>
    <row r="1184" spans="1:17">
      <c r="A1184" s="1574" t="str">
        <f>'Part VIII-Threshold Criteria'!A275</f>
        <v>DHA has executed a Memorandum of Participation for the EarthCraft Communities certification.</v>
      </c>
      <c r="B1184" s="1574"/>
      <c r="C1184" s="1574"/>
      <c r="D1184" s="1574"/>
      <c r="E1184" s="1574"/>
      <c r="F1184" s="1574"/>
      <c r="G1184" s="1574"/>
      <c r="H1184" s="1574"/>
      <c r="I1184" s="1574"/>
      <c r="J1184" s="1574"/>
      <c r="K1184" s="1574"/>
      <c r="L1184" s="1574"/>
      <c r="M1184" s="1574"/>
      <c r="N1184" s="1574"/>
      <c r="O1184" s="1574"/>
      <c r="P1184" s="1574"/>
      <c r="Q1184" s="1574"/>
    </row>
    <row r="1185" spans="1:17">
      <c r="B1185" s="945" t="s">
        <v>1997</v>
      </c>
      <c r="C1185" s="946"/>
      <c r="D1185" s="1063"/>
      <c r="E1185" s="1063"/>
      <c r="F1185" s="1063"/>
      <c r="G1185" s="1063"/>
      <c r="H1185" s="1063"/>
      <c r="I1185" s="1063"/>
      <c r="J1185" s="1063"/>
      <c r="K1185" s="1063"/>
      <c r="L1185" s="1063"/>
      <c r="M1185" s="1063"/>
      <c r="N1185" s="1063"/>
      <c r="O1185" s="1063"/>
      <c r="P1185" s="1063"/>
      <c r="Q1185" s="1063"/>
    </row>
    <row r="1186" spans="1:17">
      <c r="A1186" s="1581">
        <f>'Part VIII-Threshold Criteria'!A277</f>
        <v>0</v>
      </c>
      <c r="B1186" s="1581"/>
      <c r="C1186" s="1581"/>
      <c r="D1186" s="1581"/>
      <c r="E1186" s="1581"/>
      <c r="F1186" s="1581"/>
      <c r="G1186" s="1581"/>
      <c r="H1186" s="1581"/>
      <c r="I1186" s="1581"/>
      <c r="J1186" s="1581"/>
      <c r="K1186" s="1581"/>
      <c r="L1186" s="1581"/>
      <c r="M1186" s="1581"/>
      <c r="N1186" s="1581"/>
      <c r="O1186" s="1581"/>
      <c r="P1186" s="1581"/>
      <c r="Q1186" s="1581"/>
    </row>
    <row r="1187" spans="1:17">
      <c r="A1187" s="1068"/>
      <c r="B1187" s="1057"/>
      <c r="C1187" s="1063"/>
      <c r="D1187" s="1063"/>
      <c r="E1187" s="1063"/>
      <c r="F1187" s="1063"/>
      <c r="G1187" s="1063"/>
      <c r="H1187" s="1063"/>
      <c r="I1187" s="1063"/>
      <c r="J1187" s="1063"/>
      <c r="K1187" s="1063"/>
      <c r="L1187" s="1063"/>
      <c r="M1187" s="1063"/>
      <c r="Q1187" s="1068"/>
    </row>
    <row r="1188" spans="1:17">
      <c r="A1188" s="1125">
        <v>18</v>
      </c>
      <c r="B1188" s="1125" t="s">
        <v>2865</v>
      </c>
      <c r="C1188" s="959"/>
      <c r="D1188" s="1129"/>
      <c r="E1188" s="1063"/>
      <c r="F1188" s="1063"/>
      <c r="G1188" s="1063"/>
      <c r="H1188" s="1063"/>
      <c r="I1188" s="1063"/>
      <c r="J1188" s="1063"/>
      <c r="K1188" s="1063"/>
      <c r="L1188" s="1063"/>
      <c r="M1188" s="1063"/>
      <c r="O1188" s="940" t="s">
        <v>1998</v>
      </c>
      <c r="P1188" s="1582">
        <f>'Part VIII-Threshold Criteria'!P279</f>
        <v>0</v>
      </c>
      <c r="Q1188" s="1582"/>
    </row>
    <row r="1189" spans="1:17">
      <c r="B1189" s="941" t="s">
        <v>2119</v>
      </c>
      <c r="C1189" s="954" t="s">
        <v>1859</v>
      </c>
      <c r="D1189" s="1580" t="s">
        <v>3279</v>
      </c>
      <c r="E1189" s="1580"/>
      <c r="F1189" s="1580"/>
      <c r="G1189" s="1580"/>
      <c r="H1189" s="1580"/>
      <c r="I1189" s="1580"/>
      <c r="J1189" s="1580"/>
      <c r="K1189" s="1580"/>
      <c r="L1189" s="1580"/>
      <c r="M1189" s="1580"/>
      <c r="N1189" s="1580"/>
      <c r="O1189" s="954" t="s">
        <v>2984</v>
      </c>
      <c r="P1189" s="1122" t="str">
        <f>'Part VIII-Threshold Criteria'!P280</f>
        <v>Yes</v>
      </c>
      <c r="Q1189" s="1122">
        <f>'Part VIII-Threshold Criteria'!Q280</f>
        <v>0</v>
      </c>
    </row>
    <row r="1190" spans="1:17">
      <c r="A1190" s="581"/>
      <c r="B1190" s="943"/>
      <c r="C1190" s="942" t="s">
        <v>1860</v>
      </c>
      <c r="D1190" s="1603" t="s">
        <v>3280</v>
      </c>
      <c r="E1190" s="1603"/>
      <c r="F1190" s="1603"/>
      <c r="G1190" s="1603"/>
      <c r="H1190" s="1603"/>
      <c r="I1190" s="1603"/>
      <c r="J1190" s="1603"/>
      <c r="K1190" s="1603"/>
      <c r="L1190" s="1603"/>
      <c r="M1190" s="1603"/>
      <c r="N1190" s="1603"/>
      <c r="O1190" s="942" t="s">
        <v>1860</v>
      </c>
      <c r="P1190" s="1122" t="str">
        <f>'Part VIII-Threshold Criteria'!P281</f>
        <v>Yes</v>
      </c>
      <c r="Q1190" s="1122">
        <f>'Part VIII-Threshold Criteria'!Q281</f>
        <v>0</v>
      </c>
    </row>
    <row r="1191" spans="1:17">
      <c r="A1191" s="581"/>
      <c r="B1191" s="941" t="s">
        <v>2122</v>
      </c>
      <c r="C1191" s="954" t="s">
        <v>1859</v>
      </c>
      <c r="D1191" s="1580" t="s">
        <v>2982</v>
      </c>
      <c r="E1191" s="1580"/>
      <c r="F1191" s="1580"/>
      <c r="G1191" s="1580"/>
      <c r="H1191" s="1580"/>
      <c r="I1191" s="1580"/>
      <c r="J1191" s="1580"/>
      <c r="K1191" s="1580"/>
      <c r="L1191" s="1580"/>
      <c r="M1191" s="1580"/>
      <c r="N1191" s="1580"/>
      <c r="O1191" s="942" t="s">
        <v>2985</v>
      </c>
      <c r="P1191" s="1122" t="str">
        <f>'Part VIII-Threshold Criteria'!P282</f>
        <v>Yes</v>
      </c>
      <c r="Q1191" s="1122">
        <f>'Part VIII-Threshold Criteria'!Q282</f>
        <v>0</v>
      </c>
    </row>
    <row r="1192" spans="1:17">
      <c r="A1192" s="581"/>
      <c r="B1192" s="941"/>
      <c r="C1192" s="954" t="s">
        <v>1860</v>
      </c>
      <c r="D1192" s="1580" t="s">
        <v>2983</v>
      </c>
      <c r="E1192" s="1580"/>
      <c r="F1192" s="1580"/>
      <c r="G1192" s="1580"/>
      <c r="H1192" s="1580"/>
      <c r="I1192" s="1580"/>
      <c r="J1192" s="1580"/>
      <c r="K1192" s="1580"/>
      <c r="L1192" s="1580"/>
      <c r="M1192" s="1580"/>
      <c r="N1192" s="1580"/>
      <c r="O1192" s="942" t="s">
        <v>3281</v>
      </c>
      <c r="P1192" s="1122" t="str">
        <f>'Part VIII-Threshold Criteria'!P283</f>
        <v>Yes</v>
      </c>
      <c r="Q1192" s="1122">
        <f>'Part VIII-Threshold Criteria'!Q283</f>
        <v>0</v>
      </c>
    </row>
    <row r="1193" spans="1:17">
      <c r="A1193" s="1072"/>
      <c r="B1193" s="941" t="s">
        <v>799</v>
      </c>
      <c r="C1193" s="954"/>
      <c r="D1193" s="1580" t="s">
        <v>3396</v>
      </c>
      <c r="E1193" s="1580"/>
      <c r="F1193" s="1580"/>
      <c r="G1193" s="1580"/>
      <c r="H1193" s="1580"/>
      <c r="I1193" s="1580"/>
      <c r="J1193" s="1580"/>
      <c r="K1193" s="1580"/>
      <c r="L1193" s="1580"/>
      <c r="M1193" s="1580"/>
      <c r="N1193" s="1580"/>
      <c r="O1193" s="954" t="s">
        <v>799</v>
      </c>
      <c r="P1193" s="1122" t="str">
        <f>'Part VIII-Threshold Criteria'!P284</f>
        <v>Yes</v>
      </c>
      <c r="Q1193" s="1122">
        <f>'Part VIII-Threshold Criteria'!Q284</f>
        <v>0</v>
      </c>
    </row>
    <row r="1194" spans="1:17">
      <c r="B1194" s="952" t="s">
        <v>1996</v>
      </c>
      <c r="D1194" s="952"/>
      <c r="E1194" s="952"/>
      <c r="F1194" s="952"/>
      <c r="G1194" s="952"/>
      <c r="H1194" s="1081"/>
      <c r="I1194" s="1057"/>
      <c r="J1194" s="1057"/>
      <c r="K1194" s="1057"/>
      <c r="L1194" s="1068"/>
      <c r="M1194" s="1068"/>
      <c r="N1194" s="1068"/>
      <c r="O1194" s="1068"/>
      <c r="P1194" s="1068"/>
      <c r="Q1194" s="1068"/>
    </row>
    <row r="1195" spans="1:17">
      <c r="A1195" s="1574">
        <f>'Part VIII-Threshold Criteria'!A286</f>
        <v>0</v>
      </c>
      <c r="B1195" s="1574"/>
      <c r="C1195" s="1574"/>
      <c r="D1195" s="1574"/>
      <c r="E1195" s="1574"/>
      <c r="F1195" s="1574"/>
      <c r="G1195" s="1574"/>
      <c r="H1195" s="1574"/>
      <c r="I1195" s="1574"/>
      <c r="J1195" s="1574"/>
      <c r="K1195" s="1574"/>
      <c r="L1195" s="1574"/>
      <c r="M1195" s="1574"/>
      <c r="N1195" s="1574"/>
      <c r="O1195" s="1574"/>
      <c r="P1195" s="1574"/>
      <c r="Q1195" s="1574"/>
    </row>
    <row r="1196" spans="1:17">
      <c r="B1196" s="945" t="s">
        <v>1997</v>
      </c>
      <c r="C1196" s="946"/>
      <c r="D1196" s="1063"/>
      <c r="E1196" s="1063"/>
      <c r="F1196" s="1063"/>
      <c r="G1196" s="1063"/>
      <c r="H1196" s="1063"/>
      <c r="I1196" s="1063"/>
      <c r="J1196" s="1063"/>
      <c r="K1196" s="1063"/>
      <c r="L1196" s="1063"/>
      <c r="M1196" s="1063"/>
      <c r="N1196" s="1063"/>
      <c r="O1196" s="1063"/>
      <c r="P1196" s="1063"/>
      <c r="Q1196" s="1063"/>
    </row>
    <row r="1197" spans="1:17">
      <c r="A1197" s="1581">
        <f>'Part VIII-Threshold Criteria'!A288</f>
        <v>0</v>
      </c>
      <c r="B1197" s="1581"/>
      <c r="C1197" s="1581"/>
      <c r="D1197" s="1581"/>
      <c r="E1197" s="1581"/>
      <c r="F1197" s="1581"/>
      <c r="G1197" s="1581"/>
      <c r="H1197" s="1581"/>
      <c r="I1197" s="1581"/>
      <c r="J1197" s="1581"/>
      <c r="K1197" s="1581"/>
      <c r="L1197" s="1581"/>
      <c r="M1197" s="1581"/>
      <c r="N1197" s="1581"/>
      <c r="O1197" s="1581"/>
      <c r="P1197" s="1581"/>
      <c r="Q1197" s="1581"/>
    </row>
    <row r="1198" spans="1:17">
      <c r="A1198" s="1125">
        <v>19</v>
      </c>
      <c r="B1198" s="584" t="s">
        <v>2866</v>
      </c>
      <c r="C1198" s="584"/>
      <c r="D1198" s="584"/>
      <c r="E1198" s="584"/>
      <c r="F1198" s="584"/>
      <c r="G1198" s="584"/>
      <c r="H1198" s="1063"/>
      <c r="I1198" s="1063"/>
      <c r="J1198" s="1063"/>
      <c r="K1198" s="1063"/>
      <c r="L1198" s="1063"/>
      <c r="M1198" s="1063"/>
      <c r="O1198" s="940" t="s">
        <v>1998</v>
      </c>
      <c r="P1198" s="1582">
        <f>'Part VIII-Threshold Criteria'!P289</f>
        <v>0</v>
      </c>
      <c r="Q1198" s="1582"/>
    </row>
    <row r="1199" spans="1:17">
      <c r="B1199" s="565" t="s">
        <v>2402</v>
      </c>
      <c r="P1199" s="1122" t="str">
        <f>'Part VIII-Threshold Criteria'!P290</f>
        <v>No</v>
      </c>
      <c r="Q1199" s="1122">
        <f>'Part VIII-Threshold Criteria'!Q290</f>
        <v>0</v>
      </c>
    </row>
    <row r="1200" spans="1:17">
      <c r="B1200" s="1075" t="s">
        <v>2356</v>
      </c>
      <c r="C1200" s="1075"/>
      <c r="D1200" s="1075"/>
      <c r="E1200" s="1075"/>
      <c r="F1200" s="1075"/>
      <c r="G1200" s="1075"/>
      <c r="H1200" s="1075"/>
      <c r="I1200" s="1075"/>
      <c r="J1200" s="1075"/>
      <c r="K1200" s="1075"/>
      <c r="L1200" s="1075"/>
      <c r="P1200" s="1122" t="str">
        <f>'Part VIII-Threshold Criteria'!P291</f>
        <v>Yes</v>
      </c>
      <c r="Q1200" s="1122">
        <f>'Part VIII-Threshold Criteria'!Q291</f>
        <v>0</v>
      </c>
    </row>
    <row r="1201" spans="1:17">
      <c r="B1201" s="941" t="s">
        <v>2119</v>
      </c>
      <c r="C1201" s="1083" t="s">
        <v>3684</v>
      </c>
      <c r="D1201" s="1081"/>
      <c r="E1201" s="1081"/>
      <c r="F1201" s="1081"/>
      <c r="G1201" s="1081"/>
      <c r="H1201" s="1081"/>
      <c r="I1201" s="1081"/>
      <c r="J1201" s="1081"/>
      <c r="K1201" s="1081"/>
      <c r="L1201" s="1081"/>
      <c r="M1201" s="1081"/>
      <c r="N1201" s="954"/>
    </row>
    <row r="1202" spans="1:17">
      <c r="A1202" s="953"/>
      <c r="C1202" s="1580" t="s">
        <v>3526</v>
      </c>
      <c r="D1202" s="1580"/>
      <c r="E1202" s="1580"/>
      <c r="F1202" s="1580"/>
      <c r="G1202" s="1580"/>
      <c r="H1202" s="1580"/>
      <c r="I1202" s="1580"/>
      <c r="J1202" s="1580"/>
      <c r="K1202" s="1580"/>
      <c r="L1202" s="1580"/>
      <c r="M1202" s="1580"/>
      <c r="N1202" s="1580"/>
      <c r="O1202" s="954" t="s">
        <v>2119</v>
      </c>
      <c r="P1202" s="1122">
        <f>'Part VIII-Threshold Criteria'!P293</f>
        <v>0</v>
      </c>
      <c r="Q1202" s="1122">
        <f>'Part VIII-Threshold Criteria'!Q293</f>
        <v>0</v>
      </c>
    </row>
    <row r="1203" spans="1:17">
      <c r="B1203" s="941" t="s">
        <v>2122</v>
      </c>
      <c r="C1203" s="1579" t="s">
        <v>484</v>
      </c>
      <c r="D1203" s="1579"/>
      <c r="E1203" s="1579"/>
      <c r="F1203" s="1579"/>
      <c r="G1203" s="1579"/>
      <c r="H1203" s="1579"/>
      <c r="I1203" s="1579"/>
      <c r="J1203" s="1579"/>
      <c r="K1203" s="1579"/>
      <c r="L1203" s="1579"/>
      <c r="M1203" s="1579"/>
      <c r="O1203" s="954" t="s">
        <v>2122</v>
      </c>
      <c r="P1203" s="1068"/>
      <c r="Q1203" s="1068"/>
    </row>
    <row r="1204" spans="1:17">
      <c r="A1204" s="953"/>
      <c r="C1204" s="955" t="s">
        <v>1859</v>
      </c>
      <c r="D1204" s="948" t="s">
        <v>1197</v>
      </c>
      <c r="E1204" s="1072"/>
      <c r="F1204" s="1072"/>
      <c r="G1204" s="1576" t="str">
        <f>'Part VIII-Threshold Criteria'!G295</f>
        <v>Exterior wall faces will have an excess of 40% brick or stone on each total wall surface</v>
      </c>
      <c r="H1204" s="1577"/>
      <c r="I1204" s="1577"/>
      <c r="J1204" s="1577"/>
      <c r="K1204" s="1577"/>
      <c r="L1204" s="1577"/>
      <c r="M1204" s="1577"/>
      <c r="N1204" s="1577"/>
      <c r="O1204" s="954" t="s">
        <v>1859</v>
      </c>
      <c r="P1204" s="1122" t="str">
        <f>'Part VIII-Threshold Criteria'!P295</f>
        <v>Yes</v>
      </c>
      <c r="Q1204" s="1122">
        <f>'Part VIII-Threshold Criteria'!Q295</f>
        <v>0</v>
      </c>
    </row>
    <row r="1205" spans="1:17" ht="12.75" customHeight="1">
      <c r="A1205" s="953"/>
      <c r="C1205" s="955" t="s">
        <v>1860</v>
      </c>
      <c r="D1205" s="1574" t="s">
        <v>1198</v>
      </c>
      <c r="E1205" s="1575"/>
      <c r="F1205" s="1575"/>
      <c r="G1205" s="1576" t="str">
        <f>'Part VIII-Threshold Criteria'!G296</f>
        <v xml:space="preserve">Fiber cement siding or other 40 year warranty product installed on all exterior wall surfaces not already required to be brick </v>
      </c>
      <c r="H1205" s="1577"/>
      <c r="I1205" s="1577"/>
      <c r="J1205" s="1577"/>
      <c r="K1205" s="1577"/>
      <c r="L1205" s="1577"/>
      <c r="M1205" s="1577"/>
      <c r="N1205" s="1577"/>
      <c r="O1205" s="954" t="s">
        <v>1860</v>
      </c>
      <c r="P1205" s="1122" t="str">
        <f>'Part VIII-Threshold Criteria'!P296</f>
        <v>Yes</v>
      </c>
      <c r="Q1205" s="1122">
        <f>'Part VIII-Threshold Criteria'!Q296</f>
        <v>0</v>
      </c>
    </row>
    <row r="1206" spans="1:17">
      <c r="A1206" s="1068"/>
      <c r="B1206" s="1068"/>
      <c r="C1206" s="1068"/>
      <c r="D1206" s="1068"/>
      <c r="E1206" s="1068"/>
      <c r="F1206" s="1068"/>
      <c r="G1206" s="1068"/>
      <c r="H1206" s="1068"/>
      <c r="I1206" s="1068"/>
      <c r="J1206" s="1068"/>
      <c r="K1206" s="1068"/>
      <c r="L1206" s="1068"/>
      <c r="M1206" s="1068"/>
      <c r="N1206" s="1068"/>
      <c r="O1206" s="1068"/>
      <c r="P1206" s="1068"/>
      <c r="Q1206" s="1068"/>
    </row>
    <row r="1207" spans="1:17">
      <c r="A1207" s="1072"/>
      <c r="B1207" s="941" t="s">
        <v>799</v>
      </c>
      <c r="C1207" s="1578" t="s">
        <v>3685</v>
      </c>
      <c r="D1207" s="1578"/>
      <c r="E1207" s="1578"/>
      <c r="F1207" s="1578"/>
      <c r="G1207" s="1578"/>
      <c r="H1207" s="1578"/>
      <c r="I1207" s="1578"/>
      <c r="J1207" s="1578"/>
      <c r="K1207" s="1578"/>
      <c r="L1207" s="1578"/>
      <c r="M1207" s="1578"/>
      <c r="N1207" s="1578"/>
      <c r="O1207" s="956" t="s">
        <v>799</v>
      </c>
      <c r="P1207" s="1068"/>
      <c r="Q1207" s="1068"/>
    </row>
    <row r="1208" spans="1:17">
      <c r="A1208" s="953"/>
      <c r="B1208" s="1072"/>
      <c r="C1208" s="955" t="s">
        <v>1859</v>
      </c>
      <c r="D1208" s="1574">
        <f>'Part VIII-Threshold Criteria'!D299</f>
        <v>0</v>
      </c>
      <c r="E1208" s="1574"/>
      <c r="F1208" s="1574"/>
      <c r="G1208" s="1574"/>
      <c r="H1208" s="1574"/>
      <c r="I1208" s="1574"/>
      <c r="J1208" s="1574"/>
      <c r="K1208" s="1574"/>
      <c r="L1208" s="1574"/>
      <c r="M1208" s="1574"/>
      <c r="N1208" s="1574"/>
      <c r="O1208" s="954" t="s">
        <v>1859</v>
      </c>
      <c r="P1208" s="1122">
        <f>'Part VIII-Threshold Criteria'!P299</f>
        <v>0</v>
      </c>
      <c r="Q1208" s="1122">
        <f>'Part VIII-Threshold Criteria'!Q299</f>
        <v>0</v>
      </c>
    </row>
    <row r="1209" spans="1:17">
      <c r="A1209" s="953"/>
      <c r="B1209" s="1072"/>
      <c r="C1209" s="955" t="s">
        <v>1860</v>
      </c>
      <c r="D1209" s="1574">
        <f>'Part VIII-Threshold Criteria'!D300</f>
        <v>0</v>
      </c>
      <c r="E1209" s="1574"/>
      <c r="F1209" s="1574"/>
      <c r="G1209" s="1574"/>
      <c r="H1209" s="1574"/>
      <c r="I1209" s="1574"/>
      <c r="J1209" s="1574"/>
      <c r="K1209" s="1574"/>
      <c r="L1209" s="1574"/>
      <c r="M1209" s="1574"/>
      <c r="N1209" s="1574"/>
      <c r="O1209" s="954" t="s">
        <v>1860</v>
      </c>
      <c r="P1209" s="1122">
        <f>'Part VIII-Threshold Criteria'!P300</f>
        <v>0</v>
      </c>
      <c r="Q1209" s="1122">
        <f>'Part VIII-Threshold Criteria'!Q300</f>
        <v>0</v>
      </c>
    </row>
    <row r="1210" spans="1:17">
      <c r="A1210" s="1068"/>
      <c r="B1210" s="1068"/>
      <c r="C1210" s="1068"/>
      <c r="D1210" s="1068"/>
      <c r="E1210" s="1068"/>
      <c r="F1210" s="1068"/>
      <c r="G1210" s="1068"/>
      <c r="H1210" s="1068"/>
      <c r="I1210" s="1068"/>
      <c r="J1210" s="1068"/>
      <c r="K1210" s="1068"/>
      <c r="L1210" s="1068"/>
      <c r="M1210" s="1068"/>
      <c r="N1210" s="1068"/>
      <c r="O1210" s="1068"/>
      <c r="P1210" s="1068"/>
      <c r="Q1210" s="1068"/>
    </row>
    <row r="1211" spans="1:17">
      <c r="B1211" s="952" t="s">
        <v>1996</v>
      </c>
      <c r="D1211" s="952"/>
      <c r="E1211" s="952"/>
      <c r="F1211" s="952"/>
      <c r="G1211" s="952"/>
      <c r="H1211" s="1081"/>
      <c r="I1211" s="1057"/>
      <c r="J1211" s="1057"/>
      <c r="K1211" s="1057"/>
      <c r="L1211" s="1068"/>
      <c r="M1211" s="1068"/>
      <c r="N1211" s="1068"/>
      <c r="O1211" s="1068"/>
      <c r="P1211" s="1068"/>
      <c r="Q1211" s="1068"/>
    </row>
    <row r="1212" spans="1:17">
      <c r="A1212" s="1574">
        <f>'Part VIII-Threshold Criteria'!A303</f>
        <v>0</v>
      </c>
      <c r="B1212" s="1574"/>
      <c r="C1212" s="1574"/>
      <c r="D1212" s="1574"/>
      <c r="E1212" s="1574"/>
      <c r="F1212" s="1574"/>
      <c r="G1212" s="1574"/>
      <c r="H1212" s="1574"/>
      <c r="I1212" s="1574"/>
      <c r="J1212" s="1574"/>
      <c r="K1212" s="1574"/>
      <c r="L1212" s="1574"/>
      <c r="M1212" s="1574"/>
      <c r="N1212" s="1574"/>
      <c r="O1212" s="1574"/>
      <c r="P1212" s="1574"/>
      <c r="Q1212" s="1574"/>
    </row>
    <row r="1213" spans="1:17">
      <c r="B1213" s="945" t="s">
        <v>1997</v>
      </c>
      <c r="C1213" s="946"/>
      <c r="D1213" s="1063"/>
      <c r="E1213" s="1063"/>
      <c r="F1213" s="1063"/>
      <c r="G1213" s="1063"/>
      <c r="H1213" s="1063"/>
      <c r="I1213" s="1063"/>
      <c r="J1213" s="1063"/>
      <c r="K1213" s="1063"/>
      <c r="L1213" s="1063"/>
      <c r="M1213" s="1063"/>
      <c r="N1213" s="1063"/>
      <c r="O1213" s="1063"/>
      <c r="P1213" s="1063"/>
      <c r="Q1213" s="1063"/>
    </row>
    <row r="1214" spans="1:17">
      <c r="A1214" s="1581">
        <f>'Part VIII-Threshold Criteria'!A305</f>
        <v>0</v>
      </c>
      <c r="B1214" s="1581"/>
      <c r="C1214" s="1581"/>
      <c r="D1214" s="1581"/>
      <c r="E1214" s="1581"/>
      <c r="F1214" s="1581"/>
      <c r="G1214" s="1581"/>
      <c r="H1214" s="1581"/>
      <c r="I1214" s="1581"/>
      <c r="J1214" s="1581"/>
      <c r="K1214" s="1581"/>
      <c r="L1214" s="1581"/>
      <c r="M1214" s="1581"/>
      <c r="N1214" s="1581"/>
      <c r="O1214" s="1581"/>
      <c r="P1214" s="1581"/>
      <c r="Q1214" s="1581"/>
    </row>
    <row r="1215" spans="1:17">
      <c r="A1215" s="1068"/>
      <c r="B1215" s="1057"/>
      <c r="C1215" s="1063"/>
      <c r="D1215" s="1063"/>
      <c r="E1215" s="1063"/>
      <c r="F1215" s="1063"/>
      <c r="G1215" s="1063"/>
      <c r="H1215" s="1063"/>
      <c r="I1215" s="1063"/>
      <c r="J1215" s="1063"/>
      <c r="K1215" s="1063"/>
      <c r="L1215" s="1063"/>
      <c r="M1215" s="1063"/>
      <c r="N1215" s="1063"/>
      <c r="O1215" s="1063"/>
      <c r="P1215" s="1063"/>
      <c r="Q1215" s="1068"/>
    </row>
    <row r="1216" spans="1:17">
      <c r="A1216" s="1125">
        <v>20</v>
      </c>
      <c r="B1216" s="1125" t="s">
        <v>3547</v>
      </c>
      <c r="C1216" s="1125"/>
      <c r="D1216" s="1063"/>
      <c r="E1216" s="1063"/>
      <c r="F1216" s="1063"/>
      <c r="G1216" s="1063"/>
      <c r="H1216" s="1063"/>
      <c r="O1216" s="940" t="s">
        <v>1998</v>
      </c>
      <c r="P1216" s="1582">
        <f>'Part VIII-Threshold Criteria'!P307</f>
        <v>0</v>
      </c>
      <c r="Q1216" s="1582"/>
    </row>
    <row r="1217" spans="1:17">
      <c r="B1217" s="565" t="s">
        <v>3548</v>
      </c>
      <c r="P1217" s="1122" t="str">
        <f>'Part VIII-Threshold Criteria'!P308</f>
        <v>Yes</v>
      </c>
      <c r="Q1217" s="1122">
        <f>'Part VIII-Threshold Criteria'!Q308</f>
        <v>0</v>
      </c>
    </row>
    <row r="1218" spans="1:17">
      <c r="B1218" s="565" t="s">
        <v>2503</v>
      </c>
      <c r="P1218" s="1122" t="str">
        <f>'Part VIII-Threshold Criteria'!P309</f>
        <v>No</v>
      </c>
      <c r="Q1218" s="1122">
        <f>'Part VIII-Threshold Criteria'!Q309</f>
        <v>0</v>
      </c>
    </row>
    <row r="1219" spans="1:17">
      <c r="B1219" s="565" t="s">
        <v>3549</v>
      </c>
      <c r="M1219" s="1590" t="str">
        <f>'Part VIII-Threshold Criteria'!M310</f>
        <v>Qualified w/ Conditions (i)</v>
      </c>
      <c r="N1219" s="1590"/>
      <c r="O1219" s="1590"/>
    </row>
    <row r="1220" spans="1:17">
      <c r="B1220" s="960" t="s">
        <v>2504</v>
      </c>
      <c r="M1220" s="1590" t="str">
        <f>'Part VIII-Threshold Criteria'!M311</f>
        <v>&lt;&lt; Select Designation &gt;&gt;</v>
      </c>
      <c r="N1220" s="1590"/>
      <c r="O1220" s="1590"/>
    </row>
    <row r="1221" spans="1:17">
      <c r="B1221" s="952" t="s">
        <v>1996</v>
      </c>
      <c r="D1221" s="952"/>
      <c r="E1221" s="952"/>
      <c r="F1221" s="952"/>
      <c r="G1221" s="952"/>
      <c r="H1221" s="1081"/>
      <c r="I1221" s="1057"/>
      <c r="J1221" s="1057"/>
      <c r="K1221" s="1057"/>
      <c r="L1221" s="1068"/>
      <c r="M1221" s="1068"/>
      <c r="N1221" s="1068"/>
      <c r="O1221" s="1068"/>
      <c r="P1221" s="1068"/>
      <c r="Q1221" s="1068"/>
    </row>
    <row r="1222" spans="1:17">
      <c r="A1222" s="1574">
        <f>'Part VIII-Threshold Criteria'!A313</f>
        <v>0</v>
      </c>
      <c r="B1222" s="1574"/>
      <c r="C1222" s="1574"/>
      <c r="D1222" s="1574"/>
      <c r="E1222" s="1574"/>
      <c r="F1222" s="1574"/>
      <c r="G1222" s="1574"/>
      <c r="H1222" s="1574"/>
      <c r="I1222" s="1574"/>
      <c r="J1222" s="1574"/>
      <c r="K1222" s="1574"/>
      <c r="L1222" s="1574"/>
      <c r="M1222" s="1574"/>
      <c r="N1222" s="1574"/>
      <c r="O1222" s="1574"/>
      <c r="P1222" s="1574"/>
      <c r="Q1222" s="1574"/>
    </row>
    <row r="1223" spans="1:17">
      <c r="B1223" s="945" t="s">
        <v>1997</v>
      </c>
      <c r="C1223" s="946"/>
      <c r="D1223" s="1063"/>
      <c r="E1223" s="1063"/>
      <c r="F1223" s="1063"/>
      <c r="G1223" s="1063"/>
      <c r="H1223" s="1063"/>
      <c r="I1223" s="1063"/>
      <c r="J1223" s="1063"/>
      <c r="K1223" s="1063"/>
      <c r="L1223" s="1063"/>
      <c r="M1223" s="1063"/>
      <c r="N1223" s="1063"/>
      <c r="O1223" s="1063"/>
      <c r="P1223" s="1063"/>
      <c r="Q1223" s="1063"/>
    </row>
    <row r="1224" spans="1:17">
      <c r="A1224" s="1581">
        <f>'Part VIII-Threshold Criteria'!A315</f>
        <v>0</v>
      </c>
      <c r="B1224" s="1581"/>
      <c r="C1224" s="1581"/>
      <c r="D1224" s="1581"/>
      <c r="E1224" s="1581"/>
      <c r="F1224" s="1581"/>
      <c r="G1224" s="1581"/>
      <c r="H1224" s="1581"/>
      <c r="I1224" s="1581"/>
      <c r="J1224" s="1581"/>
      <c r="K1224" s="1581"/>
      <c r="L1224" s="1581"/>
      <c r="M1224" s="1581"/>
      <c r="N1224" s="1581"/>
      <c r="O1224" s="1581"/>
      <c r="P1224" s="1581"/>
      <c r="Q1224" s="1581"/>
    </row>
    <row r="1225" spans="1:17">
      <c r="B1225" s="1057"/>
      <c r="C1225" s="1063"/>
      <c r="D1225" s="1063"/>
      <c r="E1225" s="1063"/>
      <c r="F1225" s="1063"/>
      <c r="G1225" s="1063"/>
      <c r="H1225" s="1063"/>
      <c r="I1225" s="1063"/>
      <c r="J1225" s="1063"/>
      <c r="K1225" s="1063"/>
      <c r="L1225" s="1063"/>
      <c r="M1225" s="1063"/>
      <c r="Q1225" s="1068"/>
    </row>
    <row r="1226" spans="1:17">
      <c r="A1226" s="1125">
        <v>21</v>
      </c>
      <c r="B1226" s="584" t="s">
        <v>2867</v>
      </c>
      <c r="C1226" s="584"/>
      <c r="D1226" s="939"/>
      <c r="E1226" s="1063"/>
      <c r="F1226" s="1063"/>
      <c r="G1226" s="1063"/>
      <c r="H1226" s="1063"/>
      <c r="I1226" s="1063"/>
      <c r="J1226" s="1063"/>
      <c r="K1226" s="1063"/>
      <c r="L1226" s="1063"/>
      <c r="M1226" s="1063"/>
      <c r="O1226" s="940" t="s">
        <v>1998</v>
      </c>
      <c r="P1226" s="1582">
        <f>'Part VIII-Threshold Criteria'!P317</f>
        <v>0</v>
      </c>
      <c r="Q1226" s="1582"/>
    </row>
    <row r="1227" spans="1:17">
      <c r="B1227" s="941" t="s">
        <v>2119</v>
      </c>
      <c r="C1227" s="1574" t="s">
        <v>3550</v>
      </c>
      <c r="D1227" s="1574"/>
      <c r="E1227" s="1574"/>
      <c r="F1227" s="1574"/>
      <c r="G1227" s="1574"/>
      <c r="H1227" s="1574"/>
      <c r="I1227" s="1574"/>
      <c r="J1227" s="1574"/>
      <c r="K1227" s="1574"/>
      <c r="L1227" s="1574"/>
      <c r="M1227" s="1574"/>
      <c r="N1227" s="1574"/>
      <c r="O1227" s="954" t="s">
        <v>2119</v>
      </c>
      <c r="P1227" s="1122">
        <f>'Part VIII-Threshold Criteria'!P318</f>
        <v>0</v>
      </c>
      <c r="Q1227" s="1122">
        <f>'Part VIII-Threshold Criteria'!Q318</f>
        <v>0</v>
      </c>
    </row>
    <row r="1228" spans="1:17">
      <c r="B1228" s="941" t="s">
        <v>2122</v>
      </c>
      <c r="C1228" s="1574" t="s">
        <v>3587</v>
      </c>
      <c r="D1228" s="1574"/>
      <c r="E1228" s="1574"/>
      <c r="F1228" s="1574"/>
      <c r="G1228" s="1574"/>
      <c r="H1228" s="1574"/>
      <c r="I1228" s="1574"/>
      <c r="J1228" s="1574"/>
      <c r="K1228" s="1574"/>
      <c r="L1228" s="1574"/>
      <c r="M1228" s="1574"/>
      <c r="N1228" s="1574"/>
      <c r="O1228" s="954" t="s">
        <v>2122</v>
      </c>
      <c r="P1228" s="1122">
        <f>'Part VIII-Threshold Criteria'!P319</f>
        <v>0</v>
      </c>
      <c r="Q1228" s="1122">
        <f>'Part VIII-Threshold Criteria'!Q319</f>
        <v>0</v>
      </c>
    </row>
    <row r="1229" spans="1:17">
      <c r="B1229" s="941" t="s">
        <v>799</v>
      </c>
      <c r="C1229" s="1075" t="s">
        <v>3282</v>
      </c>
      <c r="D1229" s="1075"/>
      <c r="E1229" s="1075"/>
      <c r="F1229" s="1075"/>
      <c r="G1229" s="1075"/>
      <c r="H1229" s="1075"/>
      <c r="I1229" s="1075"/>
      <c r="J1229" s="1075"/>
      <c r="K1229" s="1075"/>
      <c r="L1229" s="1075"/>
      <c r="M1229" s="1075"/>
      <c r="O1229" s="954" t="s">
        <v>799</v>
      </c>
      <c r="P1229" s="1122">
        <f>'Part VIII-Threshold Criteria'!P320</f>
        <v>0</v>
      </c>
      <c r="Q1229" s="1122">
        <f>'Part VIII-Threshold Criteria'!Q320</f>
        <v>0</v>
      </c>
    </row>
    <row r="1230" spans="1:17">
      <c r="B1230" s="941" t="s">
        <v>2254</v>
      </c>
      <c r="C1230" s="1574" t="s">
        <v>3686</v>
      </c>
      <c r="D1230" s="1574"/>
      <c r="E1230" s="1574"/>
      <c r="F1230" s="1574"/>
      <c r="G1230" s="1574"/>
      <c r="H1230" s="1574"/>
      <c r="I1230" s="1574"/>
      <c r="J1230" s="1574"/>
      <c r="K1230" s="1574"/>
      <c r="L1230" s="1574"/>
      <c r="M1230" s="1574"/>
      <c r="N1230" s="1574"/>
      <c r="O1230" s="954" t="s">
        <v>2254</v>
      </c>
      <c r="P1230" s="1122">
        <f>'Part VIII-Threshold Criteria'!P321</f>
        <v>0</v>
      </c>
      <c r="Q1230" s="1122">
        <f>'Part VIII-Threshold Criteria'!Q321</f>
        <v>0</v>
      </c>
    </row>
    <row r="1231" spans="1:17">
      <c r="B1231" s="941" t="s">
        <v>1857</v>
      </c>
      <c r="C1231" s="1574" t="s">
        <v>3687</v>
      </c>
      <c r="D1231" s="1574"/>
      <c r="E1231" s="1574"/>
      <c r="F1231" s="1574"/>
      <c r="G1231" s="1574"/>
      <c r="H1231" s="1574"/>
      <c r="I1231" s="1574"/>
      <c r="J1231" s="1574"/>
      <c r="K1231" s="1574"/>
      <c r="L1231" s="1574"/>
      <c r="M1231" s="1574"/>
      <c r="N1231" s="1574"/>
      <c r="O1231" s="954" t="s">
        <v>1857</v>
      </c>
      <c r="P1231" s="1122">
        <f>'Part VIII-Threshold Criteria'!P322</f>
        <v>0</v>
      </c>
      <c r="Q1231" s="1122">
        <f>'Part VIII-Threshold Criteria'!Q322</f>
        <v>0</v>
      </c>
    </row>
    <row r="1232" spans="1:17">
      <c r="B1232" s="952" t="s">
        <v>1996</v>
      </c>
      <c r="D1232" s="952"/>
      <c r="E1232" s="952"/>
      <c r="F1232" s="952"/>
      <c r="G1232" s="952"/>
      <c r="H1232" s="1081"/>
      <c r="I1232" s="1057"/>
      <c r="J1232" s="1057"/>
      <c r="K1232" s="1057"/>
      <c r="L1232" s="1068"/>
      <c r="M1232" s="1068"/>
      <c r="N1232" s="1068"/>
      <c r="O1232" s="1068"/>
      <c r="P1232" s="1068"/>
      <c r="Q1232" s="1068"/>
    </row>
    <row r="1233" spans="1:17">
      <c r="A1233" s="1574" t="str">
        <f>'Part VIII-Threshold Criteria'!A324</f>
        <v>The applicant submitted a Pre-Application with DCA and on May 1, 2014 received a Qualifications Determination Letter for qualified with conditions.  See Tab 18 for a copy of the letter.</v>
      </c>
      <c r="B1233" s="1574"/>
      <c r="C1233" s="1574"/>
      <c r="D1233" s="1574"/>
      <c r="E1233" s="1574"/>
      <c r="F1233" s="1574"/>
      <c r="G1233" s="1574"/>
      <c r="H1233" s="1574"/>
      <c r="I1233" s="1574"/>
      <c r="J1233" s="1574"/>
      <c r="K1233" s="1574"/>
      <c r="L1233" s="1574"/>
      <c r="M1233" s="1574"/>
      <c r="N1233" s="1574"/>
      <c r="O1233" s="1574"/>
      <c r="P1233" s="1574"/>
      <c r="Q1233" s="1574"/>
    </row>
    <row r="1234" spans="1:17">
      <c r="B1234" s="945" t="s">
        <v>1997</v>
      </c>
      <c r="C1234" s="946"/>
      <c r="D1234" s="1063"/>
      <c r="E1234" s="1063"/>
      <c r="F1234" s="1063"/>
      <c r="G1234" s="1063"/>
      <c r="H1234" s="1063"/>
      <c r="I1234" s="1063"/>
      <c r="J1234" s="1063"/>
      <c r="K1234" s="1063"/>
      <c r="L1234" s="1063"/>
      <c r="M1234" s="1063"/>
      <c r="N1234" s="1063"/>
      <c r="O1234" s="1063"/>
      <c r="P1234" s="1063"/>
      <c r="Q1234" s="1063"/>
    </row>
    <row r="1235" spans="1:17">
      <c r="A1235" s="1581">
        <f>'Part VIII-Threshold Criteria'!A326</f>
        <v>0</v>
      </c>
      <c r="B1235" s="1581"/>
      <c r="C1235" s="1581"/>
      <c r="D1235" s="1581"/>
      <c r="E1235" s="1581"/>
      <c r="F1235" s="1581"/>
      <c r="G1235" s="1581"/>
      <c r="H1235" s="1581"/>
      <c r="I1235" s="1581"/>
      <c r="J1235" s="1581"/>
      <c r="K1235" s="1581"/>
      <c r="L1235" s="1581"/>
      <c r="M1235" s="1581"/>
      <c r="N1235" s="1581"/>
      <c r="O1235" s="1581"/>
      <c r="P1235" s="1581"/>
      <c r="Q1235" s="1581"/>
    </row>
    <row r="1236" spans="1:17">
      <c r="A1236" s="1068"/>
      <c r="B1236" s="1057"/>
      <c r="C1236" s="1063"/>
      <c r="D1236" s="1063"/>
      <c r="E1236" s="1063"/>
      <c r="F1236" s="1063"/>
      <c r="G1236" s="1063"/>
      <c r="H1236" s="1063"/>
      <c r="I1236" s="1063"/>
      <c r="J1236" s="1063"/>
      <c r="K1236" s="1063"/>
      <c r="L1236" s="1063"/>
      <c r="M1236" s="1063"/>
      <c r="N1236" s="1063"/>
      <c r="O1236" s="1063"/>
      <c r="P1236" s="1063"/>
      <c r="Q1236" s="1068"/>
    </row>
    <row r="1237" spans="1:17">
      <c r="A1237" s="1125">
        <v>22</v>
      </c>
      <c r="B1237" s="584" t="s">
        <v>2901</v>
      </c>
      <c r="C1237" s="584"/>
      <c r="D1237" s="584"/>
      <c r="E1237" s="584"/>
      <c r="F1237" s="584"/>
      <c r="G1237" s="584"/>
      <c r="H1237" s="1063"/>
      <c r="I1237" s="1063"/>
      <c r="J1237" s="1063"/>
      <c r="K1237" s="1063"/>
      <c r="L1237" s="1063"/>
      <c r="M1237" s="1063"/>
      <c r="O1237" s="940" t="s">
        <v>1998</v>
      </c>
      <c r="P1237" s="1582">
        <f>'Part VIII-Threshold Criteria'!P328</f>
        <v>0</v>
      </c>
      <c r="Q1237" s="1582"/>
    </row>
    <row r="1238" spans="1:17">
      <c r="B1238" s="943" t="s">
        <v>2119</v>
      </c>
      <c r="C1238" s="582" t="s">
        <v>2897</v>
      </c>
      <c r="D1238" s="1074"/>
      <c r="E1238" s="1074"/>
      <c r="F1238" s="1074"/>
      <c r="G1238" s="1074"/>
      <c r="H1238" s="1074"/>
      <c r="I1238" s="581"/>
      <c r="J1238" s="942" t="s">
        <v>2119</v>
      </c>
      <c r="K1238" s="1586" t="str">
        <f>'Part VIII-Threshold Criteria'!K329</f>
        <v>Gateway General Partner I, Inc.</v>
      </c>
      <c r="L1238" s="1586"/>
      <c r="M1238" s="1586"/>
      <c r="N1238" s="1586"/>
      <c r="O1238" s="1586"/>
      <c r="P1238" s="1586"/>
      <c r="Q1238" s="1122">
        <f>'Part VIII-Threshold Criteria'!Q329</f>
        <v>0</v>
      </c>
    </row>
    <row r="1239" spans="1:17">
      <c r="B1239" s="941" t="s">
        <v>2122</v>
      </c>
      <c r="C1239" s="1583" t="s">
        <v>2896</v>
      </c>
      <c r="D1239" s="1583"/>
      <c r="E1239" s="1583"/>
      <c r="F1239" s="1583"/>
      <c r="G1239" s="1583"/>
      <c r="H1239" s="1583"/>
      <c r="I1239" s="1583"/>
      <c r="J1239" s="1583"/>
      <c r="K1239" s="1583"/>
      <c r="L1239" s="1583"/>
      <c r="M1239" s="1583"/>
      <c r="N1239" s="1583"/>
      <c r="O1239" s="954" t="s">
        <v>2122</v>
      </c>
      <c r="P1239" s="1122" t="str">
        <f>'Part VIII-Threshold Criteria'!P330</f>
        <v>Yes</v>
      </c>
      <c r="Q1239" s="1122">
        <f>'Part VIII-Threshold Criteria'!Q330</f>
        <v>0</v>
      </c>
    </row>
    <row r="1240" spans="1:17">
      <c r="B1240" s="943" t="s">
        <v>799</v>
      </c>
      <c r="C1240" s="582" t="s">
        <v>2898</v>
      </c>
      <c r="D1240" s="582"/>
      <c r="E1240" s="582"/>
      <c r="F1240" s="582"/>
      <c r="G1240" s="582"/>
      <c r="H1240" s="582"/>
      <c r="I1240" s="582"/>
      <c r="J1240" s="582"/>
      <c r="K1240" s="582"/>
      <c r="L1240" s="1081"/>
      <c r="M1240" s="1081"/>
      <c r="O1240" s="942" t="s">
        <v>799</v>
      </c>
      <c r="P1240" s="1122" t="str">
        <f>'Part VIII-Threshold Criteria'!P331</f>
        <v>Yes</v>
      </c>
      <c r="Q1240" s="1122">
        <f>'Part VIII-Threshold Criteria'!Q331</f>
        <v>0</v>
      </c>
    </row>
    <row r="1241" spans="1:17">
      <c r="B1241" s="943" t="s">
        <v>2254</v>
      </c>
      <c r="C1241" s="582" t="s">
        <v>2899</v>
      </c>
      <c r="D1241" s="582"/>
      <c r="E1241" s="582"/>
      <c r="F1241" s="582"/>
      <c r="G1241" s="582"/>
      <c r="H1241" s="582"/>
      <c r="I1241" s="582"/>
      <c r="J1241" s="582"/>
      <c r="K1241" s="582"/>
      <c r="L1241" s="582"/>
      <c r="M1241" s="582"/>
      <c r="O1241" s="942" t="s">
        <v>2254</v>
      </c>
      <c r="P1241" s="1122" t="str">
        <f>'Part VIII-Threshold Criteria'!P332</f>
        <v>Yes</v>
      </c>
      <c r="Q1241" s="1122">
        <f>'Part VIII-Threshold Criteria'!Q332</f>
        <v>0</v>
      </c>
    </row>
    <row r="1242" spans="1:17">
      <c r="A1242" s="1072"/>
      <c r="B1242" s="941" t="s">
        <v>1857</v>
      </c>
      <c r="C1242" s="1574" t="s">
        <v>2903</v>
      </c>
      <c r="D1242" s="1574"/>
      <c r="E1242" s="1574"/>
      <c r="F1242" s="1574"/>
      <c r="G1242" s="1574"/>
      <c r="H1242" s="1574"/>
      <c r="I1242" s="1574"/>
      <c r="J1242" s="1574"/>
      <c r="K1242" s="1574"/>
      <c r="L1242" s="1574"/>
      <c r="M1242" s="1574"/>
      <c r="N1242" s="1574"/>
      <c r="O1242" s="954" t="s">
        <v>1857</v>
      </c>
      <c r="P1242" s="1122" t="str">
        <f>'Part VIII-Threshold Criteria'!P333</f>
        <v>Yes</v>
      </c>
      <c r="Q1242" s="1122">
        <f>'Part VIII-Threshold Criteria'!Q333</f>
        <v>0</v>
      </c>
    </row>
    <row r="1243" spans="1:17">
      <c r="A1243" s="1072"/>
      <c r="B1243" s="941" t="s">
        <v>1858</v>
      </c>
      <c r="C1243" s="1574" t="s">
        <v>2906</v>
      </c>
      <c r="D1243" s="1574"/>
      <c r="E1243" s="1574"/>
      <c r="F1243" s="1574"/>
      <c r="G1243" s="1574"/>
      <c r="H1243" s="1574"/>
      <c r="I1243" s="1574"/>
      <c r="J1243" s="1574"/>
      <c r="K1243" s="1574"/>
      <c r="L1243" s="1574"/>
      <c r="M1243" s="1574"/>
      <c r="N1243" s="1574"/>
      <c r="O1243" s="954" t="s">
        <v>1858</v>
      </c>
      <c r="P1243" s="1122" t="str">
        <f>'Part VIII-Threshold Criteria'!P334</f>
        <v>Yes</v>
      </c>
      <c r="Q1243" s="1122">
        <f>'Part VIII-Threshold Criteria'!Q334</f>
        <v>0</v>
      </c>
    </row>
    <row r="1244" spans="1:17">
      <c r="B1244" s="943" t="s">
        <v>2082</v>
      </c>
      <c r="C1244" s="582" t="s">
        <v>2900</v>
      </c>
      <c r="D1244" s="582"/>
      <c r="E1244" s="582"/>
      <c r="F1244" s="582"/>
      <c r="G1244" s="582"/>
      <c r="H1244" s="582"/>
      <c r="I1244" s="582"/>
      <c r="J1244" s="582"/>
      <c r="K1244" s="582"/>
      <c r="L1244" s="582"/>
      <c r="M1244" s="582"/>
      <c r="O1244" s="942" t="s">
        <v>2082</v>
      </c>
      <c r="P1244" s="1122" t="str">
        <f>'Part VIII-Threshold Criteria'!P335</f>
        <v>No</v>
      </c>
      <c r="Q1244" s="1122">
        <f>'Part VIII-Threshold Criteria'!Q335</f>
        <v>0</v>
      </c>
    </row>
    <row r="1245" spans="1:17">
      <c r="B1245" s="952" t="s">
        <v>1996</v>
      </c>
      <c r="D1245" s="952"/>
      <c r="E1245" s="952"/>
      <c r="F1245" s="952"/>
      <c r="G1245" s="952"/>
      <c r="H1245" s="1081"/>
      <c r="I1245" s="1057"/>
      <c r="J1245" s="1057"/>
      <c r="K1245" s="1057"/>
      <c r="L1245" s="1068"/>
      <c r="M1245" s="1068"/>
      <c r="N1245" s="1068"/>
      <c r="O1245" s="1068"/>
      <c r="P1245" s="1068"/>
      <c r="Q1245" s="1068"/>
    </row>
    <row r="1246" spans="1:17">
      <c r="A1246" s="1574" t="str">
        <f>'Part VIII-Threshold Criteria'!A337</f>
        <v>There are no joint venture agreements.  Affiliates of the Decatur Housing Authority, acting alone, will be the sole General Partner, Developer and Property Manager of the project.</v>
      </c>
      <c r="B1246" s="1574"/>
      <c r="C1246" s="1574"/>
      <c r="D1246" s="1574"/>
      <c r="E1246" s="1574"/>
      <c r="F1246" s="1574"/>
      <c r="G1246" s="1574"/>
      <c r="H1246" s="1574"/>
      <c r="I1246" s="1574"/>
      <c r="J1246" s="1574"/>
      <c r="K1246" s="1574"/>
      <c r="L1246" s="1574"/>
      <c r="M1246" s="1574"/>
      <c r="N1246" s="1574"/>
      <c r="O1246" s="1574"/>
      <c r="P1246" s="1574"/>
      <c r="Q1246" s="1574"/>
    </row>
    <row r="1247" spans="1:17">
      <c r="B1247" s="945" t="s">
        <v>1997</v>
      </c>
      <c r="C1247" s="946"/>
      <c r="D1247" s="1063"/>
      <c r="E1247" s="1063"/>
      <c r="F1247" s="1063"/>
      <c r="G1247" s="1063"/>
      <c r="H1247" s="1063"/>
      <c r="I1247" s="1063"/>
      <c r="J1247" s="1063"/>
      <c r="K1247" s="1063"/>
      <c r="L1247" s="1063"/>
      <c r="M1247" s="1063"/>
      <c r="N1247" s="1063"/>
      <c r="O1247" s="1063"/>
      <c r="P1247" s="1063"/>
      <c r="Q1247" s="1063"/>
    </row>
    <row r="1248" spans="1:17">
      <c r="A1248" s="1581">
        <f>'Part VIII-Threshold Criteria'!A339</f>
        <v>0</v>
      </c>
      <c r="B1248" s="1581"/>
      <c r="C1248" s="1581"/>
      <c r="D1248" s="1581"/>
      <c r="E1248" s="1581"/>
      <c r="F1248" s="1581"/>
      <c r="G1248" s="1581"/>
      <c r="H1248" s="1581"/>
      <c r="I1248" s="1581"/>
      <c r="J1248" s="1581"/>
      <c r="K1248" s="1581"/>
      <c r="L1248" s="1581"/>
      <c r="M1248" s="1581"/>
      <c r="N1248" s="1581"/>
      <c r="O1248" s="1581"/>
      <c r="P1248" s="1581"/>
      <c r="Q1248" s="1581"/>
    </row>
    <row r="1249" spans="1:17">
      <c r="A1249" s="1068"/>
      <c r="B1249" s="1057"/>
      <c r="C1249" s="1063"/>
      <c r="D1249" s="1063"/>
      <c r="E1249" s="1063"/>
      <c r="F1249" s="1063"/>
      <c r="G1249" s="1063"/>
      <c r="H1249" s="1063"/>
      <c r="I1249" s="1063"/>
      <c r="J1249" s="1063"/>
      <c r="K1249" s="1063"/>
      <c r="L1249" s="1063"/>
      <c r="M1249" s="1063"/>
      <c r="Q1249" s="1068"/>
    </row>
    <row r="1250" spans="1:17">
      <c r="A1250" s="1125">
        <v>23</v>
      </c>
      <c r="B1250" s="584" t="s">
        <v>2907</v>
      </c>
      <c r="C1250" s="584"/>
      <c r="D1250" s="584"/>
      <c r="E1250" s="584"/>
      <c r="F1250" s="584"/>
      <c r="G1250" s="584"/>
      <c r="H1250" s="1063"/>
      <c r="I1250" s="1063"/>
      <c r="J1250" s="1063"/>
      <c r="O1250" s="940" t="s">
        <v>1998</v>
      </c>
      <c r="P1250" s="1582">
        <f>'Part VIII-Threshold Criteria'!P341</f>
        <v>0</v>
      </c>
      <c r="Q1250" s="1582"/>
    </row>
    <row r="1251" spans="1:17">
      <c r="B1251" s="943" t="s">
        <v>2119</v>
      </c>
      <c r="C1251" s="582" t="s">
        <v>1096</v>
      </c>
      <c r="E1251" s="1586">
        <f>'Part VIII-Threshold Criteria'!E342</f>
        <v>0</v>
      </c>
      <c r="F1251" s="1586"/>
      <c r="G1251" s="1586"/>
      <c r="H1251" s="1586"/>
      <c r="I1251" s="1586"/>
      <c r="J1251" s="1589" t="s">
        <v>2873</v>
      </c>
      <c r="K1251" s="1589"/>
      <c r="L1251" s="1589"/>
      <c r="M1251" s="1586">
        <f>'Part VIII-Threshold Criteria'!M342</f>
        <v>0</v>
      </c>
      <c r="N1251" s="1586"/>
      <c r="O1251" s="1586"/>
      <c r="P1251" s="1586"/>
      <c r="Q1251" s="1586"/>
    </row>
    <row r="1252" spans="1:17">
      <c r="B1252" s="943" t="s">
        <v>2122</v>
      </c>
      <c r="C1252" s="582" t="s">
        <v>1862</v>
      </c>
      <c r="D1252" s="582"/>
      <c r="E1252" s="582"/>
      <c r="F1252" s="582"/>
      <c r="G1252" s="582"/>
      <c r="H1252" s="582"/>
      <c r="I1252" s="582"/>
      <c r="J1252" s="582"/>
      <c r="K1252" s="582"/>
      <c r="L1252" s="1081"/>
      <c r="M1252" s="1081"/>
      <c r="O1252" s="942" t="s">
        <v>2122</v>
      </c>
      <c r="P1252" s="1122">
        <f>'Part VIII-Threshold Criteria'!P343</f>
        <v>0</v>
      </c>
      <c r="Q1252" s="1122">
        <f>'Part VIII-Threshold Criteria'!Q343</f>
        <v>0</v>
      </c>
    </row>
    <row r="1253" spans="1:17">
      <c r="B1253" s="941" t="s">
        <v>799</v>
      </c>
      <c r="C1253" s="1583" t="s">
        <v>2988</v>
      </c>
      <c r="D1253" s="1583"/>
      <c r="E1253" s="1583"/>
      <c r="F1253" s="1583"/>
      <c r="G1253" s="1583"/>
      <c r="H1253" s="1583"/>
      <c r="I1253" s="1583"/>
      <c r="J1253" s="1583"/>
      <c r="K1253" s="1583"/>
      <c r="L1253" s="1583"/>
      <c r="M1253" s="1583"/>
      <c r="N1253" s="1583"/>
      <c r="O1253" s="942" t="s">
        <v>799</v>
      </c>
      <c r="P1253" s="1122">
        <f>'Part VIII-Threshold Criteria'!P344</f>
        <v>0</v>
      </c>
      <c r="Q1253" s="1122">
        <f>'Part VIII-Threshold Criteria'!Q344</f>
        <v>0</v>
      </c>
    </row>
    <row r="1254" spans="1:17">
      <c r="B1254" s="952" t="s">
        <v>1996</v>
      </c>
      <c r="D1254" s="952"/>
      <c r="E1254" s="952"/>
      <c r="F1254" s="952"/>
      <c r="G1254" s="952"/>
      <c r="H1254" s="1081"/>
      <c r="I1254" s="1057"/>
      <c r="J1254" s="1057"/>
      <c r="K1254" s="1057"/>
      <c r="L1254" s="1068"/>
      <c r="M1254" s="1068"/>
      <c r="N1254" s="1068"/>
      <c r="O1254" s="1068"/>
      <c r="P1254" s="1068"/>
      <c r="Q1254" s="1068"/>
    </row>
    <row r="1255" spans="1:17">
      <c r="A1255" s="1574">
        <f>'Part VIII-Threshold Criteria'!A346</f>
        <v>0</v>
      </c>
      <c r="B1255" s="1574"/>
      <c r="C1255" s="1574"/>
      <c r="D1255" s="1574"/>
      <c r="E1255" s="1574"/>
      <c r="F1255" s="1574"/>
      <c r="G1255" s="1574"/>
      <c r="H1255" s="1574"/>
      <c r="I1255" s="1574"/>
      <c r="J1255" s="1574"/>
      <c r="K1255" s="1574"/>
      <c r="L1255" s="1574"/>
      <c r="M1255" s="1574"/>
      <c r="N1255" s="1574"/>
      <c r="O1255" s="1574"/>
      <c r="P1255" s="1574"/>
      <c r="Q1255" s="1574"/>
    </row>
    <row r="1256" spans="1:17">
      <c r="B1256" s="945" t="s">
        <v>1997</v>
      </c>
      <c r="C1256" s="946"/>
      <c r="D1256" s="1063"/>
      <c r="E1256" s="1063"/>
      <c r="F1256" s="1063"/>
      <c r="G1256" s="1063"/>
      <c r="H1256" s="1063"/>
      <c r="I1256" s="1063"/>
      <c r="J1256" s="1063"/>
      <c r="K1256" s="1063"/>
      <c r="L1256" s="1063"/>
      <c r="M1256" s="1063"/>
      <c r="N1256" s="1063"/>
      <c r="O1256" s="1063"/>
      <c r="P1256" s="1063"/>
      <c r="Q1256" s="1063"/>
    </row>
    <row r="1257" spans="1:17">
      <c r="A1257" s="1581">
        <f>'Part VIII-Threshold Criteria'!A348</f>
        <v>0</v>
      </c>
      <c r="B1257" s="1581"/>
      <c r="C1257" s="1581"/>
      <c r="D1257" s="1581"/>
      <c r="E1257" s="1581"/>
      <c r="F1257" s="1581"/>
      <c r="G1257" s="1581"/>
      <c r="H1257" s="1581"/>
      <c r="I1257" s="1581"/>
      <c r="J1257" s="1581"/>
      <c r="K1257" s="1581"/>
      <c r="L1257" s="1581"/>
      <c r="M1257" s="1581"/>
      <c r="N1257" s="1581"/>
      <c r="O1257" s="1581"/>
      <c r="P1257" s="1581"/>
      <c r="Q1257" s="1581"/>
    </row>
    <row r="1258" spans="1:17">
      <c r="A1258" s="1068"/>
      <c r="B1258" s="1057"/>
      <c r="C1258" s="1063"/>
      <c r="D1258" s="1063"/>
      <c r="E1258" s="1063"/>
      <c r="F1258" s="1063"/>
      <c r="G1258" s="1063"/>
      <c r="H1258" s="1063"/>
      <c r="I1258" s="1063"/>
      <c r="J1258" s="1063"/>
      <c r="K1258" s="1063"/>
      <c r="L1258" s="1063"/>
      <c r="M1258" s="1063"/>
      <c r="Q1258" s="1068"/>
    </row>
    <row r="1259" spans="1:17">
      <c r="A1259" s="1125">
        <v>24</v>
      </c>
      <c r="B1259" s="584" t="s">
        <v>2871</v>
      </c>
      <c r="C1259" s="584"/>
      <c r="D1259" s="939"/>
      <c r="E1259" s="1063"/>
      <c r="F1259" s="1063"/>
      <c r="G1259" s="1063"/>
      <c r="H1259" s="1063"/>
      <c r="I1259" s="1063"/>
      <c r="J1259" s="1063"/>
      <c r="K1259" s="1063"/>
      <c r="L1259" s="1063"/>
      <c r="M1259" s="1063"/>
      <c r="O1259" s="940" t="s">
        <v>1998</v>
      </c>
      <c r="P1259" s="1582">
        <f>'Part VIII-Threshold Criteria'!P350</f>
        <v>0</v>
      </c>
      <c r="Q1259" s="1582"/>
    </row>
    <row r="1260" spans="1:17">
      <c r="A1260" s="581"/>
      <c r="B1260" s="941" t="s">
        <v>2119</v>
      </c>
      <c r="C1260" s="1574" t="s">
        <v>3688</v>
      </c>
      <c r="D1260" s="1574"/>
      <c r="E1260" s="1574"/>
      <c r="F1260" s="1574"/>
      <c r="G1260" s="1574"/>
      <c r="H1260" s="1574"/>
      <c r="I1260" s="1574"/>
      <c r="J1260" s="1574"/>
      <c r="K1260" s="1574"/>
      <c r="L1260" s="1574"/>
      <c r="M1260" s="954" t="s">
        <v>2119</v>
      </c>
      <c r="N1260" s="1585" t="str">
        <f>'Part VIII-Threshold Criteria'!N351</f>
        <v>Racially mixed</v>
      </c>
      <c r="O1260" s="1585"/>
      <c r="P1260" s="1585" t="str">
        <f>'Part VIII-Threshold Criteria'!P351</f>
        <v>&lt;&lt;Select&gt;&gt;</v>
      </c>
      <c r="Q1260" s="1585"/>
    </row>
    <row r="1261" spans="1:17">
      <c r="A1261" s="581"/>
      <c r="B1261" s="943" t="s">
        <v>2122</v>
      </c>
      <c r="C1261" s="1081" t="s">
        <v>1</v>
      </c>
      <c r="D1261" s="1120"/>
      <c r="E1261" s="1120"/>
      <c r="F1261" s="581"/>
      <c r="G1261" s="942" t="s">
        <v>2122</v>
      </c>
      <c r="H1261" s="1583" t="str">
        <f>'Part VIII-Threshold Criteria'!H352</f>
        <v xml:space="preserve">0226.00; 0227.00; 0223.01; 0225.00   </v>
      </c>
      <c r="I1261" s="1583"/>
      <c r="J1261" s="1583"/>
      <c r="K1261" s="1583"/>
      <c r="L1261" s="1583"/>
      <c r="M1261" s="1583"/>
      <c r="N1261" s="1583"/>
      <c r="O1261" s="1583"/>
      <c r="P1261" s="1583"/>
      <c r="Q1261" s="1122">
        <f>'Part VIII-Threshold Criteria'!Q352</f>
        <v>0</v>
      </c>
    </row>
    <row r="1262" spans="1:17">
      <c r="A1262" s="581"/>
      <c r="B1262" s="943" t="s">
        <v>799</v>
      </c>
      <c r="C1262" s="1081" t="s">
        <v>1507</v>
      </c>
      <c r="D1262" s="1123"/>
      <c r="E1262" s="1123"/>
      <c r="F1262" s="1123"/>
      <c r="G1262" s="826"/>
      <c r="H1262" s="826"/>
      <c r="I1262" s="1081"/>
      <c r="J1262" s="581"/>
      <c r="K1262" s="826"/>
      <c r="L1262" s="826"/>
      <c r="M1262" s="826"/>
      <c r="N1262" s="581"/>
      <c r="O1262" s="942" t="s">
        <v>799</v>
      </c>
      <c r="P1262" s="1122">
        <f>'Part VIII-Threshold Criteria'!P353</f>
        <v>0</v>
      </c>
      <c r="Q1262" s="1122">
        <f>'Part VIII-Threshold Criteria'!Q353</f>
        <v>0</v>
      </c>
    </row>
    <row r="1263" spans="1:17">
      <c r="B1263" s="952" t="s">
        <v>1996</v>
      </c>
      <c r="D1263" s="952"/>
      <c r="E1263" s="952"/>
      <c r="F1263" s="952"/>
      <c r="G1263" s="952"/>
      <c r="H1263" s="1081"/>
      <c r="I1263" s="1057"/>
      <c r="J1263" s="1057"/>
      <c r="K1263" s="1057"/>
      <c r="L1263" s="1068"/>
      <c r="M1263" s="1068"/>
      <c r="N1263" s="1068"/>
      <c r="O1263" s="1068"/>
      <c r="P1263" s="1068"/>
      <c r="Q1263" s="1068"/>
    </row>
    <row r="1264" spans="1:17">
      <c r="A1264" s="1574">
        <f>'Part VIII-Threshold Criteria'!A355</f>
        <v>0</v>
      </c>
      <c r="B1264" s="1574"/>
      <c r="C1264" s="1574"/>
      <c r="D1264" s="1574"/>
      <c r="E1264" s="1574"/>
      <c r="F1264" s="1574"/>
      <c r="G1264" s="1574"/>
      <c r="H1264" s="1574"/>
      <c r="I1264" s="1574"/>
      <c r="J1264" s="1574"/>
      <c r="K1264" s="1574"/>
      <c r="L1264" s="1574"/>
      <c r="M1264" s="1574"/>
      <c r="N1264" s="1574"/>
      <c r="O1264" s="1574"/>
      <c r="P1264" s="1574"/>
      <c r="Q1264" s="1574"/>
    </row>
    <row r="1266" spans="1:17">
      <c r="B1266" s="945" t="s">
        <v>1997</v>
      </c>
      <c r="C1266" s="946"/>
      <c r="D1266" s="1063"/>
      <c r="E1266" s="1063"/>
      <c r="F1266" s="1063"/>
      <c r="G1266" s="1063"/>
      <c r="H1266" s="1063"/>
      <c r="I1266" s="1063"/>
      <c r="J1266" s="1063"/>
      <c r="K1266" s="1063"/>
      <c r="L1266" s="1063"/>
      <c r="M1266" s="1063"/>
      <c r="N1266" s="1063"/>
      <c r="O1266" s="1063"/>
      <c r="P1266" s="1063"/>
      <c r="Q1266" s="1063"/>
    </row>
    <row r="1267" spans="1:17">
      <c r="A1267" s="1581">
        <f>'Part VIII-Threshold Criteria'!A358</f>
        <v>0</v>
      </c>
      <c r="B1267" s="1581"/>
      <c r="C1267" s="1581"/>
      <c r="D1267" s="1581"/>
      <c r="E1267" s="1581"/>
      <c r="F1267" s="1581"/>
      <c r="G1267" s="1581"/>
      <c r="H1267" s="1581"/>
      <c r="I1267" s="1581"/>
      <c r="J1267" s="1581"/>
      <c r="K1267" s="1581"/>
      <c r="L1267" s="1581"/>
      <c r="M1267" s="1581"/>
      <c r="N1267" s="1581"/>
      <c r="O1267" s="1581"/>
      <c r="P1267" s="1581"/>
      <c r="Q1267" s="1581"/>
    </row>
    <row r="1268" spans="1:17">
      <c r="A1268" s="1068"/>
      <c r="B1268" s="1057"/>
      <c r="C1268" s="1063"/>
      <c r="D1268" s="1063"/>
      <c r="E1268" s="1063"/>
      <c r="F1268" s="1063"/>
      <c r="G1268" s="1063"/>
      <c r="H1268" s="1063"/>
      <c r="I1268" s="1063"/>
      <c r="J1268" s="1063"/>
      <c r="K1268" s="1063"/>
      <c r="L1268" s="1063"/>
      <c r="M1268" s="1063"/>
      <c r="N1268" s="1063"/>
      <c r="O1268" s="1063"/>
      <c r="P1268" s="1063"/>
      <c r="Q1268" s="1068"/>
    </row>
    <row r="1269" spans="1:17">
      <c r="A1269" s="1125">
        <v>25</v>
      </c>
      <c r="B1269" s="584" t="s">
        <v>2868</v>
      </c>
      <c r="C1269" s="584"/>
      <c r="D1269" s="584"/>
      <c r="E1269" s="1063"/>
      <c r="G1269" s="948" t="s">
        <v>749</v>
      </c>
      <c r="H1269" s="1063"/>
      <c r="I1269" s="1063"/>
      <c r="J1269" s="1063"/>
      <c r="K1269" s="1063"/>
      <c r="L1269" s="1063"/>
      <c r="M1269" s="1063"/>
      <c r="O1269" s="940" t="s">
        <v>1998</v>
      </c>
      <c r="P1269" s="1582">
        <f>'Part VIII-Threshold Criteria'!P360</f>
        <v>0</v>
      </c>
      <c r="Q1269" s="1582"/>
    </row>
    <row r="1270" spans="1:17">
      <c r="A1270" s="953"/>
      <c r="B1270" s="943" t="s">
        <v>2119</v>
      </c>
      <c r="C1270" s="582" t="s">
        <v>2875</v>
      </c>
      <c r="D1270" s="1127"/>
      <c r="E1270" s="1127"/>
      <c r="H1270" s="948"/>
      <c r="O1270" s="942" t="s">
        <v>2119</v>
      </c>
      <c r="P1270" s="1122" t="str">
        <f>'Part VIII-Threshold Criteria'!P361</f>
        <v>No</v>
      </c>
      <c r="Q1270" s="1122">
        <f>'Part VIII-Threshold Criteria'!Q361</f>
        <v>0</v>
      </c>
    </row>
    <row r="1271" spans="1:17">
      <c r="A1271" s="953"/>
      <c r="B1271" s="943" t="s">
        <v>2122</v>
      </c>
      <c r="C1271" s="582" t="s">
        <v>2876</v>
      </c>
      <c r="D1271" s="1127"/>
      <c r="E1271" s="1127"/>
      <c r="O1271" s="942" t="s">
        <v>2122</v>
      </c>
      <c r="P1271" s="1122" t="str">
        <f>'Part VIII-Threshold Criteria'!P362</f>
        <v>No</v>
      </c>
      <c r="Q1271" s="1122">
        <f>'Part VIII-Threshold Criteria'!Q362</f>
        <v>0</v>
      </c>
    </row>
    <row r="1272" spans="1:17">
      <c r="A1272" s="953"/>
      <c r="B1272" s="943" t="s">
        <v>799</v>
      </c>
      <c r="C1272" s="582" t="s">
        <v>2908</v>
      </c>
      <c r="D1272" s="1127"/>
      <c r="E1272" s="1127"/>
      <c r="O1272" s="942" t="s">
        <v>799</v>
      </c>
      <c r="P1272" s="1122" t="str">
        <f>'Part VIII-Threshold Criteria'!P363</f>
        <v>Yes</v>
      </c>
      <c r="Q1272" s="1122">
        <f>'Part VIII-Threshold Criteria'!Q363</f>
        <v>0</v>
      </c>
    </row>
    <row r="1273" spans="1:17">
      <c r="A1273" s="953"/>
      <c r="B1273" s="943" t="s">
        <v>2254</v>
      </c>
      <c r="C1273" s="582" t="s">
        <v>2872</v>
      </c>
      <c r="E1273" s="948"/>
      <c r="O1273" s="942" t="s">
        <v>2254</v>
      </c>
      <c r="P1273" s="1122" t="str">
        <f>'Part VIII-Threshold Criteria'!P364</f>
        <v>No</v>
      </c>
      <c r="Q1273" s="1122">
        <f>'Part VIII-Threshold Criteria'!Q364</f>
        <v>0</v>
      </c>
    </row>
    <row r="1274" spans="1:17">
      <c r="B1274" s="943" t="s">
        <v>1857</v>
      </c>
      <c r="C1274" s="582" t="s">
        <v>2218</v>
      </c>
      <c r="E1274" s="948"/>
      <c r="G1274" s="942" t="s">
        <v>1857</v>
      </c>
      <c r="H1274" s="1583">
        <f>'Part VIII-Threshold Criteria'!H365</f>
        <v>0</v>
      </c>
      <c r="I1274" s="1583"/>
      <c r="J1274" s="1583"/>
      <c r="K1274" s="1583"/>
      <c r="L1274" s="1583"/>
      <c r="M1274" s="1583"/>
      <c r="N1274" s="1583"/>
      <c r="O1274" s="1583"/>
      <c r="P1274" s="1122">
        <f>'Part VIII-Threshold Criteria'!P365</f>
        <v>0</v>
      </c>
      <c r="Q1274" s="1122">
        <f>'Part VIII-Threshold Criteria'!Q365</f>
        <v>0</v>
      </c>
    </row>
    <row r="1275" spans="1:17">
      <c r="B1275" s="952" t="s">
        <v>1996</v>
      </c>
      <c r="D1275" s="952"/>
      <c r="E1275" s="952"/>
      <c r="F1275" s="952"/>
      <c r="G1275" s="952"/>
      <c r="H1275" s="1081"/>
      <c r="I1275" s="1057"/>
      <c r="J1275" s="1057"/>
      <c r="K1275" s="1057"/>
      <c r="L1275" s="1068"/>
      <c r="M1275" s="1068"/>
      <c r="N1275" s="1068"/>
      <c r="O1275" s="1068"/>
      <c r="P1275" s="1068"/>
      <c r="Q1275" s="1068"/>
    </row>
    <row r="1276" spans="1:17">
      <c r="A1276" s="1574">
        <f>'Part VIII-Threshold Criteria'!A367</f>
        <v>0</v>
      </c>
      <c r="B1276" s="1574"/>
      <c r="C1276" s="1574"/>
      <c r="D1276" s="1574"/>
      <c r="E1276" s="1574"/>
      <c r="F1276" s="1574"/>
      <c r="G1276" s="1574"/>
      <c r="H1276" s="1574"/>
      <c r="I1276" s="1574"/>
      <c r="J1276" s="1574"/>
      <c r="K1276" s="1574"/>
      <c r="L1276" s="1574"/>
      <c r="M1276" s="1574"/>
      <c r="N1276" s="1574"/>
      <c r="O1276" s="1574"/>
      <c r="P1276" s="1574"/>
      <c r="Q1276" s="1574"/>
    </row>
    <row r="1277" spans="1:17">
      <c r="B1277" s="945" t="s">
        <v>1997</v>
      </c>
      <c r="C1277" s="946"/>
      <c r="D1277" s="1063"/>
      <c r="E1277" s="1063"/>
      <c r="F1277" s="1063"/>
      <c r="G1277" s="1063"/>
      <c r="H1277" s="1063"/>
      <c r="I1277" s="1063"/>
      <c r="J1277" s="1063"/>
      <c r="K1277" s="1063"/>
      <c r="L1277" s="1063"/>
      <c r="M1277" s="1063"/>
      <c r="N1277" s="1063"/>
      <c r="O1277" s="1063"/>
      <c r="P1277" s="1063"/>
      <c r="Q1277" s="1063"/>
    </row>
    <row r="1278" spans="1:17">
      <c r="A1278" s="1581">
        <f>'Part VIII-Threshold Criteria'!A369</f>
        <v>0</v>
      </c>
      <c r="B1278" s="1581"/>
      <c r="C1278" s="1581"/>
      <c r="D1278" s="1581"/>
      <c r="E1278" s="1581"/>
      <c r="F1278" s="1581"/>
      <c r="G1278" s="1581"/>
      <c r="H1278" s="1581"/>
      <c r="I1278" s="1581"/>
      <c r="J1278" s="1581"/>
      <c r="K1278" s="1581"/>
      <c r="L1278" s="1581"/>
      <c r="M1278" s="1581"/>
      <c r="N1278" s="1581"/>
      <c r="O1278" s="1581"/>
      <c r="P1278" s="1581"/>
      <c r="Q1278" s="1581"/>
    </row>
    <row r="1279" spans="1:17">
      <c r="A1279" s="1068"/>
      <c r="B1279" s="1057"/>
      <c r="C1279" s="1063"/>
      <c r="D1279" s="1063"/>
      <c r="E1279" s="1063"/>
      <c r="F1279" s="1063"/>
      <c r="G1279" s="1063"/>
      <c r="H1279" s="1063"/>
      <c r="I1279" s="1063"/>
      <c r="J1279" s="1063"/>
      <c r="K1279" s="1063"/>
      <c r="L1279" s="1063"/>
      <c r="M1279" s="1063"/>
      <c r="N1279" s="1063"/>
      <c r="O1279" s="1063"/>
      <c r="P1279" s="1063"/>
      <c r="Q1279" s="1068"/>
    </row>
    <row r="1280" spans="1:17">
      <c r="A1280" s="1125">
        <v>26</v>
      </c>
      <c r="B1280" s="584" t="s">
        <v>2869</v>
      </c>
      <c r="C1280" s="584"/>
      <c r="D1280" s="584"/>
      <c r="E1280" s="584"/>
      <c r="F1280" s="584"/>
      <c r="G1280" s="584"/>
      <c r="H1280" s="1063"/>
      <c r="I1280" s="1063"/>
      <c r="J1280" s="1063"/>
      <c r="K1280" s="1063"/>
      <c r="L1280" s="1063"/>
      <c r="M1280" s="1063"/>
      <c r="O1280" s="940" t="s">
        <v>1998</v>
      </c>
      <c r="P1280" s="1582">
        <f>'Part VIII-Threshold Criteria'!P371</f>
        <v>0</v>
      </c>
      <c r="Q1280" s="1582"/>
    </row>
    <row r="1281" spans="1:17">
      <c r="A1281" s="581"/>
      <c r="B1281" s="943" t="s">
        <v>2119</v>
      </c>
      <c r="C1281" s="582" t="s">
        <v>802</v>
      </c>
      <c r="D1281" s="581"/>
      <c r="E1281" s="581"/>
      <c r="F1281" s="581"/>
      <c r="G1281" s="581"/>
      <c r="H1281" s="581"/>
      <c r="I1281" s="581"/>
      <c r="J1281" s="581"/>
      <c r="K1281" s="581"/>
      <c r="L1281" s="581"/>
      <c r="M1281" s="581"/>
      <c r="N1281" s="581"/>
      <c r="O1281" s="942" t="s">
        <v>2119</v>
      </c>
      <c r="P1281" s="1122" t="str">
        <f>'Part VIII-Threshold Criteria'!P372</f>
        <v>Yes</v>
      </c>
      <c r="Q1281" s="1122">
        <f>'Part VIII-Threshold Criteria'!Q372</f>
        <v>0</v>
      </c>
    </row>
    <row r="1282" spans="1:17">
      <c r="A1282" s="581"/>
      <c r="B1282" s="943" t="s">
        <v>2122</v>
      </c>
      <c r="C1282" s="582" t="s">
        <v>2345</v>
      </c>
      <c r="D1282" s="581"/>
      <c r="E1282" s="581"/>
      <c r="F1282" s="581"/>
      <c r="G1282" s="581"/>
      <c r="H1282" s="581"/>
      <c r="I1282" s="581"/>
      <c r="J1282" s="581"/>
      <c r="K1282" s="581"/>
      <c r="L1282" s="581"/>
      <c r="M1282" s="581"/>
      <c r="N1282" s="581"/>
      <c r="O1282" s="942" t="s">
        <v>1542</v>
      </c>
      <c r="P1282" s="1122" t="str">
        <f>'Part VIII-Threshold Criteria'!P373</f>
        <v>Yes</v>
      </c>
      <c r="Q1282" s="1122">
        <f>'Part VIII-Threshold Criteria'!Q373</f>
        <v>0</v>
      </c>
    </row>
    <row r="1283" spans="1:17">
      <c r="A1283" s="581"/>
      <c r="B1283" s="943"/>
      <c r="C1283" s="582" t="s">
        <v>1585</v>
      </c>
      <c r="D1283" s="582"/>
      <c r="E1283" s="582"/>
      <c r="F1283" s="582"/>
      <c r="G1283" s="582"/>
      <c r="H1283" s="582"/>
      <c r="I1283" s="582"/>
      <c r="J1283" s="582"/>
      <c r="K1283" s="582"/>
      <c r="L1283" s="582"/>
      <c r="M1283" s="582"/>
      <c r="N1283" s="581"/>
    </row>
    <row r="1284" spans="1:17">
      <c r="A1284" s="581"/>
      <c r="B1284" s="943"/>
      <c r="C1284" s="582" t="s">
        <v>2346</v>
      </c>
      <c r="D1284" s="582"/>
      <c r="E1284" s="582"/>
      <c r="F1284" s="582"/>
      <c r="G1284" s="582"/>
      <c r="H1284" s="582"/>
      <c r="I1284" s="582"/>
      <c r="J1284" s="582"/>
      <c r="K1284" s="582"/>
      <c r="L1284" s="582"/>
      <c r="M1284" s="582"/>
      <c r="N1284" s="581"/>
      <c r="O1284" s="942" t="s">
        <v>1860</v>
      </c>
      <c r="P1284" s="1122" t="str">
        <f>'Part VIII-Threshold Criteria'!P375</f>
        <v>No</v>
      </c>
      <c r="Q1284" s="1122">
        <f>'Part VIII-Threshold Criteria'!Q375</f>
        <v>0</v>
      </c>
    </row>
    <row r="1285" spans="1:17">
      <c r="A1285" s="581"/>
      <c r="B1285" s="943" t="s">
        <v>799</v>
      </c>
      <c r="C1285" s="1583" t="s">
        <v>2344</v>
      </c>
      <c r="D1285" s="1583"/>
      <c r="E1285" s="1583"/>
      <c r="F1285" s="1583"/>
      <c r="G1285" s="1583"/>
      <c r="H1285" s="1583"/>
      <c r="I1285" s="1583"/>
      <c r="J1285" s="1583"/>
      <c r="K1285" s="1583"/>
      <c r="L1285" s="1583"/>
      <c r="M1285" s="1583"/>
      <c r="N1285" s="1583"/>
      <c r="O1285" s="942" t="s">
        <v>799</v>
      </c>
      <c r="P1285" s="1122" t="str">
        <f>'Part VIII-Threshold Criteria'!P376</f>
        <v>Yes</v>
      </c>
      <c r="Q1285" s="1122">
        <f>'Part VIII-Threshold Criteria'!Q376</f>
        <v>0</v>
      </c>
    </row>
    <row r="1286" spans="1:17">
      <c r="A1286" s="581"/>
      <c r="B1286" s="943" t="s">
        <v>2254</v>
      </c>
      <c r="C1286" s="1081" t="s">
        <v>3284</v>
      </c>
      <c r="D1286" s="1081"/>
      <c r="E1286" s="1081"/>
      <c r="F1286" s="1081"/>
      <c r="G1286" s="1081"/>
      <c r="H1286" s="1081"/>
      <c r="I1286" s="1081"/>
      <c r="J1286" s="1081"/>
      <c r="K1286" s="1081"/>
      <c r="L1286" s="1081"/>
      <c r="M1286" s="1081"/>
      <c r="N1286" s="581"/>
      <c r="O1286" s="942"/>
      <c r="P1286" s="581"/>
      <c r="Q1286" s="581"/>
    </row>
    <row r="1287" spans="1:17">
      <c r="A1287" s="581"/>
      <c r="B1287" s="943"/>
      <c r="C1287" s="582" t="s">
        <v>2347</v>
      </c>
      <c r="D1287" s="582"/>
      <c r="E1287" s="581"/>
      <c r="F1287" s="1081"/>
      <c r="G1287" s="829">
        <f>'Part VIII-Threshold Criteria'!G378</f>
        <v>2</v>
      </c>
      <c r="H1287" s="829" t="str">
        <f>'Part VIII-Threshold Criteria'!H378</f>
        <v xml:space="preserve"> </v>
      </c>
      <c r="J1287" s="582" t="s">
        <v>2350</v>
      </c>
      <c r="K1287" s="1081"/>
      <c r="N1287" s="829">
        <f>'Part VIII-Threshold Criteria'!N378</f>
        <v>0</v>
      </c>
      <c r="O1287" s="829" t="str">
        <f>'Part VIII-Threshold Criteria'!O378</f>
        <v xml:space="preserve"> </v>
      </c>
    </row>
    <row r="1288" spans="1:17">
      <c r="A1288" s="581"/>
      <c r="B1288" s="943"/>
      <c r="C1288" s="582" t="s">
        <v>2348</v>
      </c>
      <c r="D1288" s="582"/>
      <c r="E1288" s="581"/>
      <c r="F1288" s="1081"/>
      <c r="G1288" s="829">
        <f>'Part VIII-Threshold Criteria'!G379</f>
        <v>0</v>
      </c>
      <c r="H1288" s="829">
        <f>'Part VIII-Threshold Criteria'!H379</f>
        <v>0</v>
      </c>
      <c r="J1288" s="582" t="s">
        <v>2351</v>
      </c>
      <c r="K1288" s="1081"/>
      <c r="N1288" s="829">
        <f>'Part VIII-Threshold Criteria'!N379</f>
        <v>0</v>
      </c>
      <c r="O1288" s="829">
        <f>'Part VIII-Threshold Criteria'!O379</f>
        <v>0</v>
      </c>
    </row>
    <row r="1289" spans="1:17">
      <c r="A1289" s="581"/>
      <c r="B1289" s="943"/>
      <c r="C1289" s="582" t="s">
        <v>2349</v>
      </c>
      <c r="D1289" s="582"/>
      <c r="E1289" s="581"/>
      <c r="F1289" s="1081"/>
      <c r="G1289" s="829">
        <f>'Part VIII-Threshold Criteria'!G380</f>
        <v>3</v>
      </c>
      <c r="H1289" s="829" t="str">
        <f>'Part VIII-Threshold Criteria'!H380</f>
        <v xml:space="preserve"> </v>
      </c>
      <c r="K1289" s="1081"/>
      <c r="L1289" s="1081"/>
      <c r="M1289" s="1081"/>
      <c r="N1289" s="581"/>
      <c r="O1289" s="942"/>
    </row>
    <row r="1290" spans="1:17">
      <c r="A1290" s="581"/>
      <c r="B1290" s="943" t="s">
        <v>1857</v>
      </c>
      <c r="C1290" s="1081" t="s">
        <v>2543</v>
      </c>
      <c r="D1290" s="1081"/>
      <c r="E1290" s="1081"/>
      <c r="F1290" s="1081"/>
      <c r="G1290" s="1081"/>
      <c r="J1290" s="581"/>
      <c r="K1290" s="1081"/>
      <c r="L1290" s="1081"/>
      <c r="M1290" s="1081"/>
      <c r="N1290" s="581"/>
      <c r="O1290" s="942"/>
      <c r="P1290" s="942"/>
      <c r="Q1290" s="942"/>
    </row>
    <row r="1291" spans="1:17">
      <c r="A1291" s="581"/>
      <c r="B1291" s="943"/>
      <c r="C1291" s="565" t="s">
        <v>2352</v>
      </c>
      <c r="D1291" s="1081"/>
      <c r="E1291" s="1081"/>
      <c r="F1291" s="1081"/>
      <c r="G1291" s="829" t="str">
        <f>'Part VIII-Threshold Criteria'!G382</f>
        <v>Yes</v>
      </c>
      <c r="H1291" s="829">
        <f>'Part VIII-Threshold Criteria'!H382</f>
        <v>0</v>
      </c>
      <c r="J1291" s="565" t="s">
        <v>1253</v>
      </c>
      <c r="K1291" s="1081"/>
      <c r="N1291" s="829" t="str">
        <f>'Part VIII-Threshold Criteria'!N382</f>
        <v>Yes</v>
      </c>
      <c r="O1291" s="829">
        <f>'Part VIII-Threshold Criteria'!O382</f>
        <v>0</v>
      </c>
    </row>
    <row r="1292" spans="1:17">
      <c r="A1292" s="581"/>
      <c r="B1292" s="943"/>
      <c r="C1292" s="565" t="s">
        <v>1252</v>
      </c>
      <c r="D1292" s="1081"/>
      <c r="E1292" s="1081"/>
      <c r="F1292" s="1081"/>
      <c r="G1292" s="829" t="str">
        <f>'Part VIII-Threshold Criteria'!G383</f>
        <v>Yes</v>
      </c>
      <c r="H1292" s="829">
        <f>'Part VIII-Threshold Criteria'!H383</f>
        <v>0</v>
      </c>
      <c r="J1292" s="565" t="s">
        <v>2403</v>
      </c>
      <c r="N1292" s="1584">
        <f>'Part VIII-Threshold Criteria'!N383</f>
        <v>0</v>
      </c>
      <c r="O1292" s="1584"/>
      <c r="P1292" s="1584"/>
      <c r="Q1292" s="1584"/>
    </row>
    <row r="1293" spans="1:17">
      <c r="B1293" s="952" t="s">
        <v>1996</v>
      </c>
      <c r="D1293" s="952"/>
      <c r="E1293" s="952"/>
      <c r="F1293" s="952"/>
      <c r="G1293" s="952"/>
      <c r="H1293" s="1081"/>
      <c r="I1293" s="1057"/>
      <c r="J1293" s="1057"/>
      <c r="K1293" s="1057"/>
      <c r="P1293" s="1068"/>
      <c r="Q1293" s="1068"/>
    </row>
    <row r="1294" spans="1:17">
      <c r="A1294" s="1574" t="str">
        <f>'Part VIII-Threshold Criteria'!A385</f>
        <v>All income qualified tenants will be eligible to return to the property upon completion.  Over income tenants will be offered housing in other DHA properties and/or Housing Choice Section 8 vouchers if applicable.</v>
      </c>
      <c r="B1294" s="1574"/>
      <c r="C1294" s="1574"/>
      <c r="D1294" s="1574"/>
      <c r="E1294" s="1574"/>
      <c r="F1294" s="1574"/>
      <c r="G1294" s="1574"/>
      <c r="H1294" s="1574"/>
      <c r="I1294" s="1574"/>
      <c r="J1294" s="1574"/>
      <c r="K1294" s="1574"/>
      <c r="L1294" s="1574"/>
      <c r="M1294" s="1574"/>
      <c r="N1294" s="1574"/>
      <c r="O1294" s="1574"/>
      <c r="P1294" s="1574"/>
      <c r="Q1294" s="1574"/>
    </row>
    <row r="1295" spans="1:17">
      <c r="B1295" s="945" t="s">
        <v>1997</v>
      </c>
      <c r="C1295" s="946"/>
      <c r="D1295" s="1063"/>
      <c r="E1295" s="1063"/>
      <c r="F1295" s="1063"/>
      <c r="G1295" s="1063"/>
      <c r="H1295" s="1063"/>
      <c r="I1295" s="1063"/>
      <c r="J1295" s="1063"/>
      <c r="K1295" s="1063"/>
      <c r="L1295" s="1063"/>
      <c r="M1295" s="1063"/>
      <c r="N1295" s="1063"/>
      <c r="O1295" s="1063"/>
      <c r="P1295" s="1063"/>
      <c r="Q1295" s="1063"/>
    </row>
    <row r="1296" spans="1:17">
      <c r="A1296" s="1581">
        <f>'Part VIII-Threshold Criteria'!A387</f>
        <v>0</v>
      </c>
      <c r="B1296" s="1581"/>
      <c r="C1296" s="1581"/>
      <c r="D1296" s="1581"/>
      <c r="E1296" s="1581"/>
      <c r="F1296" s="1581"/>
      <c r="G1296" s="1581"/>
      <c r="H1296" s="1581"/>
      <c r="I1296" s="1581"/>
      <c r="J1296" s="1581"/>
      <c r="K1296" s="1581"/>
      <c r="L1296" s="1581"/>
      <c r="M1296" s="1581"/>
      <c r="N1296" s="1581"/>
      <c r="O1296" s="1581"/>
      <c r="P1296" s="1581"/>
      <c r="Q1296" s="1581"/>
    </row>
    <row r="1297" spans="1:17">
      <c r="A1297" s="1068"/>
      <c r="B1297" s="1057"/>
      <c r="C1297" s="1063"/>
      <c r="D1297" s="1063"/>
      <c r="E1297" s="1063"/>
      <c r="F1297" s="1063"/>
      <c r="G1297" s="1063"/>
      <c r="H1297" s="1063"/>
      <c r="I1297" s="1063"/>
      <c r="J1297" s="1063"/>
      <c r="K1297" s="1063"/>
      <c r="L1297" s="1063"/>
      <c r="M1297" s="1063"/>
      <c r="Q1297" s="1068"/>
    </row>
    <row r="1298" spans="1:17">
      <c r="A1298" s="1125">
        <v>27</v>
      </c>
      <c r="B1298" s="584" t="s">
        <v>3285</v>
      </c>
      <c r="C1298" s="584"/>
      <c r="D1298" s="939"/>
      <c r="E1298" s="1063"/>
      <c r="F1298" s="1063"/>
      <c r="G1298" s="1063"/>
      <c r="H1298" s="1063"/>
      <c r="O1298" s="940" t="s">
        <v>1998</v>
      </c>
      <c r="P1298" s="1582">
        <f>'Part VIII-Threshold Criteria'!P389</f>
        <v>0</v>
      </c>
      <c r="Q1298" s="1582"/>
    </row>
    <row r="1299" spans="1:17">
      <c r="A1299" s="1072"/>
      <c r="B1299" s="941" t="s">
        <v>2119</v>
      </c>
      <c r="C1299" s="1580" t="s">
        <v>3286</v>
      </c>
      <c r="D1299" s="1580"/>
      <c r="E1299" s="1580"/>
      <c r="F1299" s="1580"/>
      <c r="G1299" s="1580"/>
      <c r="H1299" s="1580"/>
      <c r="I1299" s="1580"/>
      <c r="J1299" s="1580"/>
      <c r="K1299" s="1580"/>
      <c r="L1299" s="1580"/>
      <c r="M1299" s="1580"/>
      <c r="N1299" s="1580"/>
      <c r="O1299" s="954" t="s">
        <v>2119</v>
      </c>
      <c r="P1299" s="1122" t="str">
        <f>'Part VIII-Threshold Criteria'!P390</f>
        <v>Agree</v>
      </c>
      <c r="Q1299" s="1122">
        <f>'Part VIII-Threshold Criteria'!Q390</f>
        <v>0</v>
      </c>
    </row>
    <row r="1300" spans="1:17">
      <c r="A1300" s="1072"/>
      <c r="B1300" s="941" t="s">
        <v>2122</v>
      </c>
      <c r="C1300" s="1580" t="s">
        <v>3287</v>
      </c>
      <c r="D1300" s="1580"/>
      <c r="E1300" s="1580"/>
      <c r="F1300" s="1580"/>
      <c r="G1300" s="1580"/>
      <c r="H1300" s="1580"/>
      <c r="I1300" s="1580"/>
      <c r="J1300" s="1580"/>
      <c r="K1300" s="1580"/>
      <c r="L1300" s="1580"/>
      <c r="M1300" s="1580"/>
      <c r="N1300" s="1580"/>
      <c r="O1300" s="954" t="s">
        <v>2122</v>
      </c>
      <c r="P1300" s="1122" t="str">
        <f>'Part VIII-Threshold Criteria'!P391</f>
        <v>Agree</v>
      </c>
      <c r="Q1300" s="1122">
        <f>'Part VIII-Threshold Criteria'!Q391</f>
        <v>0</v>
      </c>
    </row>
    <row r="1301" spans="1:17">
      <c r="A1301" s="1072"/>
      <c r="B1301" s="941" t="s">
        <v>799</v>
      </c>
      <c r="C1301" s="1580" t="s">
        <v>3288</v>
      </c>
      <c r="D1301" s="1580"/>
      <c r="E1301" s="1580"/>
      <c r="F1301" s="1580"/>
      <c r="G1301" s="1580"/>
      <c r="H1301" s="1580"/>
      <c r="I1301" s="1580"/>
      <c r="J1301" s="1580"/>
      <c r="K1301" s="1580"/>
      <c r="L1301" s="1580"/>
      <c r="M1301" s="1580"/>
      <c r="N1301" s="1580"/>
      <c r="O1301" s="954" t="s">
        <v>799</v>
      </c>
      <c r="P1301" s="1122" t="str">
        <f>'Part VIII-Threshold Criteria'!P392</f>
        <v>Agree</v>
      </c>
      <c r="Q1301" s="1122">
        <f>'Part VIII-Threshold Criteria'!Q392</f>
        <v>0</v>
      </c>
    </row>
    <row r="1302" spans="1:17">
      <c r="A1302" s="1072"/>
      <c r="B1302" s="941" t="s">
        <v>2254</v>
      </c>
      <c r="C1302" s="1580" t="s">
        <v>3289</v>
      </c>
      <c r="D1302" s="1580"/>
      <c r="E1302" s="1580"/>
      <c r="F1302" s="1580"/>
      <c r="G1302" s="1580"/>
      <c r="H1302" s="1580"/>
      <c r="I1302" s="1580"/>
      <c r="J1302" s="1580"/>
      <c r="K1302" s="1580"/>
      <c r="L1302" s="1580"/>
      <c r="M1302" s="1580"/>
      <c r="N1302" s="1580"/>
      <c r="O1302" s="954" t="s">
        <v>2254</v>
      </c>
      <c r="P1302" s="1122" t="str">
        <f>'Part VIII-Threshold Criteria'!P393</f>
        <v>Agree</v>
      </c>
      <c r="Q1302" s="1122">
        <f>'Part VIII-Threshold Criteria'!Q393</f>
        <v>0</v>
      </c>
    </row>
    <row r="1303" spans="1:17">
      <c r="A1303" s="1072"/>
      <c r="B1303" s="941" t="s">
        <v>1857</v>
      </c>
      <c r="C1303" s="1580" t="s">
        <v>3290</v>
      </c>
      <c r="D1303" s="1580"/>
      <c r="E1303" s="1580"/>
      <c r="F1303" s="1580"/>
      <c r="G1303" s="1580"/>
      <c r="H1303" s="1580"/>
      <c r="I1303" s="1580"/>
      <c r="J1303" s="1580"/>
      <c r="K1303" s="1580"/>
      <c r="L1303" s="1580"/>
      <c r="M1303" s="1580"/>
      <c r="N1303" s="1580"/>
      <c r="O1303" s="954" t="s">
        <v>1857</v>
      </c>
      <c r="P1303" s="1122" t="str">
        <f>'Part VIII-Threshold Criteria'!P394</f>
        <v>Agree</v>
      </c>
      <c r="Q1303" s="1122">
        <f>'Part VIII-Threshold Criteria'!Q394</f>
        <v>0</v>
      </c>
    </row>
    <row r="1304" spans="1:17">
      <c r="A1304" s="1072"/>
      <c r="B1304" s="941" t="s">
        <v>1858</v>
      </c>
      <c r="C1304" s="1580" t="s">
        <v>3291</v>
      </c>
      <c r="D1304" s="1580"/>
      <c r="E1304" s="1580"/>
      <c r="F1304" s="1580"/>
      <c r="G1304" s="1580"/>
      <c r="H1304" s="1580"/>
      <c r="I1304" s="1580"/>
      <c r="J1304" s="1580"/>
      <c r="K1304" s="1580"/>
      <c r="L1304" s="1580"/>
      <c r="M1304" s="1580"/>
      <c r="N1304" s="1580"/>
      <c r="O1304" s="954" t="s">
        <v>1858</v>
      </c>
      <c r="P1304" s="1122" t="str">
        <f>'Part VIII-Threshold Criteria'!P395</f>
        <v>Agree</v>
      </c>
      <c r="Q1304" s="1122">
        <f>'Part VIII-Threshold Criteria'!Q395</f>
        <v>0</v>
      </c>
    </row>
    <row r="1305" spans="1:17">
      <c r="A1305" s="1072"/>
      <c r="B1305" s="941" t="s">
        <v>2082</v>
      </c>
      <c r="C1305" s="1580" t="s">
        <v>2904</v>
      </c>
      <c r="D1305" s="1580"/>
      <c r="E1305" s="1580"/>
      <c r="F1305" s="1580"/>
      <c r="G1305" s="1580"/>
      <c r="H1305" s="1580"/>
      <c r="I1305" s="1580"/>
      <c r="J1305" s="1580"/>
      <c r="K1305" s="1580"/>
      <c r="L1305" s="1580"/>
      <c r="M1305" s="1580"/>
      <c r="N1305" s="1580"/>
      <c r="O1305" s="954" t="s">
        <v>2082</v>
      </c>
      <c r="P1305" s="1122" t="str">
        <f>'Part VIII-Threshold Criteria'!P396</f>
        <v>Agree</v>
      </c>
      <c r="Q1305" s="1122">
        <f>'Part VIII-Threshold Criteria'!Q396</f>
        <v>0</v>
      </c>
    </row>
    <row r="1306" spans="1:17">
      <c r="B1306" s="952" t="s">
        <v>1996</v>
      </c>
      <c r="D1306" s="952"/>
      <c r="E1306" s="952"/>
      <c r="F1306" s="952"/>
      <c r="G1306" s="952"/>
      <c r="H1306" s="1081"/>
      <c r="I1306" s="1057"/>
      <c r="J1306" s="1057"/>
      <c r="K1306" s="1057"/>
      <c r="L1306" s="1068"/>
      <c r="M1306" s="1068"/>
      <c r="N1306" s="1068"/>
      <c r="O1306" s="1068"/>
      <c r="P1306" s="1068"/>
      <c r="Q1306" s="1068"/>
    </row>
    <row r="1307" spans="1:17">
      <c r="A1307" s="1574">
        <f>'Part VIII-Threshold Criteria'!A398</f>
        <v>0</v>
      </c>
      <c r="B1307" s="1574"/>
      <c r="C1307" s="1574"/>
      <c r="D1307" s="1574"/>
      <c r="E1307" s="1574"/>
      <c r="F1307" s="1574"/>
      <c r="G1307" s="1574"/>
      <c r="H1307" s="1574"/>
      <c r="I1307" s="1574"/>
      <c r="J1307" s="1574"/>
      <c r="K1307" s="1574"/>
      <c r="L1307" s="1574"/>
      <c r="M1307" s="1574"/>
      <c r="N1307" s="1574"/>
      <c r="O1307" s="1574"/>
      <c r="P1307" s="1574"/>
      <c r="Q1307" s="1574"/>
    </row>
    <row r="1308" spans="1:17">
      <c r="B1308" s="945" t="s">
        <v>1997</v>
      </c>
      <c r="C1308" s="946"/>
      <c r="D1308" s="1063"/>
      <c r="E1308" s="1063"/>
      <c r="F1308" s="1063"/>
      <c r="G1308" s="1063"/>
      <c r="H1308" s="1063"/>
      <c r="I1308" s="1063"/>
      <c r="J1308" s="1063"/>
      <c r="K1308" s="1063"/>
      <c r="L1308" s="1063"/>
      <c r="M1308" s="1063"/>
      <c r="N1308" s="1063"/>
      <c r="O1308" s="1063"/>
      <c r="P1308" s="1063"/>
      <c r="Q1308" s="1063"/>
    </row>
    <row r="1309" spans="1:17">
      <c r="A1309" s="1581">
        <f>'Part VIII-Threshold Criteria'!A400</f>
        <v>0</v>
      </c>
      <c r="B1309" s="1581"/>
      <c r="C1309" s="1581"/>
      <c r="D1309" s="1581"/>
      <c r="E1309" s="1581"/>
      <c r="F1309" s="1581"/>
      <c r="G1309" s="1581"/>
      <c r="H1309" s="1581"/>
      <c r="I1309" s="1581"/>
      <c r="J1309" s="1581"/>
      <c r="K1309" s="1581"/>
      <c r="L1309" s="1581"/>
      <c r="M1309" s="1581"/>
      <c r="N1309" s="1581"/>
      <c r="O1309" s="1581"/>
      <c r="P1309" s="1581"/>
      <c r="Q1309" s="1581"/>
    </row>
    <row r="1310" spans="1:17">
      <c r="A1310" s="1068"/>
      <c r="B1310" s="1057"/>
      <c r="C1310" s="1063"/>
      <c r="D1310" s="1063"/>
      <c r="E1310" s="1063"/>
      <c r="F1310" s="1063"/>
      <c r="G1310" s="1063"/>
      <c r="H1310" s="1063"/>
      <c r="I1310" s="1063"/>
      <c r="J1310" s="1063"/>
      <c r="K1310" s="1063"/>
      <c r="L1310" s="1063"/>
      <c r="M1310" s="1063"/>
      <c r="Q1310" s="1068"/>
    </row>
    <row r="1311" spans="1:17">
      <c r="A1311" s="1125">
        <v>28</v>
      </c>
      <c r="B1311" s="584" t="s">
        <v>2870</v>
      </c>
      <c r="C1311" s="584"/>
      <c r="D1311" s="939"/>
      <c r="E1311" s="1063"/>
      <c r="F1311" s="1063"/>
      <c r="G1311" s="1063"/>
      <c r="H1311" s="1063"/>
      <c r="I1311" s="1063"/>
      <c r="J1311" s="1063"/>
      <c r="K1311" s="1063"/>
      <c r="L1311" s="1063"/>
      <c r="M1311" s="1063"/>
      <c r="O1311" s="940" t="s">
        <v>1998</v>
      </c>
      <c r="P1311" s="1582">
        <f>'Part VIII-Threshold Criteria'!P402</f>
        <v>0</v>
      </c>
      <c r="Q1311" s="1582"/>
    </row>
    <row r="1312" spans="1:17">
      <c r="A1312" s="1125"/>
      <c r="B1312" s="952" t="s">
        <v>1996</v>
      </c>
      <c r="D1312" s="952"/>
      <c r="E1312" s="952"/>
      <c r="F1312" s="952"/>
      <c r="G1312" s="952"/>
      <c r="H1312" s="1081"/>
      <c r="I1312" s="1057"/>
      <c r="J1312" s="1057"/>
      <c r="K1312" s="1057"/>
      <c r="L1312" s="1068"/>
      <c r="M1312" s="1068"/>
      <c r="N1312" s="1068"/>
      <c r="O1312" s="1068"/>
      <c r="P1312" s="1068"/>
      <c r="Q1312" s="1068"/>
    </row>
    <row r="1313" spans="1:21">
      <c r="A1313" s="1574">
        <f>'Part VIII-Threshold Criteria'!A404</f>
        <v>0</v>
      </c>
      <c r="B1313" s="1574"/>
      <c r="C1313" s="1574"/>
      <c r="D1313" s="1574"/>
      <c r="E1313" s="1574"/>
      <c r="F1313" s="1574"/>
      <c r="G1313" s="1574"/>
      <c r="H1313" s="1574"/>
      <c r="I1313" s="1574"/>
      <c r="J1313" s="1574"/>
      <c r="K1313" s="1574"/>
      <c r="L1313" s="1574"/>
      <c r="M1313" s="1574"/>
      <c r="N1313" s="1574"/>
      <c r="O1313" s="1574"/>
      <c r="P1313" s="1574"/>
      <c r="Q1313" s="1574"/>
    </row>
    <row r="1314" spans="1:21">
      <c r="B1314" s="945" t="s">
        <v>1997</v>
      </c>
      <c r="C1314" s="946"/>
      <c r="D1314" s="1063"/>
      <c r="E1314" s="1063"/>
      <c r="F1314" s="1063"/>
      <c r="G1314" s="1063"/>
      <c r="H1314" s="1063"/>
      <c r="I1314" s="1063"/>
      <c r="J1314" s="1063"/>
      <c r="K1314" s="1063"/>
      <c r="L1314" s="1063"/>
      <c r="M1314" s="1063"/>
      <c r="N1314" s="1063"/>
      <c r="O1314" s="1063"/>
      <c r="P1314" s="1063"/>
      <c r="Q1314" s="1063"/>
    </row>
    <row r="1315" spans="1:21">
      <c r="A1315" s="1581">
        <f>'Part VIII-Threshold Criteria'!A406</f>
        <v>0</v>
      </c>
      <c r="B1315" s="1581"/>
      <c r="C1315" s="1581"/>
      <c r="D1315" s="1581"/>
      <c r="E1315" s="1581"/>
      <c r="F1315" s="1581"/>
      <c r="G1315" s="1581"/>
      <c r="H1315" s="1581"/>
      <c r="I1315" s="1581"/>
      <c r="J1315" s="1581"/>
      <c r="K1315" s="1581"/>
      <c r="L1315" s="1581"/>
      <c r="M1315" s="1581"/>
      <c r="N1315" s="1581"/>
      <c r="O1315" s="1581"/>
      <c r="P1315" s="1581"/>
      <c r="Q1315" s="1581"/>
    </row>
    <row r="1319" spans="1:21">
      <c r="A1319" s="1598" t="str">
        <f>CONCATENATE("PART NINE - SCORING CRITERIA","  -  ",'Part I-Project Information'!$O$4," ",'Part I-Project Information'!$F$23,", ",'Part I-Project Information'!F1345,", ",'Part I-Project Information'!J1346," County")</f>
        <v>PART NINE - SCORING CRITERIA  -  2014-055 Trinity Walk Phase I, ,  County</v>
      </c>
      <c r="B1319" s="1598"/>
      <c r="C1319" s="1598"/>
      <c r="D1319" s="1598"/>
      <c r="E1319" s="1598"/>
      <c r="F1319" s="1598"/>
      <c r="G1319" s="1598"/>
      <c r="H1319" s="1598"/>
      <c r="I1319" s="1598"/>
      <c r="J1319" s="1598"/>
      <c r="K1319" s="1598"/>
      <c r="L1319" s="1598"/>
      <c r="M1319" s="1598"/>
      <c r="N1319" s="1598"/>
      <c r="O1319" s="1598"/>
      <c r="P1319" s="1598"/>
    </row>
    <row r="1320" spans="1:21">
      <c r="A1320" s="582"/>
      <c r="B1320" s="582"/>
      <c r="C1320" s="961"/>
      <c r="D1320" s="582"/>
      <c r="E1320" s="582"/>
      <c r="F1320" s="582"/>
      <c r="G1320" s="582"/>
      <c r="H1320" s="582"/>
      <c r="I1320" s="582"/>
      <c r="J1320" s="582"/>
      <c r="K1320" s="582"/>
      <c r="L1320" s="582"/>
      <c r="M1320" s="1057"/>
      <c r="N1320" s="826"/>
      <c r="O1320" s="1082"/>
      <c r="P1320" s="1082"/>
    </row>
    <row r="1321" spans="1:21">
      <c r="A1321" s="581"/>
      <c r="B1321" s="582"/>
      <c r="C1321" s="582"/>
      <c r="D1321" s="582"/>
      <c r="E1321" s="582"/>
      <c r="F1321" s="582"/>
      <c r="G1321" s="582"/>
      <c r="H1321" s="582"/>
      <c r="I1321" s="582"/>
      <c r="J1321" s="582"/>
      <c r="K1321" s="581"/>
      <c r="M1321" s="962" t="s">
        <v>2365</v>
      </c>
      <c r="N1321" s="826"/>
      <c r="O1321" s="1082" t="s">
        <v>2364</v>
      </c>
      <c r="P1321" s="1113" t="s">
        <v>270</v>
      </c>
      <c r="U1321" s="1082" t="s">
        <v>2364</v>
      </c>
    </row>
    <row r="1322" spans="1:21" ht="14.25">
      <c r="A1322" s="581"/>
      <c r="B1322" s="581"/>
      <c r="C1322" s="581"/>
      <c r="D1322" s="581"/>
      <c r="E1322" s="581"/>
      <c r="F1322" s="581"/>
      <c r="G1322" s="581"/>
      <c r="H1322" s="581"/>
      <c r="I1322" s="581"/>
      <c r="J1322" s="581"/>
      <c r="K1322" s="581"/>
      <c r="L1322" s="963"/>
      <c r="M1322" s="962" t="s">
        <v>96</v>
      </c>
      <c r="N1322" s="584"/>
      <c r="O1322" s="1082" t="s">
        <v>2365</v>
      </c>
      <c r="P1322" s="1113" t="s">
        <v>2365</v>
      </c>
      <c r="Q1322" s="963"/>
      <c r="U1322" s="1082" t="s">
        <v>2365</v>
      </c>
    </row>
    <row r="1323" spans="1:21" ht="14.25">
      <c r="A1323" s="581"/>
      <c r="B1323" s="581"/>
      <c r="C1323" s="581"/>
      <c r="D1323" s="581"/>
      <c r="E1323" s="581"/>
      <c r="F1323" s="581"/>
      <c r="G1323" s="581"/>
      <c r="H1323" s="581"/>
      <c r="I1323" s="581"/>
      <c r="J1323" s="581"/>
      <c r="K1323" s="581"/>
      <c r="L1323" s="963"/>
      <c r="M1323" s="962"/>
      <c r="N1323" s="584"/>
      <c r="O1323" s="1082"/>
      <c r="P1323" s="1113"/>
      <c r="Q1323" s="963"/>
      <c r="U1323" s="1082" t="s">
        <v>3602</v>
      </c>
    </row>
    <row r="1324" spans="1:21" ht="15.75">
      <c r="A1324" s="581"/>
      <c r="B1324" s="581"/>
      <c r="C1324" s="581"/>
      <c r="D1324" s="581"/>
      <c r="E1324" s="581"/>
      <c r="F1324" s="581"/>
      <c r="G1324" s="581"/>
      <c r="H1324" s="963"/>
      <c r="I1324" s="581"/>
      <c r="J1324" s="581"/>
      <c r="K1324" s="963"/>
      <c r="L1324" s="964" t="s">
        <v>1303</v>
      </c>
      <c r="M1324" s="965">
        <f>M1670</f>
        <v>87</v>
      </c>
      <c r="N1324" s="922"/>
      <c r="O1324" s="965">
        <f>O1670</f>
        <v>49</v>
      </c>
      <c r="P1324" s="965">
        <f>P1670</f>
        <v>10</v>
      </c>
      <c r="Q1324" s="963"/>
      <c r="U1324" s="965">
        <f>U1670</f>
        <v>49</v>
      </c>
    </row>
    <row r="1325" spans="1:21" ht="14.25">
      <c r="A1325" s="581"/>
      <c r="B1325" s="581"/>
      <c r="C1325" s="581"/>
      <c r="D1325" s="581"/>
      <c r="E1325" s="581"/>
      <c r="F1325" s="581"/>
      <c r="G1325" s="581"/>
      <c r="H1325" s="581"/>
      <c r="I1325" s="581"/>
      <c r="J1325" s="581"/>
      <c r="K1325" s="581"/>
      <c r="L1325" s="963"/>
      <c r="M1325" s="962"/>
      <c r="N1325" s="584"/>
      <c r="O1325" s="1082"/>
      <c r="P1325" s="1113"/>
      <c r="Q1325" s="963"/>
      <c r="U1325" s="1082"/>
    </row>
    <row r="1326" spans="1:21">
      <c r="A1326" s="966" t="s">
        <v>2123</v>
      </c>
      <c r="B1326" s="967" t="s">
        <v>3238</v>
      </c>
      <c r="C1326" s="584"/>
      <c r="D1326" s="584"/>
      <c r="E1326" s="584"/>
      <c r="F1326" s="584"/>
      <c r="G1326" s="581"/>
      <c r="H1326" s="944" t="s">
        <v>1731</v>
      </c>
      <c r="I1326" s="581"/>
      <c r="J1326" s="581"/>
      <c r="K1326" s="581"/>
      <c r="L1326" s="581"/>
      <c r="M1326" s="1082">
        <v>10</v>
      </c>
      <c r="N1326" s="968"/>
      <c r="O1326" s="965">
        <f>MIN($M1326, $M1326-O1328-O1330-O1329)</f>
        <v>10</v>
      </c>
      <c r="P1326" s="965">
        <f>MIN($M1326, $M1326-P1328-P1330-P1329)</f>
        <v>10</v>
      </c>
      <c r="Q1326" s="1082" t="s">
        <v>463</v>
      </c>
      <c r="U1326" s="965">
        <f>'Part IX A-Scoring Criteria'!O8</f>
        <v>10</v>
      </c>
    </row>
    <row r="1327" spans="1:21" ht="15">
      <c r="A1327" s="581"/>
      <c r="B1327" s="943"/>
      <c r="C1327" s="582"/>
      <c r="D1327" s="585"/>
      <c r="E1327" s="585"/>
      <c r="F1327" s="585"/>
      <c r="G1327" s="585"/>
      <c r="H1327" s="585"/>
      <c r="I1327" s="585"/>
      <c r="J1327" s="585"/>
      <c r="K1327" s="585"/>
      <c r="L1327" s="581"/>
      <c r="M1327" s="826"/>
      <c r="N1327" s="830"/>
      <c r="O1327" s="965"/>
      <c r="P1327" s="1082"/>
      <c r="Q1327" s="969"/>
    </row>
    <row r="1328" spans="1:21">
      <c r="A1328" s="949" t="s">
        <v>2119</v>
      </c>
      <c r="B1328" s="903" t="s">
        <v>1999</v>
      </c>
      <c r="C1328" s="581"/>
      <c r="D1328" s="585"/>
      <c r="E1328" s="585"/>
      <c r="F1328" s="1057" t="s">
        <v>2767</v>
      </c>
      <c r="G1328" s="1081">
        <f>F1334</f>
        <v>0</v>
      </c>
      <c r="H1328" s="842" t="s">
        <v>3527</v>
      </c>
      <c r="I1328" s="581"/>
      <c r="J1328" s="581"/>
      <c r="K1328" s="581"/>
      <c r="L1328" s="581"/>
      <c r="M1328" s="826"/>
      <c r="N1328" s="942" t="s">
        <v>2119</v>
      </c>
      <c r="O1328" s="965">
        <f>'Part IX A-Scoring Criteria'!O10</f>
        <v>0</v>
      </c>
      <c r="P1328" s="965">
        <f>'Part IX A-Scoring Criteria'!P10</f>
        <v>0</v>
      </c>
      <c r="Q1328" s="581"/>
    </row>
    <row r="1329" spans="1:17" ht="15">
      <c r="A1329" s="949"/>
      <c r="B1329" s="585" t="s">
        <v>2252</v>
      </c>
      <c r="C1329" s="969"/>
      <c r="D1329" s="585"/>
      <c r="E1329" s="585"/>
      <c r="F1329" s="1057" t="s">
        <v>2767</v>
      </c>
      <c r="G1329" s="1081">
        <f>P1334</f>
        <v>0</v>
      </c>
      <c r="H1329" s="842" t="s">
        <v>3158</v>
      </c>
      <c r="I1329" s="969"/>
      <c r="J1329" s="944"/>
      <c r="K1329" s="969"/>
      <c r="L1329" s="969"/>
      <c r="M1329" s="826">
        <v>1</v>
      </c>
      <c r="N1329" s="942"/>
      <c r="O1329" s="965">
        <f>'Part IX A-Scoring Criteria'!O11</f>
        <v>0</v>
      </c>
      <c r="P1329" s="965">
        <f>'Part IX A-Scoring Criteria'!P11</f>
        <v>0</v>
      </c>
      <c r="Q1329" s="969"/>
    </row>
    <row r="1330" spans="1:17">
      <c r="A1330" s="949" t="s">
        <v>2122</v>
      </c>
      <c r="B1330" s="903" t="s">
        <v>776</v>
      </c>
      <c r="C1330" s="581"/>
      <c r="D1330" s="585"/>
      <c r="E1330" s="585"/>
      <c r="F1330" s="1057" t="s">
        <v>2767</v>
      </c>
      <c r="G1330" s="1081">
        <f>K1334</f>
        <v>0</v>
      </c>
      <c r="H1330" s="842" t="s">
        <v>3689</v>
      </c>
      <c r="I1330" s="581"/>
      <c r="J1330" s="944"/>
      <c r="K1330" s="581"/>
      <c r="L1330" s="581"/>
      <c r="M1330" s="826"/>
      <c r="N1330" s="942" t="s">
        <v>2122</v>
      </c>
      <c r="O1330" s="965">
        <f>'Part IX A-Scoring Criteria'!O12</f>
        <v>0</v>
      </c>
      <c r="P1330" s="965">
        <f>'Part IX A-Scoring Criteria'!P12</f>
        <v>0</v>
      </c>
      <c r="Q1330" s="1082"/>
    </row>
    <row r="1331" spans="1:17" ht="15">
      <c r="A1331" s="944" t="s">
        <v>269</v>
      </c>
      <c r="B1331" s="581"/>
      <c r="C1331" s="581"/>
      <c r="D1331" s="585"/>
      <c r="E1331" s="585"/>
      <c r="F1331" s="585"/>
      <c r="G1331" s="585"/>
      <c r="H1331" s="582"/>
      <c r="I1331" s="582"/>
      <c r="J1331" s="582"/>
      <c r="K1331" s="582"/>
      <c r="L1331" s="969"/>
      <c r="M1331" s="826"/>
      <c r="N1331" s="830"/>
      <c r="O1331" s="965"/>
      <c r="P1331" s="1113"/>
      <c r="Q1331" s="581"/>
    </row>
    <row r="1332" spans="1:17" ht="15.75">
      <c r="A1332" s="1574">
        <f>'Part IX A-Scoring Criteria'!A14</f>
        <v>0</v>
      </c>
      <c r="B1332" s="1574"/>
      <c r="C1332" s="1574"/>
      <c r="D1332" s="1574"/>
      <c r="E1332" s="1574"/>
      <c r="F1332" s="1574"/>
      <c r="G1332" s="1574"/>
      <c r="H1332" s="1574"/>
      <c r="I1332" s="1574"/>
      <c r="J1332" s="1574"/>
      <c r="K1332" s="1574"/>
      <c r="L1332" s="1574"/>
      <c r="M1332" s="1574"/>
      <c r="N1332" s="1574"/>
      <c r="O1332" s="1574"/>
      <c r="P1332" s="1574"/>
      <c r="Q1332" s="970" t="s">
        <v>1332</v>
      </c>
    </row>
    <row r="1333" spans="1:17">
      <c r="A1333" s="944" t="s">
        <v>1997</v>
      </c>
      <c r="B1333" s="581"/>
      <c r="C1333" s="581"/>
      <c r="D1333" s="581"/>
      <c r="E1333" s="581"/>
      <c r="F1333" s="1057" t="s">
        <v>1835</v>
      </c>
      <c r="G1333" s="581"/>
      <c r="H1333" s="581"/>
      <c r="I1333" s="581"/>
      <c r="J1333" s="581"/>
      <c r="K1333" s="1057" t="s">
        <v>1835</v>
      </c>
      <c r="L1333" s="581"/>
      <c r="M1333" s="581"/>
      <c r="N1333" s="581"/>
      <c r="O1333" s="581"/>
      <c r="P1333" s="942" t="s">
        <v>1835</v>
      </c>
      <c r="Q1333" s="581"/>
    </row>
    <row r="1334" spans="1:17">
      <c r="A1334" s="1586" t="s">
        <v>2565</v>
      </c>
      <c r="B1334" s="1586"/>
      <c r="C1334" s="1586"/>
      <c r="D1334" s="1586"/>
      <c r="E1334" s="942" t="s">
        <v>541</v>
      </c>
      <c r="F1334" s="1082">
        <f>SUM(F1335:F1346)</f>
        <v>0</v>
      </c>
      <c r="G1334" s="1586" t="s">
        <v>2566</v>
      </c>
      <c r="H1334" s="1586"/>
      <c r="I1334" s="1586"/>
      <c r="J1334" s="942" t="s">
        <v>541</v>
      </c>
      <c r="K1334" s="1082">
        <f>SUM(K1335:K1346)</f>
        <v>0</v>
      </c>
      <c r="L1334" s="1083" t="s">
        <v>3690</v>
      </c>
      <c r="M1334" s="581"/>
      <c r="N1334" s="971"/>
      <c r="O1334" s="942"/>
      <c r="P1334" s="1082">
        <f>SUM(P1335:P1346)</f>
        <v>0</v>
      </c>
      <c r="Q1334" s="581"/>
    </row>
    <row r="1335" spans="1:17" ht="15.75">
      <c r="A1335" s="1712">
        <v>1</v>
      </c>
      <c r="B1335" s="1615"/>
      <c r="C1335" s="1615"/>
      <c r="D1335" s="1615"/>
      <c r="E1335" s="1615"/>
      <c r="F1335" s="1124"/>
      <c r="G1335" s="1712">
        <v>1</v>
      </c>
      <c r="H1335" s="1712"/>
      <c r="I1335" s="1712"/>
      <c r="J1335" s="1712"/>
      <c r="K1335" s="1124" t="s">
        <v>1855</v>
      </c>
      <c r="L1335" s="1712">
        <v>1</v>
      </c>
      <c r="M1335" s="1712"/>
      <c r="N1335" s="1712"/>
      <c r="O1335" s="1712"/>
      <c r="P1335" s="1124"/>
      <c r="Q1335" s="970" t="s">
        <v>1332</v>
      </c>
    </row>
    <row r="1336" spans="1:17" ht="15.75">
      <c r="A1336" s="1712">
        <v>2</v>
      </c>
      <c r="B1336" s="1615"/>
      <c r="C1336" s="1615"/>
      <c r="D1336" s="1615"/>
      <c r="E1336" s="1615"/>
      <c r="F1336" s="1124"/>
      <c r="G1336" s="1712">
        <v>2</v>
      </c>
      <c r="H1336" s="1712"/>
      <c r="I1336" s="1712"/>
      <c r="J1336" s="1712"/>
      <c r="K1336" s="1124"/>
      <c r="L1336" s="1712">
        <v>2</v>
      </c>
      <c r="M1336" s="1712"/>
      <c r="N1336" s="1712"/>
      <c r="O1336" s="1712"/>
      <c r="P1336" s="1124"/>
      <c r="Q1336" s="970"/>
    </row>
    <row r="1337" spans="1:17" ht="15.75">
      <c r="A1337" s="1712">
        <v>3</v>
      </c>
      <c r="B1337" s="1615"/>
      <c r="C1337" s="1615"/>
      <c r="D1337" s="1615"/>
      <c r="E1337" s="1615"/>
      <c r="F1337" s="1124"/>
      <c r="G1337" s="1712">
        <v>3</v>
      </c>
      <c r="H1337" s="1712"/>
      <c r="I1337" s="1712"/>
      <c r="J1337" s="1712"/>
      <c r="K1337" s="1124" t="s">
        <v>3299</v>
      </c>
      <c r="L1337" s="1712">
        <v>3</v>
      </c>
      <c r="M1337" s="1712"/>
      <c r="N1337" s="1712"/>
      <c r="O1337" s="1712"/>
      <c r="P1337" s="1124"/>
      <c r="Q1337" s="970"/>
    </row>
    <row r="1338" spans="1:17" ht="15.75">
      <c r="A1338" s="1712">
        <v>4</v>
      </c>
      <c r="B1338" s="1615"/>
      <c r="C1338" s="1615"/>
      <c r="D1338" s="1615"/>
      <c r="E1338" s="1615"/>
      <c r="F1338" s="1124"/>
      <c r="G1338" s="1712">
        <v>4</v>
      </c>
      <c r="H1338" s="1712"/>
      <c r="I1338" s="1712"/>
      <c r="J1338" s="1712"/>
      <c r="K1338" s="1124" t="s">
        <v>3299</v>
      </c>
      <c r="L1338" s="1712">
        <v>4</v>
      </c>
      <c r="M1338" s="1712"/>
      <c r="N1338" s="1712"/>
      <c r="O1338" s="1712"/>
      <c r="P1338" s="1124"/>
      <c r="Q1338" s="970"/>
    </row>
    <row r="1339" spans="1:17">
      <c r="A1339" s="1712">
        <v>5</v>
      </c>
      <c r="B1339" s="1615"/>
      <c r="C1339" s="1615"/>
      <c r="D1339" s="1615"/>
      <c r="E1339" s="1615"/>
      <c r="F1339" s="1124"/>
      <c r="G1339" s="1712">
        <v>5</v>
      </c>
      <c r="H1339" s="1712"/>
      <c r="I1339" s="1712"/>
      <c r="J1339" s="1712"/>
      <c r="K1339" s="1124"/>
      <c r="L1339" s="1712">
        <v>5</v>
      </c>
      <c r="M1339" s="1712"/>
      <c r="N1339" s="1712"/>
      <c r="O1339" s="1712"/>
      <c r="P1339" s="1124"/>
      <c r="Q1339" s="581"/>
    </row>
    <row r="1340" spans="1:17">
      <c r="A1340" s="1712">
        <v>6</v>
      </c>
      <c r="B1340" s="1615"/>
      <c r="C1340" s="1615"/>
      <c r="D1340" s="1615"/>
      <c r="E1340" s="1615"/>
      <c r="F1340" s="1124"/>
      <c r="G1340" s="1712">
        <v>6</v>
      </c>
      <c r="H1340" s="1712"/>
      <c r="I1340" s="1712"/>
      <c r="J1340" s="1712"/>
      <c r="K1340" s="1124"/>
      <c r="L1340" s="1712">
        <v>6</v>
      </c>
      <c r="M1340" s="1712"/>
      <c r="N1340" s="1712"/>
      <c r="O1340" s="1712"/>
      <c r="P1340" s="1124"/>
      <c r="Q1340" s="581"/>
    </row>
    <row r="1341" spans="1:17">
      <c r="A1341" s="1712">
        <v>7</v>
      </c>
      <c r="B1341" s="1615"/>
      <c r="C1341" s="1615"/>
      <c r="D1341" s="1615"/>
      <c r="E1341" s="1615"/>
      <c r="F1341" s="1124"/>
      <c r="G1341" s="1712">
        <v>7</v>
      </c>
      <c r="H1341" s="1712"/>
      <c r="I1341" s="1712"/>
      <c r="J1341" s="1712"/>
      <c r="K1341" s="1124"/>
      <c r="L1341" s="1712">
        <v>7</v>
      </c>
      <c r="M1341" s="1712"/>
      <c r="N1341" s="1712"/>
      <c r="O1341" s="1712"/>
      <c r="P1341" s="1124"/>
      <c r="Q1341" s="581"/>
    </row>
    <row r="1342" spans="1:17">
      <c r="A1342" s="1712">
        <v>8</v>
      </c>
      <c r="B1342" s="1615"/>
      <c r="C1342" s="1615"/>
      <c r="D1342" s="1615"/>
      <c r="E1342" s="1615"/>
      <c r="F1342" s="1124"/>
      <c r="G1342" s="1712">
        <v>8</v>
      </c>
      <c r="H1342" s="1712"/>
      <c r="I1342" s="1712"/>
      <c r="J1342" s="1712"/>
      <c r="K1342" s="1124"/>
      <c r="L1342" s="1712">
        <v>8</v>
      </c>
      <c r="M1342" s="1712"/>
      <c r="N1342" s="1712"/>
      <c r="O1342" s="1712"/>
      <c r="P1342" s="1124"/>
      <c r="Q1342" s="581"/>
    </row>
    <row r="1343" spans="1:17">
      <c r="A1343" s="1712">
        <v>9</v>
      </c>
      <c r="B1343" s="1615"/>
      <c r="C1343" s="1615"/>
      <c r="D1343" s="1615"/>
      <c r="E1343" s="1615"/>
      <c r="F1343" s="1124"/>
      <c r="G1343" s="1712">
        <v>9</v>
      </c>
      <c r="H1343" s="1712"/>
      <c r="I1343" s="1712"/>
      <c r="J1343" s="1712"/>
      <c r="K1343" s="1124"/>
      <c r="L1343" s="1712">
        <v>9</v>
      </c>
      <c r="M1343" s="1712"/>
      <c r="N1343" s="1712"/>
      <c r="O1343" s="1712"/>
      <c r="P1343" s="1124"/>
      <c r="Q1343" s="581"/>
    </row>
    <row r="1344" spans="1:17">
      <c r="A1344" s="1712">
        <v>10</v>
      </c>
      <c r="B1344" s="1615"/>
      <c r="C1344" s="1615"/>
      <c r="D1344" s="1615"/>
      <c r="E1344" s="1615"/>
      <c r="F1344" s="1124"/>
      <c r="G1344" s="1712">
        <v>10</v>
      </c>
      <c r="H1344" s="1712"/>
      <c r="I1344" s="1712"/>
      <c r="J1344" s="1712"/>
      <c r="K1344" s="1124"/>
      <c r="L1344" s="1712">
        <v>10</v>
      </c>
      <c r="M1344" s="1712"/>
      <c r="N1344" s="1712"/>
      <c r="O1344" s="1712"/>
      <c r="P1344" s="1124"/>
      <c r="Q1344" s="581"/>
    </row>
    <row r="1345" spans="1:21">
      <c r="A1345" s="1712">
        <v>11</v>
      </c>
      <c r="B1345" s="1615"/>
      <c r="C1345" s="1615"/>
      <c r="D1345" s="1615"/>
      <c r="E1345" s="1615"/>
      <c r="F1345" s="1124"/>
      <c r="G1345" s="1712">
        <v>11</v>
      </c>
      <c r="H1345" s="1712"/>
      <c r="I1345" s="1712"/>
      <c r="J1345" s="1712"/>
      <c r="K1345" s="1124"/>
      <c r="L1345" s="1712">
        <v>11</v>
      </c>
      <c r="M1345" s="1712"/>
      <c r="N1345" s="1712"/>
      <c r="O1345" s="1712"/>
      <c r="P1345" s="1124"/>
      <c r="Q1345" s="581"/>
    </row>
    <row r="1346" spans="1:21">
      <c r="A1346" s="1712">
        <v>12</v>
      </c>
      <c r="B1346" s="1615"/>
      <c r="C1346" s="1615"/>
      <c r="D1346" s="1615"/>
      <c r="E1346" s="1615"/>
      <c r="F1346" s="1124"/>
      <c r="G1346" s="1712">
        <v>12</v>
      </c>
      <c r="H1346" s="1712"/>
      <c r="I1346" s="1712"/>
      <c r="J1346" s="1712"/>
      <c r="K1346" s="1124"/>
      <c r="L1346" s="1712">
        <v>12</v>
      </c>
      <c r="M1346" s="1712"/>
      <c r="N1346" s="1712"/>
      <c r="O1346" s="1712"/>
      <c r="P1346" s="1124"/>
      <c r="Q1346" s="581"/>
    </row>
    <row r="1347" spans="1:21" ht="15">
      <c r="A1347" s="969"/>
      <c r="B1347" s="969"/>
      <c r="C1347" s="969"/>
      <c r="D1347" s="582"/>
      <c r="E1347" s="582"/>
      <c r="F1347" s="1082"/>
      <c r="G1347" s="1082"/>
      <c r="H1347" s="1082"/>
      <c r="I1347" s="1082"/>
      <c r="J1347" s="1081"/>
      <c r="K1347" s="1081"/>
      <c r="L1347" s="1081"/>
      <c r="M1347" s="1057"/>
      <c r="N1347" s="1082"/>
      <c r="O1347" s="1113"/>
      <c r="P1347" s="965"/>
      <c r="Q1347" s="969"/>
    </row>
    <row r="1348" spans="1:21" ht="15">
      <c r="A1348" s="972" t="s">
        <v>2125</v>
      </c>
      <c r="B1348" s="973" t="s">
        <v>1077</v>
      </c>
      <c r="C1348" s="969"/>
      <c r="D1348" s="969"/>
      <c r="E1348" s="582"/>
      <c r="F1348" s="969"/>
      <c r="G1348" s="974"/>
      <c r="H1348" s="582"/>
      <c r="I1348" s="969"/>
      <c r="J1348" s="975"/>
      <c r="K1348" s="1588" t="s">
        <v>2890</v>
      </c>
      <c r="L1348" s="1588"/>
      <c r="M1348" s="1082">
        <v>3</v>
      </c>
      <c r="N1348" s="826"/>
      <c r="O1348" s="922">
        <f>IF($K1350 &gt;= $P1350,$M1350,IF($K1349&gt;=$P1349,$M1349,0))</f>
        <v>3</v>
      </c>
      <c r="P1348" s="922">
        <f>IF($L1350 &gt;= $P1350,$M1350,IF($L1349&gt;=$P1349,$M1349,0))</f>
        <v>0</v>
      </c>
      <c r="Q1348" s="1082" t="s">
        <v>463</v>
      </c>
      <c r="U1348" s="965">
        <f>'Part IX A-Scoring Criteria'!O30</f>
        <v>3</v>
      </c>
    </row>
    <row r="1349" spans="1:21" ht="15">
      <c r="A1349" s="976" t="s">
        <v>2119</v>
      </c>
      <c r="B1349" s="1118" t="s">
        <v>2810</v>
      </c>
      <c r="C1349" s="975"/>
      <c r="D1349" s="975"/>
      <c r="E1349" s="957"/>
      <c r="F1349" s="975"/>
      <c r="G1349" s="975"/>
      <c r="H1349" s="956" t="s">
        <v>2888</v>
      </c>
      <c r="I1349" s="977">
        <f>'Part IX A-Scoring Criteria'!I31</f>
        <v>15</v>
      </c>
      <c r="J1349" s="977"/>
      <c r="K1349" s="978">
        <f>IF(OR('Part VI-Revenues &amp; Expenses'!$M$60="", 'Part VI-Revenues &amp; Expenses'!$M$60=0),0,I1349/'Part VI-Revenues &amp; Expenses'!$M$60)</f>
        <v>0.21739130434782608</v>
      </c>
      <c r="L1349" s="978">
        <f>IF(OR('Part VI-Revenues &amp; Expenses'!$M$60="", 'Part VI-Revenues &amp; Expenses'!$M$60=0),0,J1349/'Part VI-Revenues &amp; Expenses'!$M$60)</f>
        <v>0</v>
      </c>
      <c r="M1349" s="826">
        <v>3</v>
      </c>
      <c r="N1349" s="913"/>
      <c r="O1349" s="1713" t="s">
        <v>2912</v>
      </c>
      <c r="P1349" s="979">
        <v>0.15</v>
      </c>
      <c r="Q1349" s="975"/>
    </row>
    <row r="1350" spans="1:21" ht="15">
      <c r="A1350" s="976" t="s">
        <v>2122</v>
      </c>
      <c r="B1350" s="1118" t="s">
        <v>2811</v>
      </c>
      <c r="C1350" s="975"/>
      <c r="D1350" s="975"/>
      <c r="E1350" s="957"/>
      <c r="F1350" s="975"/>
      <c r="G1350" s="975"/>
      <c r="H1350" s="956" t="s">
        <v>2812</v>
      </c>
      <c r="I1350" s="977">
        <f>'Part IX A-Scoring Criteria'!I32</f>
        <v>15</v>
      </c>
      <c r="J1350" s="977"/>
      <c r="K1350" s="978">
        <f>IF(OR('Part VI-Revenues &amp; Expenses'!$M$60="", 'Part VI-Revenues &amp; Expenses'!$M$60=0),0,I1350/'Part VI-Revenues &amp; Expenses'!$M$60)</f>
        <v>0.21739130434782608</v>
      </c>
      <c r="L1350" s="978">
        <f>IF(OR('Part VI-Revenues &amp; Expenses'!$M$60="", 'Part VI-Revenues &amp; Expenses'!$M$60=0),0,J1350/'Part VI-Revenues &amp; Expenses'!$M$60)</f>
        <v>0</v>
      </c>
      <c r="M1350" s="826">
        <v>3</v>
      </c>
      <c r="N1350" s="913"/>
      <c r="O1350" s="1713"/>
      <c r="P1350" s="979">
        <v>0.15</v>
      </c>
      <c r="Q1350" s="975"/>
    </row>
    <row r="1351" spans="1:21" ht="15">
      <c r="A1351" s="581"/>
      <c r="B1351" s="944" t="s">
        <v>269</v>
      </c>
      <c r="C1351" s="581"/>
      <c r="D1351" s="585"/>
      <c r="E1351" s="585"/>
      <c r="F1351" s="585"/>
      <c r="G1351" s="585"/>
      <c r="H1351" s="582"/>
      <c r="I1351" s="582"/>
      <c r="J1351" s="582"/>
      <c r="K1351" s="582"/>
      <c r="L1351" s="969"/>
      <c r="M1351" s="826"/>
      <c r="N1351" s="830"/>
      <c r="O1351" s="965"/>
      <c r="P1351" s="1113"/>
      <c r="Q1351" s="969"/>
    </row>
    <row r="1352" spans="1:21" ht="15.75">
      <c r="A1352" s="1574">
        <f>'Part IX A-Scoring Criteria'!A34</f>
        <v>0</v>
      </c>
      <c r="B1352" s="1574"/>
      <c r="C1352" s="1574"/>
      <c r="D1352" s="1574"/>
      <c r="E1352" s="1574"/>
      <c r="F1352" s="1574"/>
      <c r="G1352" s="1574"/>
      <c r="H1352" s="1574"/>
      <c r="I1352" s="1574"/>
      <c r="J1352" s="1574"/>
      <c r="K1352" s="1574"/>
      <c r="L1352" s="1574"/>
      <c r="M1352" s="1574"/>
      <c r="N1352" s="1574"/>
      <c r="O1352" s="1574"/>
      <c r="P1352" s="1574"/>
      <c r="Q1352" s="970" t="s">
        <v>1332</v>
      </c>
    </row>
    <row r="1353" spans="1:21" ht="15">
      <c r="A1353" s="581"/>
      <c r="B1353" s="944" t="s">
        <v>1997</v>
      </c>
      <c r="C1353" s="581"/>
      <c r="D1353" s="945"/>
      <c r="E1353" s="1063"/>
      <c r="F1353" s="1063"/>
      <c r="G1353" s="1063"/>
      <c r="H1353" s="1063"/>
      <c r="I1353" s="1063"/>
      <c r="J1353" s="1063"/>
      <c r="K1353" s="1063"/>
      <c r="L1353" s="1063"/>
      <c r="M1353" s="1063"/>
      <c r="N1353" s="980"/>
      <c r="O1353" s="981"/>
      <c r="P1353" s="1082"/>
      <c r="Q1353" s="975"/>
    </row>
    <row r="1354" spans="1:21" ht="15.75">
      <c r="A1354" s="1574"/>
      <c r="B1354" s="1574"/>
      <c r="C1354" s="1574"/>
      <c r="D1354" s="1574"/>
      <c r="E1354" s="1574"/>
      <c r="F1354" s="1574"/>
      <c r="G1354" s="1574"/>
      <c r="H1354" s="1574"/>
      <c r="I1354" s="1574"/>
      <c r="J1354" s="1574"/>
      <c r="K1354" s="1574"/>
      <c r="L1354" s="1574"/>
      <c r="M1354" s="1574"/>
      <c r="N1354" s="1574"/>
      <c r="O1354" s="1574"/>
      <c r="P1354" s="1574"/>
      <c r="Q1354" s="970" t="s">
        <v>1332</v>
      </c>
    </row>
    <row r="1355" spans="1:21">
      <c r="N1355" s="830"/>
      <c r="O1355" s="1113"/>
      <c r="P1355" s="1113"/>
    </row>
    <row r="1356" spans="1:21" ht="15">
      <c r="A1356" s="966" t="s">
        <v>2709</v>
      </c>
      <c r="B1356" s="967" t="s">
        <v>2005</v>
      </c>
      <c r="C1356" s="969"/>
      <c r="D1356" s="982"/>
      <c r="E1356" s="969"/>
      <c r="F1356" s="969"/>
      <c r="G1356" s="969"/>
      <c r="H1356" s="1608" t="s">
        <v>636</v>
      </c>
      <c r="I1356" s="1608"/>
      <c r="J1356" s="1608"/>
      <c r="K1356" s="1608"/>
      <c r="L1356" s="969"/>
      <c r="M1356" s="1082">
        <v>12</v>
      </c>
      <c r="N1356" s="942"/>
      <c r="O1356" s="922">
        <f>IF(OR($M1358-$O1359&lt;0,$O1358-$O1359&lt;0),0,IF($O1358&lt;=$M1358,$O1358-$O1359,IF($O1358&gt;$M1358,$M1358-$O1359,0)))</f>
        <v>12</v>
      </c>
      <c r="P1356" s="922">
        <f>IF(OR($M1358-$P1359&lt;0,$P1358-$P1359&lt;0),0,IF($P1358&lt;=$M1358,$P1358-$P1359,IF($P1358&gt;$M1358,$M1358-$P1359,0)))</f>
        <v>0</v>
      </c>
      <c r="Q1356" s="1082" t="s">
        <v>463</v>
      </c>
      <c r="U1356" s="965">
        <f>'Part IX A-Scoring Criteria'!O38</f>
        <v>12</v>
      </c>
    </row>
    <row r="1357" spans="1:21" ht="15">
      <c r="A1357" s="581"/>
      <c r="B1357" s="969"/>
      <c r="C1357" s="969"/>
      <c r="D1357" s="582"/>
      <c r="E1357" s="582"/>
      <c r="F1357" s="1082"/>
      <c r="G1357" s="1082"/>
      <c r="H1357" s="1608"/>
      <c r="I1357" s="1608"/>
      <c r="J1357" s="1608"/>
      <c r="K1357" s="1608"/>
      <c r="L1357" s="1081"/>
      <c r="M1357" s="1057"/>
      <c r="N1357" s="1082"/>
      <c r="O1357" s="1113"/>
      <c r="P1357" s="965"/>
      <c r="Q1357" s="969"/>
    </row>
    <row r="1358" spans="1:21" ht="15">
      <c r="A1358" s="949" t="s">
        <v>2119</v>
      </c>
      <c r="B1358" s="903" t="s">
        <v>2006</v>
      </c>
      <c r="C1358" s="584"/>
      <c r="D1358" s="584"/>
      <c r="E1358" s="842" t="s">
        <v>2969</v>
      </c>
      <c r="F1358" s="835"/>
      <c r="G1358" s="835"/>
      <c r="H1358" s="1608"/>
      <c r="I1358" s="1608"/>
      <c r="J1358" s="1608"/>
      <c r="K1358" s="1608"/>
      <c r="L1358" s="969"/>
      <c r="M1358" s="826">
        <v>12</v>
      </c>
      <c r="N1358" s="983" t="s">
        <v>2119</v>
      </c>
      <c r="O1358" s="1082">
        <f>'Part IX A-Scoring Criteria'!O40</f>
        <v>12</v>
      </c>
      <c r="P1358" s="1082"/>
      <c r="Q1358" s="984" t="s">
        <v>2948</v>
      </c>
    </row>
    <row r="1359" spans="1:21" ht="16.5">
      <c r="A1359" s="949" t="s">
        <v>2122</v>
      </c>
      <c r="B1359" s="903" t="s">
        <v>2007</v>
      </c>
      <c r="C1359" s="969"/>
      <c r="D1359" s="982"/>
      <c r="E1359" s="842" t="s">
        <v>447</v>
      </c>
      <c r="F1359" s="985"/>
      <c r="G1359" s="985"/>
      <c r="H1359" s="985"/>
      <c r="I1359" s="969"/>
      <c r="J1359" s="969"/>
      <c r="K1359" s="969"/>
      <c r="L1359" s="969"/>
      <c r="M1359" s="1057" t="s">
        <v>1316</v>
      </c>
      <c r="N1359" s="942" t="s">
        <v>2122</v>
      </c>
      <c r="O1359" s="1082">
        <f>'Part IX A-Scoring Criteria'!O41</f>
        <v>0</v>
      </c>
      <c r="P1359" s="1082"/>
      <c r="Q1359" s="984" t="s">
        <v>2948</v>
      </c>
    </row>
    <row r="1360" spans="1:21" ht="15">
      <c r="A1360" s="581"/>
      <c r="B1360" s="944" t="s">
        <v>269</v>
      </c>
      <c r="C1360" s="581"/>
      <c r="D1360" s="585"/>
      <c r="E1360" s="585"/>
      <c r="F1360" s="585"/>
      <c r="G1360" s="585"/>
      <c r="H1360" s="582"/>
      <c r="I1360" s="582"/>
      <c r="J1360" s="582"/>
      <c r="K1360" s="582"/>
      <c r="L1360" s="969"/>
      <c r="M1360" s="826"/>
      <c r="N1360" s="830"/>
      <c r="O1360" s="965"/>
      <c r="P1360" s="1113"/>
      <c r="Q1360" s="969"/>
    </row>
    <row r="1361" spans="1:21" ht="15.75">
      <c r="A1361" s="1574" t="str">
        <f>'Part IX A-Scoring Criteria'!A43</f>
        <v xml:space="preserve">Trinity Walk I is adjacent to Peavine Creek, a state water.  This creek has been adjacent to the existing site of Gateway since the original construction in approximately 1969.  Georgia law requires a 25-foot buffer between any State Water and adjacent land development.  Section 42-405 of the City of Decatur ordinances establishes two additional buffers, a 50-foot city undisturbed buffer, and a 75-foot city non-impervious buffer from the stream bank.  The existing condition has buildings and impervious hardscape within the prescribed buffers.  Building “A” of the current Gateway community is located along the stream bank.  We are proposing to remove 2,335 square feet of impervious surface from the 25-foot State stream buffer, another 5,474 square feet from the 50-foot City of Decatur undisturbed buffer, and reduce the 75-foot City of Decatur non-impervious buffer by 3,528-square feet, in order to improve the existing condition.  These actions have been approved by the City of Decatur in the zoning for the new Trinity Walk site. 
The appropriately designed stream buffer will provide a Greenspace that protects this creek and provides amenities for use by the residents.  The buffer and related variances are in accordance with the State of Georgia and City of Decatur requirements and improve the existing condition.  A children’s playground, community gathering area, and raised garden beds will line the pleasant trails in this Greenspace.  Appropriate plantings and trees will enhance the viability and aesthetics of the stream buffer. 
Bioswales on the northern and southern boundaries of the overall site address site runoff from non-permeable surfaces.  The stream bank of Peavine Creek contains nearly all of the AE flood zone (100-year flood zone) along the side of the Trinity Walk property.  A very small portion of flood zone (383 square feet) is situated in the northwest corner of the property and will not be impacted by the proposed improvements.  None of the buildings of Trinity Walk I are impacted in any way by the flood zone. The flood elevation is approximately 969.80, and the lowest building finished floor is anticipated to be 979.33, nearly 10-feet above the flood elevation.  Decatur has also designed and developed an innovative 2-acre storm water retention facility under the Ebster Soccer Field at a cost of $10 million.  This facility will serve as a regional storm water facility that will prevent flooding in the area.
</v>
      </c>
      <c r="B1361" s="1574"/>
      <c r="C1361" s="1574"/>
      <c r="D1361" s="1574"/>
      <c r="E1361" s="1574"/>
      <c r="F1361" s="1574"/>
      <c r="G1361" s="1574"/>
      <c r="H1361" s="1574"/>
      <c r="I1361" s="1574"/>
      <c r="J1361" s="1574"/>
      <c r="K1361" s="1574"/>
      <c r="L1361" s="1574"/>
      <c r="M1361" s="1574"/>
      <c r="N1361" s="1574"/>
      <c r="O1361" s="1574"/>
      <c r="P1361" s="1574"/>
      <c r="Q1361" s="970" t="s">
        <v>1332</v>
      </c>
    </row>
    <row r="1362" spans="1:21" ht="15">
      <c r="A1362" s="581"/>
      <c r="B1362" s="944" t="s">
        <v>1997</v>
      </c>
      <c r="C1362" s="581"/>
      <c r="D1362" s="945"/>
      <c r="E1362" s="1063"/>
      <c r="F1362" s="1063"/>
      <c r="G1362" s="1063"/>
      <c r="H1362" s="1063"/>
      <c r="I1362" s="1063"/>
      <c r="J1362" s="1063"/>
      <c r="K1362" s="1063"/>
      <c r="L1362" s="1063"/>
      <c r="M1362" s="1063"/>
      <c r="N1362" s="980"/>
      <c r="O1362" s="981"/>
      <c r="P1362" s="1082"/>
      <c r="Q1362" s="975"/>
    </row>
    <row r="1363" spans="1:21" ht="15.75">
      <c r="A1363" s="1574"/>
      <c r="B1363" s="1574"/>
      <c r="C1363" s="1574"/>
      <c r="D1363" s="1574"/>
      <c r="E1363" s="1574"/>
      <c r="F1363" s="1574"/>
      <c r="G1363" s="1574"/>
      <c r="H1363" s="1574"/>
      <c r="I1363" s="1574"/>
      <c r="J1363" s="1574"/>
      <c r="K1363" s="1574"/>
      <c r="L1363" s="1574"/>
      <c r="M1363" s="1574"/>
      <c r="N1363" s="1574"/>
      <c r="O1363" s="1574"/>
      <c r="P1363" s="1574"/>
      <c r="Q1363" s="970" t="s">
        <v>1332</v>
      </c>
    </row>
    <row r="1364" spans="1:21">
      <c r="M1364" s="581"/>
      <c r="N1364" s="826"/>
      <c r="O1364" s="1082"/>
      <c r="P1364" s="1082"/>
    </row>
    <row r="1365" spans="1:21" ht="15">
      <c r="A1365" s="966" t="s">
        <v>1301</v>
      </c>
      <c r="B1365" s="967" t="s">
        <v>2827</v>
      </c>
      <c r="C1365" s="969"/>
      <c r="D1365" s="982"/>
      <c r="E1365" s="969"/>
      <c r="F1365" s="969"/>
      <c r="G1365" s="969"/>
      <c r="H1365" s="986" t="s">
        <v>2891</v>
      </c>
      <c r="I1365" s="944" t="s">
        <v>2013</v>
      </c>
      <c r="J1365" s="585"/>
      <c r="K1365" s="585"/>
      <c r="L1365" s="969"/>
      <c r="M1365" s="1082">
        <v>4</v>
      </c>
      <c r="N1365" s="942"/>
      <c r="O1365" s="922">
        <f>MIN($M1365,(O1367+O1368+O1369+O1370))</f>
        <v>2</v>
      </c>
      <c r="P1365" s="922">
        <f>MIN($M1365,(P1367+P1368+P1369+P1370))</f>
        <v>0</v>
      </c>
      <c r="Q1365" s="1082" t="s">
        <v>463</v>
      </c>
      <c r="U1365" s="965">
        <f>'Part IX A-Scoring Criteria'!O47</f>
        <v>2</v>
      </c>
    </row>
    <row r="1366" spans="1:21" ht="15">
      <c r="A1366" s="987" t="s">
        <v>3239</v>
      </c>
      <c r="B1366" s="967"/>
      <c r="C1366" s="969"/>
      <c r="D1366" s="982"/>
      <c r="E1366" s="969"/>
      <c r="F1366" s="969"/>
      <c r="G1366" s="969"/>
      <c r="H1366" s="903" t="s">
        <v>3249</v>
      </c>
      <c r="I1366" s="988"/>
      <c r="J1366" s="903" t="str">
        <f>'Part I-Project Information'!$H$85</f>
        <v>Flexible</v>
      </c>
      <c r="K1366" s="969"/>
      <c r="M1366" s="1082"/>
      <c r="N1366" s="1082"/>
      <c r="O1366" s="1082"/>
      <c r="P1366" s="1082"/>
      <c r="Q1366" s="1082"/>
    </row>
    <row r="1367" spans="1:21">
      <c r="A1367" s="953" t="s">
        <v>2119</v>
      </c>
      <c r="B1367" s="1714" t="s">
        <v>3691</v>
      </c>
      <c r="C1367" s="1714"/>
      <c r="D1367" s="1714"/>
      <c r="E1367" s="1714"/>
      <c r="F1367" s="1714"/>
      <c r="G1367" s="1714"/>
      <c r="H1367" s="1714"/>
      <c r="I1367" s="1714"/>
      <c r="J1367" s="1714"/>
      <c r="K1367" s="1714"/>
      <c r="L1367" s="1714"/>
      <c r="M1367" s="989">
        <v>4</v>
      </c>
      <c r="N1367" s="990" t="s">
        <v>2119</v>
      </c>
      <c r="O1367" s="1067">
        <f>'Part IX A-Scoring Criteria'!O49</f>
        <v>0</v>
      </c>
      <c r="P1367" s="1067"/>
      <c r="Q1367" s="991" t="str">
        <f>IF(OR($O1367=$M1367,$O1367=0,$O1367=""),"","* * Check Score! * *")</f>
        <v/>
      </c>
    </row>
    <row r="1368" spans="1:21">
      <c r="A1368" s="953" t="s">
        <v>2122</v>
      </c>
      <c r="B1368" s="1714" t="s">
        <v>3692</v>
      </c>
      <c r="C1368" s="1714"/>
      <c r="D1368" s="1714"/>
      <c r="E1368" s="1714"/>
      <c r="F1368" s="1714"/>
      <c r="G1368" s="1714"/>
      <c r="H1368" s="1714"/>
      <c r="I1368" s="1714"/>
      <c r="J1368" s="1714"/>
      <c r="K1368" s="1714"/>
      <c r="L1368" s="1714"/>
      <c r="M1368" s="989">
        <v>3</v>
      </c>
      <c r="N1368" s="954" t="s">
        <v>2122</v>
      </c>
      <c r="O1368" s="1067">
        <f>'Part IX A-Scoring Criteria'!O50</f>
        <v>0</v>
      </c>
      <c r="P1368" s="1067"/>
      <c r="Q1368" s="991" t="str">
        <f>IF(OR($O1368=$M1368,$O1368=0,$O1368=""),"","* * Check Score! * *")</f>
        <v/>
      </c>
    </row>
    <row r="1369" spans="1:21" ht="15">
      <c r="A1369" s="949" t="s">
        <v>799</v>
      </c>
      <c r="B1369" s="903" t="s">
        <v>3693</v>
      </c>
      <c r="C1369" s="969"/>
      <c r="D1369" s="969"/>
      <c r="E1369" s="982"/>
      <c r="F1369" s="969"/>
      <c r="G1369" s="969"/>
      <c r="H1369" s="969"/>
      <c r="I1369" s="969"/>
      <c r="J1369" s="969"/>
      <c r="K1369" s="585"/>
      <c r="L1369" s="969"/>
      <c r="M1369" s="826">
        <v>2</v>
      </c>
      <c r="N1369" s="983" t="s">
        <v>799</v>
      </c>
      <c r="O1369" s="1067">
        <f>'Part IX A-Scoring Criteria'!O51</f>
        <v>2</v>
      </c>
      <c r="P1369" s="1082"/>
      <c r="Q1369" s="992" t="str">
        <f>IF(OR($O1369=$M1369,$O1369=0,$O1369=""),"","* * Check Score! * *")</f>
        <v/>
      </c>
    </row>
    <row r="1370" spans="1:21" ht="15">
      <c r="A1370" s="949" t="s">
        <v>2254</v>
      </c>
      <c r="B1370" s="903" t="s">
        <v>3694</v>
      </c>
      <c r="C1370" s="969"/>
      <c r="D1370" s="969"/>
      <c r="E1370" s="982"/>
      <c r="F1370" s="969"/>
      <c r="G1370" s="969"/>
      <c r="H1370" s="969"/>
      <c r="I1370" s="969"/>
      <c r="J1370" s="969"/>
      <c r="K1370" s="585"/>
      <c r="L1370" s="969"/>
      <c r="M1370" s="826">
        <v>1</v>
      </c>
      <c r="N1370" s="983" t="s">
        <v>2254</v>
      </c>
      <c r="O1370" s="1067">
        <f>'Part IX A-Scoring Criteria'!O52</f>
        <v>0</v>
      </c>
      <c r="P1370" s="1082"/>
      <c r="Q1370" s="992"/>
    </row>
    <row r="1371" spans="1:21" ht="15">
      <c r="A1371" s="582" t="s">
        <v>3635</v>
      </c>
      <c r="B1371" s="903"/>
      <c r="C1371" s="969"/>
      <c r="D1371" s="969"/>
      <c r="E1371" s="982"/>
      <c r="F1371" s="969"/>
      <c r="G1371" s="969"/>
      <c r="H1371" s="969"/>
      <c r="I1371" s="969"/>
      <c r="J1371" s="969"/>
      <c r="K1371" s="585"/>
      <c r="L1371" s="969"/>
      <c r="M1371" s="826"/>
      <c r="N1371" s="826"/>
      <c r="O1371" s="826"/>
      <c r="P1371" s="826"/>
      <c r="Q1371" s="992"/>
    </row>
    <row r="1372" spans="1:21" ht="15">
      <c r="A1372" s="987" t="s">
        <v>3242</v>
      </c>
      <c r="B1372" s="903"/>
      <c r="C1372" s="969"/>
      <c r="D1372" s="969"/>
      <c r="E1372" s="982"/>
      <c r="F1372" s="969"/>
      <c r="G1372" s="969"/>
      <c r="H1372" s="969"/>
      <c r="I1372" s="969"/>
      <c r="J1372" s="969"/>
      <c r="K1372" s="585"/>
      <c r="L1372" s="969"/>
      <c r="M1372" s="826"/>
      <c r="N1372" s="826"/>
      <c r="O1372" s="826"/>
      <c r="P1372" s="826"/>
      <c r="Q1372" s="992"/>
    </row>
    <row r="1373" spans="1:21">
      <c r="A1373" s="949" t="s">
        <v>1857</v>
      </c>
      <c r="B1373" s="903" t="s">
        <v>3695</v>
      </c>
      <c r="C1373" s="903"/>
      <c r="D1373" s="903"/>
      <c r="E1373" s="903"/>
      <c r="F1373" s="903"/>
      <c r="G1373" s="903"/>
      <c r="H1373" s="903"/>
      <c r="I1373" s="903"/>
      <c r="J1373" s="903"/>
      <c r="K1373" s="903"/>
      <c r="L1373" s="903"/>
      <c r="M1373" s="826">
        <v>2</v>
      </c>
      <c r="N1373" s="983" t="s">
        <v>1857</v>
      </c>
      <c r="O1373" s="1082">
        <f>'Part IX A-Scoring Criteria'!O55</f>
        <v>0</v>
      </c>
      <c r="P1373" s="1082"/>
      <c r="Q1373" s="992"/>
    </row>
    <row r="1374" spans="1:21" ht="15">
      <c r="A1374" s="581"/>
      <c r="B1374" s="944" t="s">
        <v>269</v>
      </c>
      <c r="C1374" s="581"/>
      <c r="D1374" s="585"/>
      <c r="E1374" s="585"/>
      <c r="F1374" s="585"/>
      <c r="G1374" s="585"/>
      <c r="H1374" s="582"/>
      <c r="I1374" s="582"/>
      <c r="J1374" s="582"/>
      <c r="K1374" s="582"/>
      <c r="L1374" s="993"/>
      <c r="M1374" s="826"/>
      <c r="N1374" s="826"/>
      <c r="O1374" s="965"/>
      <c r="P1374" s="1082"/>
      <c r="Q1374" s="993"/>
    </row>
    <row r="1375" spans="1:21" ht="15.75">
      <c r="A1375" s="1574" t="str">
        <f>'Part IX A-Scoring Criteria'!A57</f>
        <v>Residents of Trinity Walk will enjoy convenient and secure access to MARTA Bus service.  The closest MARTA Bus Stop is located at the intersection of W. Trinity Place and Commerce Drive approximately 1,074 feet walking distance from the property’s vehicular entrance.  The Decatur MARTA Intermodal Transfer Station is located approximately 1,000’ further along this same route. There is a paved public sidewalk the entire distance.</v>
      </c>
      <c r="B1375" s="1574"/>
      <c r="C1375" s="1574"/>
      <c r="D1375" s="1574"/>
      <c r="E1375" s="1574"/>
      <c r="F1375" s="1574"/>
      <c r="G1375" s="1574"/>
      <c r="H1375" s="1574"/>
      <c r="I1375" s="1574"/>
      <c r="J1375" s="1574"/>
      <c r="K1375" s="1574"/>
      <c r="L1375" s="1574"/>
      <c r="M1375" s="1574"/>
      <c r="N1375" s="1574"/>
      <c r="O1375" s="1574"/>
      <c r="P1375" s="1574"/>
      <c r="Q1375" s="970" t="s">
        <v>1332</v>
      </c>
    </row>
    <row r="1376" spans="1:21" ht="15">
      <c r="A1376" s="581"/>
      <c r="B1376" s="944" t="s">
        <v>1997</v>
      </c>
      <c r="C1376" s="581"/>
      <c r="D1376" s="944"/>
      <c r="E1376" s="1060"/>
      <c r="F1376" s="1060"/>
      <c r="G1376" s="1060"/>
      <c r="H1376" s="1060"/>
      <c r="I1376" s="1060"/>
      <c r="J1376" s="1060"/>
      <c r="K1376" s="1060"/>
      <c r="L1376" s="1060"/>
      <c r="M1376" s="1060"/>
      <c r="N1376" s="971"/>
      <c r="O1376" s="1124"/>
      <c r="P1376" s="1082"/>
      <c r="Q1376" s="975"/>
    </row>
    <row r="1377" spans="1:21" ht="15.75">
      <c r="A1377" s="1574"/>
      <c r="B1377" s="1574"/>
      <c r="C1377" s="1574"/>
      <c r="D1377" s="1574"/>
      <c r="E1377" s="1574"/>
      <c r="F1377" s="1574"/>
      <c r="G1377" s="1574"/>
      <c r="H1377" s="1574"/>
      <c r="I1377" s="1574"/>
      <c r="J1377" s="1574"/>
      <c r="K1377" s="1574"/>
      <c r="L1377" s="1574"/>
      <c r="M1377" s="1574"/>
      <c r="N1377" s="1574"/>
      <c r="O1377" s="1574"/>
      <c r="P1377" s="1574"/>
      <c r="Q1377" s="970" t="s">
        <v>1332</v>
      </c>
    </row>
    <row r="1378" spans="1:21" ht="15">
      <c r="A1378" s="910"/>
      <c r="B1378" s="994"/>
      <c r="C1378" s="969"/>
      <c r="D1378" s="969"/>
      <c r="E1378" s="969"/>
      <c r="F1378" s="969"/>
      <c r="G1378" s="982"/>
      <c r="H1378" s="969"/>
      <c r="I1378" s="969"/>
      <c r="J1378" s="585"/>
      <c r="K1378" s="585"/>
      <c r="L1378" s="969"/>
      <c r="M1378" s="993"/>
      <c r="N1378" s="994"/>
      <c r="O1378" s="993"/>
      <c r="P1378" s="993"/>
      <c r="Q1378" s="969"/>
    </row>
    <row r="1379" spans="1:21" ht="15">
      <c r="A1379" s="966" t="s">
        <v>1302</v>
      </c>
      <c r="B1379" s="967" t="s">
        <v>2828</v>
      </c>
      <c r="C1379" s="969"/>
      <c r="D1379" s="982"/>
      <c r="E1379" s="582" t="s">
        <v>1472</v>
      </c>
      <c r="F1379" s="969"/>
      <c r="G1379" s="969"/>
      <c r="H1379" s="969"/>
      <c r="I1379" s="944" t="s">
        <v>2013</v>
      </c>
      <c r="J1379" s="969"/>
      <c r="K1379" s="969"/>
      <c r="L1379" s="969"/>
      <c r="M1379" s="1082">
        <v>2</v>
      </c>
      <c r="N1379" s="995" t="str">
        <f>IF(OR($O1379=$M1379,$O1379=0,$O1379=""),"","***")</f>
        <v/>
      </c>
      <c r="O1379" s="1067">
        <f>'Part IX A-Scoring Criteria'!O61</f>
        <v>0</v>
      </c>
      <c r="P1379" s="1082"/>
      <c r="Q1379" s="1082" t="s">
        <v>463</v>
      </c>
      <c r="U1379" s="965">
        <f>'Part IX A-Scoring Criteria'!O61</f>
        <v>0</v>
      </c>
    </row>
    <row r="1380" spans="1:21" ht="15">
      <c r="A1380" s="966"/>
      <c r="B1380" s="1080" t="s">
        <v>2813</v>
      </c>
      <c r="C1380" s="969"/>
      <c r="D1380" s="982"/>
      <c r="E1380" s="582"/>
      <c r="F1380" s="969"/>
      <c r="G1380" s="969"/>
      <c r="H1380" s="969"/>
      <c r="I1380" s="969"/>
      <c r="J1380" s="969"/>
      <c r="K1380" s="969"/>
      <c r="L1380" s="1617">
        <f>'Part IX A-Scoring Criteria'!L62</f>
        <v>0</v>
      </c>
      <c r="M1380" s="1617"/>
      <c r="N1380" s="1617"/>
      <c r="O1380" s="1617"/>
      <c r="P1380" s="942"/>
      <c r="Q1380" s="1082"/>
    </row>
    <row r="1381" spans="1:21" ht="15">
      <c r="A1381" s="966"/>
      <c r="B1381" s="1080" t="s">
        <v>3240</v>
      </c>
      <c r="C1381" s="969"/>
      <c r="D1381" s="982"/>
      <c r="E1381" s="582"/>
      <c r="F1381" s="969"/>
      <c r="G1381" s="969"/>
      <c r="H1381" s="969"/>
      <c r="I1381" s="969"/>
      <c r="J1381" s="969"/>
      <c r="K1381" s="969"/>
      <c r="L1381" s="1617">
        <f>'Part IX A-Scoring Criteria'!L63</f>
        <v>0</v>
      </c>
      <c r="M1381" s="1617"/>
      <c r="N1381" s="1617"/>
      <c r="O1381" s="1617"/>
      <c r="P1381" s="942"/>
      <c r="Q1381" s="1082"/>
    </row>
    <row r="1382" spans="1:21" ht="15">
      <c r="A1382" s="581"/>
      <c r="B1382" s="944" t="s">
        <v>269</v>
      </c>
      <c r="C1382" s="581"/>
      <c r="D1382" s="585"/>
      <c r="E1382" s="585"/>
      <c r="F1382" s="585"/>
      <c r="G1382" s="585"/>
      <c r="H1382" s="993"/>
      <c r="I1382" s="582"/>
      <c r="J1382" s="582"/>
      <c r="K1382" s="582"/>
      <c r="L1382" s="993"/>
      <c r="M1382" s="826"/>
      <c r="N1382" s="826"/>
      <c r="O1382" s="965"/>
      <c r="P1382" s="1082"/>
      <c r="Q1382" s="993"/>
    </row>
    <row r="1383" spans="1:21" ht="15.75">
      <c r="A1383" s="1574">
        <f>'Part IX A-Scoring Criteria'!A65</f>
        <v>0</v>
      </c>
      <c r="B1383" s="1574"/>
      <c r="C1383" s="1574"/>
      <c r="D1383" s="1574"/>
      <c r="E1383" s="1574"/>
      <c r="F1383" s="1574"/>
      <c r="G1383" s="1574"/>
      <c r="H1383" s="1574"/>
      <c r="I1383" s="1574"/>
      <c r="J1383" s="1574"/>
      <c r="K1383" s="1574"/>
      <c r="L1383" s="1574"/>
      <c r="M1383" s="1574"/>
      <c r="N1383" s="1574"/>
      <c r="O1383" s="1574"/>
      <c r="P1383" s="1574"/>
      <c r="Q1383" s="970" t="s">
        <v>1332</v>
      </c>
    </row>
    <row r="1384" spans="1:21" ht="15">
      <c r="A1384" s="581"/>
      <c r="B1384" s="944" t="s">
        <v>1997</v>
      </c>
      <c r="C1384" s="581"/>
      <c r="D1384" s="944"/>
      <c r="E1384" s="1060"/>
      <c r="F1384" s="1060"/>
      <c r="G1384" s="1060"/>
      <c r="H1384" s="1060"/>
      <c r="I1384" s="1060"/>
      <c r="J1384" s="1060"/>
      <c r="K1384" s="1060"/>
      <c r="L1384" s="1060"/>
      <c r="M1384" s="1060"/>
      <c r="N1384" s="971"/>
      <c r="O1384" s="1124"/>
      <c r="P1384" s="1082"/>
      <c r="Q1384" s="975"/>
    </row>
    <row r="1385" spans="1:21" ht="15.75">
      <c r="A1385" s="1574"/>
      <c r="B1385" s="1574"/>
      <c r="C1385" s="1574"/>
      <c r="D1385" s="1574"/>
      <c r="E1385" s="1574"/>
      <c r="F1385" s="1574"/>
      <c r="G1385" s="1574"/>
      <c r="H1385" s="1574"/>
      <c r="I1385" s="1574"/>
      <c r="J1385" s="1574"/>
      <c r="K1385" s="1574"/>
      <c r="L1385" s="1574"/>
      <c r="M1385" s="1574"/>
      <c r="N1385" s="1574"/>
      <c r="O1385" s="1574"/>
      <c r="P1385" s="1574"/>
      <c r="Q1385" s="970" t="s">
        <v>1332</v>
      </c>
    </row>
    <row r="1386" spans="1:21">
      <c r="N1386" s="830"/>
      <c r="O1386" s="1113"/>
      <c r="P1386" s="1113"/>
    </row>
    <row r="1387" spans="1:21" ht="15">
      <c r="A1387" s="966" t="s">
        <v>2015</v>
      </c>
      <c r="B1387" s="967" t="s">
        <v>225</v>
      </c>
      <c r="C1387" s="969"/>
      <c r="D1387" s="582"/>
      <c r="E1387" s="582"/>
      <c r="F1387" s="969"/>
      <c r="G1387" s="969"/>
      <c r="H1387" s="969"/>
      <c r="I1387" s="958" t="s">
        <v>3696</v>
      </c>
      <c r="J1387" s="1642" t="str">
        <f>'Part IX A-Scoring Criteria'!J69</f>
        <v>Earth Craft Communities</v>
      </c>
      <c r="K1387" s="1642"/>
      <c r="L1387" s="1642"/>
      <c r="M1387" s="1082">
        <v>3</v>
      </c>
      <c r="N1387" s="995"/>
      <c r="O1387" s="826">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26">
        <f>IF(AND($J$70="Flexible",OR($J$69="Earth Craft Communities",$J$69="LEED-ND")),$M$70,IF(OR($J$69="Earth Craft House Multifamily",$J$69="Earth Craft House Single Family",$J$69="Earth Craft House Renovation",$J$69="LEED for Homes",$J$69="EF Green Communities",$J$69="NAHB Natl Green Bdlg Stds",$J$69="EnergyStar v3"),$M$77,0))</f>
        <v>0</v>
      </c>
      <c r="Q1387" s="1082" t="s">
        <v>463</v>
      </c>
      <c r="U1387" s="965">
        <f>'Part IX A-Scoring Criteria'!O69</f>
        <v>3</v>
      </c>
    </row>
    <row r="1388" spans="1:21" ht="15">
      <c r="A1388" s="949" t="s">
        <v>2119</v>
      </c>
      <c r="B1388" s="903" t="s">
        <v>2479</v>
      </c>
      <c r="D1388" s="581"/>
      <c r="H1388" s="903" t="s">
        <v>3249</v>
      </c>
      <c r="I1388" s="988"/>
      <c r="J1388" s="903" t="str">
        <f>'Part I-Project Information'!$H$85</f>
        <v>Flexible</v>
      </c>
      <c r="K1388" s="969"/>
      <c r="M1388" s="826">
        <v>3</v>
      </c>
      <c r="O1388" s="1059" t="s">
        <v>2683</v>
      </c>
      <c r="P1388" s="1059" t="s">
        <v>2683</v>
      </c>
    </row>
    <row r="1389" spans="1:21" ht="15">
      <c r="A1389" s="969"/>
      <c r="B1389" s="1064" t="s">
        <v>2919</v>
      </c>
      <c r="C1389" s="969"/>
      <c r="D1389" s="982"/>
      <c r="E1389" s="969"/>
      <c r="F1389" s="969"/>
      <c r="G1389" s="969"/>
      <c r="H1389" s="969"/>
      <c r="I1389" s="969"/>
      <c r="J1389" s="969"/>
      <c r="K1389" s="969"/>
      <c r="L1389" s="969"/>
      <c r="M1389" s="1082"/>
      <c r="N1389" s="983" t="s">
        <v>2119</v>
      </c>
      <c r="O1389" s="1122" t="str">
        <f>'Part IX A-Scoring Criteria'!O71</f>
        <v>Yes</v>
      </c>
      <c r="P1389" s="1122"/>
      <c r="Q1389" s="1082"/>
    </row>
    <row r="1390" spans="1:21">
      <c r="A1390" s="1113" t="str">
        <f>IF(J1387="Earth Craft Communities", "X","")</f>
        <v>X</v>
      </c>
      <c r="B1390" s="996" t="s">
        <v>2123</v>
      </c>
      <c r="C1390" s="960" t="s">
        <v>2814</v>
      </c>
    </row>
    <row r="1391" spans="1:21">
      <c r="B1391" s="954"/>
      <c r="C1391" s="1574" t="s">
        <v>2816</v>
      </c>
      <c r="D1391" s="1574"/>
      <c r="E1391" s="1574"/>
      <c r="F1391" s="1574"/>
      <c r="G1391" s="1574"/>
      <c r="H1391" s="1574"/>
      <c r="I1391" s="1574"/>
      <c r="J1391" s="1574"/>
      <c r="K1391" s="1574"/>
      <c r="L1391" s="1574"/>
      <c r="M1391" s="909" t="str">
        <f>IF(AND($I$87="Stable Communities &lt; 10%",O1391=""), "X","")</f>
        <v/>
      </c>
      <c r="N1391" s="954" t="s">
        <v>2817</v>
      </c>
      <c r="O1391" s="1122" t="str">
        <f>'Part IX A-Scoring Criteria'!O73</f>
        <v>Yes</v>
      </c>
      <c r="P1391" s="1122"/>
    </row>
    <row r="1392" spans="1:21">
      <c r="A1392" s="1113" t="str">
        <f>IF(J1387="LEED-ND", "X","")</f>
        <v/>
      </c>
      <c r="B1392" s="996" t="s">
        <v>2125</v>
      </c>
      <c r="C1392" s="960" t="s">
        <v>2815</v>
      </c>
      <c r="M1392" s="910"/>
      <c r="O1392" s="1059" t="s">
        <v>2683</v>
      </c>
      <c r="P1392" s="1059" t="s">
        <v>2683</v>
      </c>
    </row>
    <row r="1393" spans="1:21">
      <c r="B1393" s="954"/>
      <c r="C1393" s="1574" t="s">
        <v>2990</v>
      </c>
      <c r="D1393" s="1574"/>
      <c r="E1393" s="1574"/>
      <c r="F1393" s="1574"/>
      <c r="G1393" s="1574"/>
      <c r="H1393" s="1574"/>
      <c r="I1393" s="1574"/>
      <c r="J1393" s="1574"/>
      <c r="K1393" s="1574"/>
      <c r="L1393" s="1574"/>
      <c r="M1393" s="909" t="str">
        <f>IF(AND($I$87="Stable Communities &lt; 10%",O1393=""), "X","")</f>
        <v/>
      </c>
      <c r="N1393" s="954" t="s">
        <v>2818</v>
      </c>
      <c r="O1393" s="1122" t="str">
        <f>'Part IX A-Scoring Criteria'!O75</f>
        <v>No</v>
      </c>
      <c r="P1393" s="1121"/>
    </row>
    <row r="1394" spans="1:21">
      <c r="B1394" s="954"/>
      <c r="E1394" s="948"/>
      <c r="F1394" s="948"/>
      <c r="I1394" s="948"/>
      <c r="J1394" s="948"/>
      <c r="K1394" s="948"/>
      <c r="M1394" s="909"/>
      <c r="N1394" s="909"/>
      <c r="O1394" s="909"/>
      <c r="P1394" s="909"/>
    </row>
    <row r="1395" spans="1:21">
      <c r="A1395" s="949" t="s">
        <v>2122</v>
      </c>
      <c r="B1395" s="903" t="s">
        <v>328</v>
      </c>
      <c r="D1395" s="581"/>
      <c r="E1395" s="581"/>
      <c r="F1395" s="581"/>
      <c r="M1395" s="826">
        <v>2</v>
      </c>
      <c r="O1395" s="1059" t="s">
        <v>2683</v>
      </c>
      <c r="P1395" s="1059" t="s">
        <v>2683</v>
      </c>
    </row>
    <row r="1396" spans="1:21" ht="15">
      <c r="A1396" s="1113" t="str">
        <f>IF(OR(J1387="Earth Craft House Single Family",J1387="Earth Craft House Multifamily",J1387="Earth Craft House Renovation",J1387="EF Green Communities",J1387="LEED for Homes",J1387="NAHB Natl Green Bdlg Stds",J1387="EnergyStar v3"), "X","")</f>
        <v/>
      </c>
      <c r="B1396" s="997" t="s">
        <v>2123</v>
      </c>
      <c r="C1396" s="1075" t="s">
        <v>2994</v>
      </c>
      <c r="D1396" s="982"/>
      <c r="E1396" s="969"/>
      <c r="F1396" s="969"/>
      <c r="G1396" s="969"/>
      <c r="H1396" s="969"/>
      <c r="I1396" s="969"/>
      <c r="J1396" s="969"/>
      <c r="K1396" s="969"/>
      <c r="L1396" s="969"/>
      <c r="M1396" s="1082"/>
      <c r="N1396" s="997" t="s">
        <v>2123</v>
      </c>
      <c r="O1396" s="1122" t="str">
        <f>'Part IX A-Scoring Criteria'!O78</f>
        <v>Yes</v>
      </c>
      <c r="P1396" s="1122"/>
      <c r="Q1396" s="1082"/>
    </row>
    <row r="1397" spans="1:21" ht="15">
      <c r="A1397" s="1113" t="str">
        <f>IF(OR(J1387="Earth Craft House Single Family",J1387="Earth Craft House Multifamily",J1387="Earth Craft House Renovation",J1387="EF Green Communities",J1387="LEED for Homes",J1387="NAHB Natl Green Bdlg Stds",J1387="EnergyStar v3"), "X","")</f>
        <v/>
      </c>
      <c r="B1397" s="997" t="s">
        <v>2125</v>
      </c>
      <c r="C1397" s="1075" t="s">
        <v>2991</v>
      </c>
      <c r="D1397" s="982"/>
      <c r="E1397" s="969"/>
      <c r="F1397" s="969"/>
      <c r="G1397" s="969"/>
      <c r="H1397" s="969"/>
      <c r="I1397" s="969"/>
      <c r="J1397" s="969"/>
      <c r="K1397" s="969"/>
      <c r="L1397" s="969"/>
      <c r="M1397" s="1082"/>
      <c r="N1397" s="997" t="s">
        <v>2125</v>
      </c>
      <c r="O1397" s="1122" t="str">
        <f>'Part IX A-Scoring Criteria'!O79</f>
        <v>Yes</v>
      </c>
      <c r="P1397" s="1122"/>
      <c r="Q1397" s="1082"/>
    </row>
    <row r="1398" spans="1:21" ht="15">
      <c r="A1398" s="1113" t="str">
        <f>IF(OR(J1387="Earth Craft House Single Family",J1387="Earth Craft House Multifamily",J1387="Earth Craft House Renovation",J1387="EF Green Communities",J1387="LEED for Homes",J1387="NAHB Natl Green Bdlg Stds",J1387="EnergyStar v3"), "X","")</f>
        <v/>
      </c>
      <c r="B1398" s="997" t="s">
        <v>2709</v>
      </c>
      <c r="C1398" s="1075" t="s">
        <v>2992</v>
      </c>
      <c r="D1398" s="982"/>
      <c r="E1398" s="969"/>
      <c r="F1398" s="969"/>
      <c r="G1398" s="969"/>
      <c r="H1398" s="969"/>
      <c r="I1398" s="969"/>
      <c r="J1398" s="969"/>
      <c r="K1398" s="969"/>
      <c r="L1398" s="969"/>
      <c r="M1398" s="1082"/>
      <c r="N1398" s="997" t="s">
        <v>2709</v>
      </c>
      <c r="O1398" s="1122" t="str">
        <f>'Part IX A-Scoring Criteria'!O80</f>
        <v>Yes</v>
      </c>
      <c r="P1398" s="1122"/>
      <c r="Q1398" s="1082"/>
    </row>
    <row r="1399" spans="1:21" ht="15">
      <c r="A1399" s="1113" t="str">
        <f>IF(OR(J1387="Earth Craft House Single Family",J1387="Earth Craft House Multifamily",J1387="Earth Craft House Renovation",J1387="EF Green Communities",J1387="LEED for Homes",J1387="NAHB Natl Green Bdlg Stds",J1387="EnergyStar v3"), "X","")</f>
        <v/>
      </c>
      <c r="B1399" s="997" t="s">
        <v>1301</v>
      </c>
      <c r="C1399" s="1075" t="s">
        <v>2993</v>
      </c>
      <c r="D1399" s="982"/>
      <c r="E1399" s="969"/>
      <c r="F1399" s="969"/>
      <c r="G1399" s="969"/>
      <c r="H1399" s="969"/>
      <c r="I1399" s="969"/>
      <c r="J1399" s="969"/>
      <c r="K1399" s="969"/>
      <c r="L1399" s="969"/>
      <c r="M1399" s="1082"/>
      <c r="N1399" s="997" t="s">
        <v>1301</v>
      </c>
      <c r="O1399" s="1122" t="str">
        <f>'Part IX A-Scoring Criteria'!O81</f>
        <v>Yes</v>
      </c>
      <c r="P1399" s="1122"/>
      <c r="Q1399" s="1082"/>
    </row>
    <row r="1400" spans="1:21" ht="15">
      <c r="A1400" s="581"/>
      <c r="B1400" s="944" t="s">
        <v>269</v>
      </c>
      <c r="C1400" s="581"/>
      <c r="D1400" s="585"/>
      <c r="E1400" s="585"/>
      <c r="F1400" s="585"/>
      <c r="G1400" s="585"/>
      <c r="H1400" s="993"/>
      <c r="I1400" s="993"/>
      <c r="J1400" s="993"/>
      <c r="K1400" s="582"/>
      <c r="L1400" s="993"/>
      <c r="M1400" s="826"/>
      <c r="N1400" s="826"/>
      <c r="O1400" s="965"/>
      <c r="P1400" s="1082"/>
      <c r="Q1400" s="993"/>
    </row>
    <row r="1401" spans="1:21" ht="15.75">
      <c r="A1401" s="1574" t="str">
        <f>'Part IX A-Scoring Criteria'!A83</f>
        <v>The Applicant has signed a Memorandum of Participation with EarthCraft Communities to enter into it's certification program.  Any project entering into the EarthCraft Communities Program must also register for the appropriate EarthCraft Sustainable Building Certification Program. In this case, Trinity Walk is registered to participate in the EarthCraft Multifamily program.</v>
      </c>
      <c r="B1401" s="1574"/>
      <c r="C1401" s="1574"/>
      <c r="D1401" s="1574"/>
      <c r="E1401" s="1574"/>
      <c r="F1401" s="1574"/>
      <c r="G1401" s="1574"/>
      <c r="H1401" s="1574"/>
      <c r="I1401" s="1574"/>
      <c r="J1401" s="1574"/>
      <c r="K1401" s="1574"/>
      <c r="L1401" s="1574"/>
      <c r="M1401" s="1574"/>
      <c r="N1401" s="1574"/>
      <c r="O1401" s="1574"/>
      <c r="P1401" s="1574"/>
      <c r="Q1401" s="970" t="s">
        <v>1332</v>
      </c>
    </row>
    <row r="1402" spans="1:21" ht="15">
      <c r="A1402" s="969"/>
      <c r="B1402" s="944" t="s">
        <v>1997</v>
      </c>
      <c r="C1402" s="581"/>
      <c r="D1402" s="945"/>
      <c r="E1402" s="1063"/>
      <c r="F1402" s="1063"/>
      <c r="G1402" s="1063"/>
      <c r="H1402" s="1063"/>
      <c r="I1402" s="1063"/>
      <c r="J1402" s="1063"/>
      <c r="K1402" s="1063"/>
      <c r="L1402" s="1063"/>
      <c r="M1402" s="1063"/>
      <c r="N1402" s="980"/>
      <c r="O1402" s="981"/>
      <c r="P1402" s="1082"/>
      <c r="Q1402" s="975"/>
    </row>
    <row r="1403" spans="1:21" ht="15.75">
      <c r="A1403" s="1712"/>
      <c r="B1403" s="1712"/>
      <c r="C1403" s="1712"/>
      <c r="D1403" s="1712"/>
      <c r="E1403" s="1712"/>
      <c r="F1403" s="1712"/>
      <c r="G1403" s="1712"/>
      <c r="H1403" s="1712"/>
      <c r="I1403" s="1712"/>
      <c r="J1403" s="1712"/>
      <c r="K1403" s="1712"/>
      <c r="L1403" s="1712"/>
      <c r="M1403" s="1712"/>
      <c r="N1403" s="1712"/>
      <c r="O1403" s="1712"/>
      <c r="P1403" s="1712"/>
      <c r="Q1403" s="970" t="s">
        <v>1332</v>
      </c>
    </row>
    <row r="1404" spans="1:21" ht="15">
      <c r="A1404" s="581"/>
      <c r="B1404" s="969"/>
      <c r="C1404" s="969"/>
      <c r="D1404" s="582"/>
      <c r="E1404" s="582"/>
      <c r="F1404" s="1082"/>
      <c r="G1404" s="1082"/>
      <c r="H1404" s="1082"/>
      <c r="I1404" s="1082"/>
      <c r="J1404" s="1081"/>
      <c r="K1404" s="1081"/>
      <c r="L1404" s="1081"/>
      <c r="M1404" s="1057"/>
      <c r="N1404" s="1082"/>
      <c r="O1404" s="1113"/>
      <c r="P1404" s="965"/>
      <c r="Q1404" s="969"/>
    </row>
    <row r="1405" spans="1:21" ht="15">
      <c r="A1405" s="966" t="s">
        <v>535</v>
      </c>
      <c r="B1405" s="967" t="s">
        <v>3241</v>
      </c>
      <c r="C1405" s="993"/>
      <c r="D1405" s="986"/>
      <c r="E1405" s="986"/>
      <c r="F1405" s="993"/>
      <c r="G1405" s="993"/>
      <c r="H1405" s="993"/>
      <c r="I1405" s="993"/>
      <c r="J1405" s="993"/>
      <c r="K1405" s="993"/>
      <c r="L1405" s="993"/>
      <c r="M1405" s="1082">
        <v>4</v>
      </c>
      <c r="N1405" s="826"/>
      <c r="O1405" s="108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82"/>
      <c r="Q1405" s="1082" t="s">
        <v>463</v>
      </c>
      <c r="U1405" s="965">
        <f>'Part IX A-Scoring Criteria'!O87</f>
        <v>0</v>
      </c>
    </row>
    <row r="1406" spans="1:21">
      <c r="A1406" s="949"/>
      <c r="B1406" s="903" t="s">
        <v>3249</v>
      </c>
      <c r="C1406" s="827"/>
      <c r="D1406" s="827"/>
      <c r="E1406" s="903" t="str">
        <f>'Part I-Project Information'!$H$85</f>
        <v>Flexible</v>
      </c>
      <c r="M1406" s="826"/>
      <c r="O1406" s="1059" t="s">
        <v>2683</v>
      </c>
      <c r="P1406" s="1059" t="s">
        <v>2683</v>
      </c>
    </row>
    <row r="1407" spans="1:21">
      <c r="A1407" s="1113" t="str">
        <f>IF($I$87="Stable Communities &lt; 5%", "*","")</f>
        <v/>
      </c>
      <c r="B1407" s="996" t="s">
        <v>2123</v>
      </c>
      <c r="C1407" s="565" t="s">
        <v>2909</v>
      </c>
      <c r="M1407" s="830"/>
      <c r="O1407" s="1122" t="str">
        <f>'Part IX A-Scoring Criteria'!O89</f>
        <v>No</v>
      </c>
      <c r="P1407" s="1122"/>
    </row>
    <row r="1408" spans="1:21">
      <c r="B1408" s="996" t="s">
        <v>2125</v>
      </c>
      <c r="C1408" s="565" t="s">
        <v>3011</v>
      </c>
      <c r="D1408" s="1052">
        <f>'Part IX A-Scoring Criteria'!D90</f>
        <v>0.2</v>
      </c>
      <c r="E1408" s="565" t="s">
        <v>3012</v>
      </c>
      <c r="H1408" s="565" t="s">
        <v>2550</v>
      </c>
      <c r="K1408" s="582" t="s">
        <v>3010</v>
      </c>
      <c r="L1408" s="1053">
        <f>'Part IX A-Scoring Criteria'!L90</f>
        <v>0.19700000000000001</v>
      </c>
      <c r="M1408" s="1082"/>
      <c r="N1408" s="956"/>
      <c r="O1408" s="1113"/>
      <c r="P1408" s="1113"/>
    </row>
    <row r="1409" spans="1:21">
      <c r="B1409" s="996" t="s">
        <v>2709</v>
      </c>
      <c r="C1409" s="565" t="s">
        <v>2551</v>
      </c>
      <c r="H1409" s="565" t="s">
        <v>2552</v>
      </c>
      <c r="K1409" s="1064" t="s">
        <v>2999</v>
      </c>
      <c r="L1409" s="565" t="str">
        <f>'Part IX A-Scoring Criteria'!L91</f>
        <v>Upper</v>
      </c>
      <c r="M1409" s="1082"/>
      <c r="N1409" s="830"/>
      <c r="O1409" s="1113"/>
      <c r="P1409" s="1113"/>
    </row>
    <row r="1410" spans="1:21">
      <c r="B1410" s="996" t="s">
        <v>1301</v>
      </c>
      <c r="C1410" s="565" t="s">
        <v>3399</v>
      </c>
      <c r="H1410" s="565"/>
      <c r="K1410" s="582" t="s">
        <v>3010</v>
      </c>
      <c r="L1410" s="1053">
        <f>'Part IX A-Scoring Criteria'!L92</f>
        <v>0</v>
      </c>
      <c r="M1410" s="1082"/>
      <c r="N1410" s="830"/>
      <c r="O1410" s="1113"/>
      <c r="P1410" s="1113"/>
    </row>
    <row r="1411" spans="1:21" ht="15">
      <c r="A1411" s="581"/>
      <c r="B1411" s="944" t="s">
        <v>269</v>
      </c>
      <c r="C1411" s="581"/>
      <c r="D1411" s="585"/>
      <c r="E1411" s="585"/>
      <c r="F1411" s="585"/>
      <c r="G1411" s="585"/>
      <c r="H1411" s="582"/>
      <c r="I1411" s="582"/>
      <c r="J1411" s="582"/>
      <c r="K1411" s="582"/>
      <c r="L1411" s="969"/>
      <c r="M1411" s="826"/>
      <c r="N1411" s="830"/>
      <c r="O1411" s="965"/>
      <c r="P1411" s="1113"/>
      <c r="Q1411" s="969"/>
    </row>
    <row r="1412" spans="1:21" ht="15.75">
      <c r="A1412" s="1574">
        <f>'Part IX A-Scoring Criteria'!A94</f>
        <v>0</v>
      </c>
      <c r="B1412" s="1574"/>
      <c r="C1412" s="1574"/>
      <c r="D1412" s="1574"/>
      <c r="E1412" s="1574"/>
      <c r="F1412" s="1574"/>
      <c r="G1412" s="1574"/>
      <c r="H1412" s="1574"/>
      <c r="I1412" s="1574"/>
      <c r="J1412" s="1574"/>
      <c r="K1412" s="1574"/>
      <c r="L1412" s="1574"/>
      <c r="M1412" s="1574"/>
      <c r="N1412" s="1574"/>
      <c r="O1412" s="1574"/>
      <c r="P1412" s="1574"/>
      <c r="Q1412" s="970" t="s">
        <v>1332</v>
      </c>
    </row>
    <row r="1413" spans="1:21" ht="15">
      <c r="A1413" s="581"/>
      <c r="B1413" s="945" t="s">
        <v>1997</v>
      </c>
      <c r="C1413" s="581"/>
      <c r="D1413" s="945"/>
      <c r="E1413" s="1063"/>
      <c r="F1413" s="1063"/>
      <c r="G1413" s="1063"/>
      <c r="H1413" s="1063"/>
      <c r="I1413" s="1063"/>
      <c r="J1413" s="1063"/>
      <c r="K1413" s="1063"/>
      <c r="L1413" s="1063"/>
      <c r="M1413" s="1063"/>
      <c r="N1413" s="980"/>
      <c r="O1413" s="981"/>
      <c r="P1413" s="1082"/>
      <c r="Q1413" s="975"/>
    </row>
    <row r="1414" spans="1:21" ht="15.75">
      <c r="A1414" s="1712"/>
      <c r="B1414" s="1712"/>
      <c r="C1414" s="1712"/>
      <c r="D1414" s="1712"/>
      <c r="E1414" s="1712"/>
      <c r="F1414" s="1712"/>
      <c r="G1414" s="1712"/>
      <c r="H1414" s="1712"/>
      <c r="I1414" s="1712"/>
      <c r="J1414" s="1712"/>
      <c r="K1414" s="1712"/>
      <c r="L1414" s="1712"/>
      <c r="M1414" s="1712"/>
      <c r="N1414" s="1712"/>
      <c r="O1414" s="1712"/>
      <c r="P1414" s="1712"/>
      <c r="Q1414" s="970" t="s">
        <v>1332</v>
      </c>
    </row>
    <row r="1415" spans="1:21" ht="15">
      <c r="A1415" s="581"/>
      <c r="B1415" s="969"/>
      <c r="C1415" s="969"/>
      <c r="D1415" s="582"/>
      <c r="E1415" s="582"/>
      <c r="F1415" s="1082"/>
      <c r="G1415" s="1082"/>
      <c r="H1415" s="1082"/>
      <c r="I1415" s="1082"/>
      <c r="J1415" s="1081"/>
      <c r="K1415" s="1081"/>
      <c r="L1415" s="1081"/>
      <c r="M1415" s="1057"/>
      <c r="N1415" s="1082"/>
      <c r="O1415" s="1113"/>
      <c r="P1415" s="965"/>
      <c r="Q1415" s="969"/>
    </row>
    <row r="1416" spans="1:21" ht="15">
      <c r="A1416" s="966" t="s">
        <v>536</v>
      </c>
      <c r="B1416" s="967" t="s">
        <v>3250</v>
      </c>
      <c r="C1416" s="993"/>
      <c r="D1416" s="986"/>
      <c r="E1416" s="986"/>
      <c r="F1416" s="993"/>
      <c r="G1416" s="993"/>
      <c r="H1416" s="913"/>
      <c r="I1416" s="993"/>
      <c r="J1416" s="1715" t="str">
        <f>'Part IX A-Scoring Criteria'!J98</f>
        <v>&lt;Select a Community Revitalization Plan option&gt;</v>
      </c>
      <c r="K1416" s="1715"/>
      <c r="L1416" s="1715"/>
      <c r="M1416" s="1082">
        <v>3</v>
      </c>
      <c r="N1416" s="826"/>
      <c r="O1416" s="1082">
        <f>IF(J1416="Adopted Revitalization Plan",2,IF(J1416="Designated Military Zone",1,IF(J1416="Adptd Revital Plan &amp; Desig MZ",3,IF(J1416="HUD Choice Neighborhood",2,0))))</f>
        <v>0</v>
      </c>
      <c r="P1416" s="1082"/>
      <c r="Q1416" s="1082" t="s">
        <v>463</v>
      </c>
      <c r="U1416" s="965">
        <f>'Part IX A-Scoring Criteria'!O98</f>
        <v>0</v>
      </c>
    </row>
    <row r="1417" spans="1:21">
      <c r="A1417" s="949" t="s">
        <v>2119</v>
      </c>
      <c r="B1417" s="903" t="s">
        <v>3255</v>
      </c>
      <c r="E1417" s="581"/>
      <c r="F1417" s="939" t="s">
        <v>3256</v>
      </c>
      <c r="I1417" s="1625">
        <f>'Part IX A-Scoring Criteria'!I99</f>
        <v>0</v>
      </c>
      <c r="J1417" s="1625"/>
      <c r="K1417" s="1625"/>
      <c r="L1417" s="1625"/>
      <c r="M1417" s="1625"/>
      <c r="N1417" s="1625"/>
      <c r="O1417" s="1625"/>
      <c r="P1417" s="1625"/>
    </row>
    <row r="1418" spans="1:21" ht="15">
      <c r="A1418" s="949"/>
      <c r="B1418" s="565" t="s">
        <v>3594</v>
      </c>
      <c r="C1418" s="969"/>
      <c r="D1418" s="581"/>
      <c r="E1418" s="969"/>
      <c r="F1418" s="969"/>
      <c r="G1418" s="969"/>
      <c r="H1418" s="969"/>
      <c r="I1418" s="969"/>
      <c r="J1418" s="969"/>
      <c r="K1418" s="969"/>
      <c r="L1418" s="969"/>
      <c r="M1418" s="969"/>
      <c r="N1418" s="942"/>
      <c r="O1418" s="1122" t="str">
        <f>'Part IX A-Scoring Criteria'!O100</f>
        <v>N/a</v>
      </c>
      <c r="P1418" s="1122"/>
      <c r="Q1418" s="969"/>
    </row>
    <row r="1419" spans="1:21" ht="15">
      <c r="A1419" s="1082"/>
      <c r="B1419" s="1083" t="s">
        <v>3697</v>
      </c>
      <c r="C1419" s="969"/>
      <c r="D1419" s="969"/>
      <c r="E1419" s="1081"/>
      <c r="F1419" s="969"/>
      <c r="G1419" s="1064" t="s">
        <v>3321</v>
      </c>
      <c r="H1419" s="1716">
        <f>'Part I-Project Information'!O1345</f>
        <v>0</v>
      </c>
      <c r="I1419" s="1620"/>
      <c r="J1419" s="969"/>
      <c r="K1419" s="969"/>
      <c r="L1419" s="969"/>
      <c r="M1419" s="826">
        <v>2</v>
      </c>
      <c r="N1419" s="969"/>
      <c r="O1419" s="1059" t="s">
        <v>2683</v>
      </c>
      <c r="P1419" s="1059" t="s">
        <v>2683</v>
      </c>
      <c r="Q1419" s="969"/>
    </row>
    <row r="1420" spans="1:21" ht="15">
      <c r="A1420" s="1113"/>
      <c r="B1420" s="942" t="s">
        <v>2601</v>
      </c>
      <c r="C1420" s="565" t="s">
        <v>3311</v>
      </c>
      <c r="D1420" s="993"/>
      <c r="E1420" s="1081"/>
      <c r="F1420" s="969"/>
      <c r="G1420" s="984" t="s">
        <v>3597</v>
      </c>
      <c r="H1420" s="969"/>
      <c r="I1420" s="1079">
        <f>'Part IX A-Scoring Criteria'!I102</f>
        <v>0</v>
      </c>
      <c r="J1420" s="969"/>
      <c r="K1420" s="969"/>
      <c r="L1420" s="969"/>
      <c r="M1420" s="1113"/>
      <c r="N1420" s="942" t="s">
        <v>2601</v>
      </c>
      <c r="O1420" s="1122">
        <f>'Part IX A-Scoring Criteria'!O102</f>
        <v>0</v>
      </c>
      <c r="P1420" s="1122"/>
      <c r="Q1420" s="969"/>
    </row>
    <row r="1421" spans="1:21" ht="15">
      <c r="A1421" s="1113"/>
      <c r="B1421" s="942" t="s">
        <v>2602</v>
      </c>
      <c r="C1421" s="1064" t="s">
        <v>3312</v>
      </c>
      <c r="D1421" s="993"/>
      <c r="E1421" s="1081"/>
      <c r="F1421" s="969"/>
      <c r="G1421" s="984" t="s">
        <v>3583</v>
      </c>
      <c r="H1421" s="1717">
        <f>'Part IX A-Scoring Criteria'!H103</f>
        <v>0</v>
      </c>
      <c r="I1421" s="1717"/>
      <c r="J1421" s="969"/>
      <c r="K1421" s="984" t="s">
        <v>3592</v>
      </c>
      <c r="L1421" s="1718">
        <f>'Part IX A-Scoring Criteria'!L103</f>
        <v>0</v>
      </c>
      <c r="M1421" s="1718"/>
      <c r="N1421" s="942" t="s">
        <v>2602</v>
      </c>
      <c r="O1421" s="1122">
        <f>'Part IX A-Scoring Criteria'!O103</f>
        <v>0</v>
      </c>
      <c r="P1421" s="1122"/>
      <c r="Q1421" s="969"/>
    </row>
    <row r="1422" spans="1:21" ht="15">
      <c r="A1422" s="1113"/>
      <c r="B1422" s="942"/>
      <c r="C1422" s="1064"/>
      <c r="D1422" s="993"/>
      <c r="E1422" s="1081"/>
      <c r="F1422" s="969"/>
      <c r="G1422" s="984" t="s">
        <v>3308</v>
      </c>
      <c r="H1422" s="1717">
        <f>'Part IX A-Scoring Criteria'!H104</f>
        <v>0</v>
      </c>
      <c r="I1422" s="1717"/>
      <c r="J1422" s="969"/>
      <c r="K1422" s="984" t="s">
        <v>3307</v>
      </c>
      <c r="L1422" s="1718" t="str">
        <f>'Part IX A-Scoring Criteria'!L104</f>
        <v>&lt;&lt;Select event type&gt;&gt;</v>
      </c>
      <c r="M1422" s="1718"/>
      <c r="N1422" s="969"/>
      <c r="O1422" s="969"/>
      <c r="P1422" s="969"/>
      <c r="Q1422" s="969"/>
    </row>
    <row r="1423" spans="1:21" ht="13.5">
      <c r="B1423" s="942" t="s">
        <v>2603</v>
      </c>
      <c r="C1423" s="1064" t="s">
        <v>3313</v>
      </c>
      <c r="D1423" s="565"/>
      <c r="G1423" s="984" t="s">
        <v>3593</v>
      </c>
      <c r="L1423" s="1079">
        <f>'Part IX A-Scoring Criteria'!L105</f>
        <v>0</v>
      </c>
      <c r="M1423" s="1113"/>
      <c r="N1423" s="942" t="s">
        <v>2603</v>
      </c>
      <c r="O1423" s="1122">
        <f>'Part IX A-Scoring Criteria'!O105</f>
        <v>0</v>
      </c>
      <c r="P1423" s="1122"/>
    </row>
    <row r="1424" spans="1:21" ht="13.5">
      <c r="B1424" s="942"/>
      <c r="C1424" s="1064"/>
      <c r="D1424" s="565"/>
      <c r="G1424" s="984" t="s">
        <v>3698</v>
      </c>
      <c r="L1424" s="1717">
        <f>'Part IX A-Scoring Criteria'!L106</f>
        <v>0</v>
      </c>
      <c r="M1424" s="1717"/>
    </row>
    <row r="1425" spans="1:17" ht="13.5">
      <c r="B1425" s="942"/>
      <c r="C1425" s="1064" t="s">
        <v>3310</v>
      </c>
      <c r="D1425" s="565"/>
      <c r="G1425" s="984"/>
      <c r="K1425" s="854" t="s">
        <v>2947</v>
      </c>
      <c r="L1425" s="854">
        <f>'Part IX A-Scoring Criteria'!L107</f>
        <v>0</v>
      </c>
      <c r="M1425" s="1113"/>
      <c r="N1425" s="942"/>
      <c r="O1425" s="1122">
        <f>'Part IX A-Scoring Criteria'!O107</f>
        <v>0</v>
      </c>
      <c r="P1425" s="1122"/>
    </row>
    <row r="1426" spans="1:17">
      <c r="B1426" s="942" t="s">
        <v>2604</v>
      </c>
      <c r="C1426" s="582" t="s">
        <v>3314</v>
      </c>
      <c r="K1426" s="854" t="s">
        <v>2947</v>
      </c>
      <c r="L1426" s="854">
        <f>'Part IX A-Scoring Criteria'!L108</f>
        <v>0</v>
      </c>
      <c r="M1426" s="1113"/>
      <c r="N1426" s="942" t="s">
        <v>2604</v>
      </c>
      <c r="O1426" s="1122">
        <f>'Part IX A-Scoring Criteria'!O108</f>
        <v>0</v>
      </c>
      <c r="P1426" s="1122"/>
    </row>
    <row r="1427" spans="1:17">
      <c r="B1427" s="942" t="s">
        <v>2605</v>
      </c>
      <c r="C1427" s="582" t="s">
        <v>3315</v>
      </c>
      <c r="K1427" s="854" t="s">
        <v>2947</v>
      </c>
      <c r="L1427" s="854">
        <f>'Part IX A-Scoring Criteria'!L109</f>
        <v>0</v>
      </c>
      <c r="M1427" s="1113"/>
      <c r="N1427" s="942" t="s">
        <v>2605</v>
      </c>
      <c r="O1427" s="1122">
        <f>'Part IX A-Scoring Criteria'!O109</f>
        <v>0</v>
      </c>
      <c r="P1427" s="1122"/>
    </row>
    <row r="1428" spans="1:17">
      <c r="B1428" s="942" t="s">
        <v>2621</v>
      </c>
      <c r="C1428" s="582" t="s">
        <v>3318</v>
      </c>
      <c r="K1428" s="854" t="s">
        <v>2947</v>
      </c>
      <c r="L1428" s="854">
        <f>'Part IX A-Scoring Criteria'!L110</f>
        <v>0</v>
      </c>
      <c r="M1428" s="1113"/>
      <c r="N1428" s="942" t="s">
        <v>2621</v>
      </c>
      <c r="O1428" s="1122">
        <f>'Part IX A-Scoring Criteria'!O110</f>
        <v>0</v>
      </c>
      <c r="P1428" s="1122"/>
    </row>
    <row r="1429" spans="1:17">
      <c r="B1429" s="942"/>
      <c r="C1429" s="582" t="s">
        <v>3316</v>
      </c>
      <c r="K1429" s="1092"/>
      <c r="M1429" s="1113"/>
      <c r="N1429" s="942"/>
      <c r="O1429" s="1122">
        <f>'Part IX A-Scoring Criteria'!O111</f>
        <v>0</v>
      </c>
      <c r="P1429" s="1122"/>
    </row>
    <row r="1430" spans="1:17">
      <c r="B1430" s="942" t="s">
        <v>2622</v>
      </c>
      <c r="C1430" s="582" t="s">
        <v>3317</v>
      </c>
      <c r="D1430" s="565"/>
      <c r="K1430" s="854" t="s">
        <v>2947</v>
      </c>
      <c r="L1430" s="854">
        <f>'Part IX A-Scoring Criteria'!L112</f>
        <v>0</v>
      </c>
      <c r="M1430" s="1113"/>
      <c r="N1430" s="942" t="s">
        <v>2622</v>
      </c>
      <c r="O1430" s="1122">
        <f>'Part IX A-Scoring Criteria'!O112</f>
        <v>0</v>
      </c>
      <c r="P1430" s="1122"/>
    </row>
    <row r="1431" spans="1:17">
      <c r="B1431" s="942" t="s">
        <v>2623</v>
      </c>
      <c r="C1431" s="582" t="s">
        <v>3319</v>
      </c>
      <c r="K1431" s="854" t="s">
        <v>2947</v>
      </c>
      <c r="L1431" s="854">
        <f>'Part IX A-Scoring Criteria'!L113</f>
        <v>0</v>
      </c>
      <c r="M1431" s="1113"/>
      <c r="N1431" s="942" t="s">
        <v>2623</v>
      </c>
      <c r="O1431" s="1122">
        <f>'Part IX A-Scoring Criteria'!O113</f>
        <v>0</v>
      </c>
      <c r="P1431" s="1122"/>
    </row>
    <row r="1432" spans="1:17">
      <c r="B1432" s="942" t="s">
        <v>2624</v>
      </c>
      <c r="C1432" s="582" t="s">
        <v>3320</v>
      </c>
      <c r="K1432" s="854" t="s">
        <v>2947</v>
      </c>
      <c r="L1432" s="854">
        <f>'Part IX A-Scoring Criteria'!L114</f>
        <v>0</v>
      </c>
      <c r="M1432" s="1113"/>
      <c r="N1432" s="942" t="s">
        <v>2624</v>
      </c>
      <c r="O1432" s="1122">
        <f>'Part IX A-Scoring Criteria'!O114</f>
        <v>0</v>
      </c>
      <c r="P1432" s="1122"/>
    </row>
    <row r="1433" spans="1:17">
      <c r="B1433" s="942" t="s">
        <v>2625</v>
      </c>
      <c r="C1433" s="582" t="s">
        <v>3322</v>
      </c>
      <c r="K1433" s="854" t="s">
        <v>2947</v>
      </c>
      <c r="L1433" s="854">
        <f>'Part IX A-Scoring Criteria'!L115</f>
        <v>0</v>
      </c>
      <c r="M1433" s="1113"/>
      <c r="N1433" s="942" t="s">
        <v>2625</v>
      </c>
      <c r="O1433" s="1122">
        <f>'Part IX A-Scoring Criteria'!O115</f>
        <v>0</v>
      </c>
      <c r="P1433" s="1122"/>
    </row>
    <row r="1434" spans="1:17">
      <c r="A1434" s="949" t="s">
        <v>2122</v>
      </c>
      <c r="B1434" s="903" t="s">
        <v>3252</v>
      </c>
      <c r="D1434" s="581"/>
      <c r="M1434" s="830">
        <v>1</v>
      </c>
      <c r="O1434" s="1059" t="s">
        <v>2683</v>
      </c>
      <c r="P1434" s="1059" t="s">
        <v>2683</v>
      </c>
    </row>
    <row r="1435" spans="1:17" ht="13.5">
      <c r="A1435" s="943" t="s">
        <v>1440</v>
      </c>
      <c r="B1435" s="565" t="s">
        <v>3254</v>
      </c>
      <c r="O1435" s="1122">
        <f>'Part IX A-Scoring Criteria'!O117</f>
        <v>0</v>
      </c>
      <c r="P1435" s="1122"/>
      <c r="Q1435" s="984"/>
    </row>
    <row r="1436" spans="1:17">
      <c r="A1436" s="949" t="s">
        <v>799</v>
      </c>
      <c r="B1436" s="903" t="s">
        <v>3253</v>
      </c>
      <c r="C1436" s="903"/>
      <c r="D1436" s="581"/>
      <c r="M1436" s="826">
        <v>2</v>
      </c>
      <c r="O1436" s="1057" t="s">
        <v>2683</v>
      </c>
      <c r="P1436" s="1057" t="s">
        <v>2683</v>
      </c>
    </row>
    <row r="1437" spans="1:17">
      <c r="B1437" s="1574" t="s">
        <v>3529</v>
      </c>
      <c r="C1437" s="1574"/>
      <c r="D1437" s="1574"/>
      <c r="E1437" s="1574"/>
      <c r="F1437" s="1574"/>
      <c r="G1437" s="1574"/>
      <c r="H1437" s="1574"/>
      <c r="I1437" s="1574"/>
      <c r="J1437" s="1574"/>
      <c r="K1437" s="1574"/>
      <c r="L1437" s="1574"/>
      <c r="O1437" s="1122">
        <f>'Part IX A-Scoring Criteria'!O119</f>
        <v>0</v>
      </c>
      <c r="P1437" s="1122"/>
    </row>
    <row r="1438" spans="1:17" ht="15">
      <c r="A1438" s="581"/>
      <c r="B1438" s="944" t="s">
        <v>269</v>
      </c>
      <c r="C1438" s="581"/>
      <c r="D1438" s="585"/>
      <c r="E1438" s="585"/>
      <c r="F1438" s="585"/>
      <c r="G1438" s="585"/>
      <c r="H1438" s="582"/>
      <c r="I1438" s="582"/>
      <c r="J1438" s="582"/>
      <c r="K1438" s="582"/>
      <c r="L1438" s="969"/>
      <c r="M1438" s="826"/>
      <c r="N1438" s="830"/>
      <c r="O1438" s="965"/>
      <c r="P1438" s="1113"/>
      <c r="Q1438" s="969"/>
    </row>
    <row r="1439" spans="1:17" ht="15.75">
      <c r="A1439" s="1574" t="str">
        <f>'Part IX A-Scoring Criteria'!A121</f>
        <v>This project site is not located in a QCT or a DCA-designated Military Zone, nor is the project located in a jurisdiction participating in the HUD Choice Neighborhood program; therefore, the project does not qualify the Community Revitalization Plans points.</v>
      </c>
      <c r="B1439" s="1574"/>
      <c r="C1439" s="1574"/>
      <c r="D1439" s="1574"/>
      <c r="E1439" s="1574"/>
      <c r="F1439" s="1574"/>
      <c r="G1439" s="1574"/>
      <c r="H1439" s="1574"/>
      <c r="I1439" s="1574"/>
      <c r="J1439" s="1574"/>
      <c r="K1439" s="1574"/>
      <c r="L1439" s="1574"/>
      <c r="M1439" s="1574"/>
      <c r="N1439" s="1574"/>
      <c r="O1439" s="1574"/>
      <c r="P1439" s="1574"/>
      <c r="Q1439" s="970" t="s">
        <v>1332</v>
      </c>
    </row>
    <row r="1440" spans="1:17" ht="15">
      <c r="A1440" s="581"/>
      <c r="B1440" s="945" t="s">
        <v>1997</v>
      </c>
      <c r="C1440" s="581"/>
      <c r="D1440" s="945"/>
      <c r="E1440" s="1063"/>
      <c r="F1440" s="1063"/>
      <c r="G1440" s="1063"/>
      <c r="H1440" s="1063"/>
      <c r="I1440" s="1063"/>
      <c r="J1440" s="1063"/>
      <c r="K1440" s="1063"/>
      <c r="L1440" s="1063"/>
      <c r="M1440" s="1063"/>
      <c r="N1440" s="980"/>
      <c r="O1440" s="981"/>
      <c r="P1440" s="1082"/>
      <c r="Q1440" s="975"/>
    </row>
    <row r="1441" spans="1:21" ht="15.75">
      <c r="A1441" s="1712"/>
      <c r="B1441" s="1712"/>
      <c r="C1441" s="1712"/>
      <c r="D1441" s="1712"/>
      <c r="E1441" s="1712"/>
      <c r="F1441" s="1712"/>
      <c r="G1441" s="1712"/>
      <c r="H1441" s="1712"/>
      <c r="I1441" s="1712"/>
      <c r="J1441" s="1712"/>
      <c r="K1441" s="1712"/>
      <c r="L1441" s="1712"/>
      <c r="M1441" s="1712"/>
      <c r="N1441" s="1712"/>
      <c r="O1441" s="1712"/>
      <c r="P1441" s="1712"/>
      <c r="Q1441" s="970" t="s">
        <v>1332</v>
      </c>
    </row>
    <row r="1442" spans="1:21">
      <c r="N1442" s="830"/>
      <c r="O1442" s="1113"/>
      <c r="P1442" s="1113"/>
    </row>
    <row r="1443" spans="1:21" ht="15">
      <c r="A1443" s="966" t="s">
        <v>227</v>
      </c>
      <c r="B1443" s="967" t="s">
        <v>2626</v>
      </c>
      <c r="C1443" s="969"/>
      <c r="D1443" s="982"/>
      <c r="E1443" s="982"/>
      <c r="F1443" s="982"/>
      <c r="G1443" s="969"/>
      <c r="H1443" s="998"/>
      <c r="I1443" s="969"/>
      <c r="J1443" s="998" t="s">
        <v>419</v>
      </c>
      <c r="K1443" s="585"/>
      <c r="L1443" s="969"/>
      <c r="M1443" s="1082">
        <v>3</v>
      </c>
      <c r="N1443" s="826"/>
      <c r="O1443" s="1082">
        <f>IF(AND(J1444="Flexible",O1444=$M1444),$M1444,IF(O1450&gt;0,O1450,0))</f>
        <v>0</v>
      </c>
      <c r="P1443" s="1082">
        <f>MIN($M1443,(P1444+P1450))</f>
        <v>0</v>
      </c>
      <c r="Q1443" s="1082" t="s">
        <v>463</v>
      </c>
      <c r="U1443" s="965">
        <f>'Part IX A-Scoring Criteria'!O125</f>
        <v>0</v>
      </c>
    </row>
    <row r="1444" spans="1:21" ht="13.5">
      <c r="A1444" s="1068" t="s">
        <v>2119</v>
      </c>
      <c r="B1444" s="903" t="s">
        <v>2381</v>
      </c>
      <c r="D1444" s="581"/>
      <c r="E1444" s="581"/>
      <c r="F1444" s="581"/>
      <c r="G1444" s="1070" t="str">
        <f>IF(AND(O1444&lt;0,L1451&lt;0),"Select either A or B but not both!&gt;","")</f>
        <v/>
      </c>
      <c r="H1444" s="903" t="s">
        <v>3249</v>
      </c>
      <c r="I1444" s="827"/>
      <c r="J1444" s="903" t="str">
        <f>'Part I-Project Information'!$H$85</f>
        <v>Flexible</v>
      </c>
      <c r="M1444" s="826">
        <v>3</v>
      </c>
      <c r="N1444" s="942" t="s">
        <v>2119</v>
      </c>
      <c r="O1444" s="1082">
        <f>'Part IX A-Scoring Criteria'!O126</f>
        <v>0</v>
      </c>
      <c r="P1444" s="1082"/>
      <c r="Q1444" s="984" t="s">
        <v>2948</v>
      </c>
    </row>
    <row r="1445" spans="1:21">
      <c r="A1445" s="565"/>
      <c r="B1445" s="990" t="s">
        <v>2123</v>
      </c>
      <c r="C1445" s="1574" t="s">
        <v>3530</v>
      </c>
      <c r="D1445" s="1575"/>
      <c r="E1445" s="1575"/>
      <c r="F1445" s="1575"/>
      <c r="G1445" s="1575"/>
      <c r="H1445" s="1575"/>
      <c r="I1445" s="1575"/>
      <c r="J1445" s="1575"/>
      <c r="K1445" s="1575"/>
      <c r="L1445" s="1575"/>
      <c r="M1445" s="989"/>
      <c r="N1445" s="990" t="s">
        <v>2123</v>
      </c>
      <c r="O1445" s="1122" t="str">
        <f>'Part IX A-Scoring Criteria'!O127</f>
        <v>No</v>
      </c>
      <c r="P1445" s="1122"/>
      <c r="Q1445" s="565"/>
    </row>
    <row r="1446" spans="1:21">
      <c r="A1446" s="565"/>
      <c r="B1446" s="983"/>
      <c r="C1446" s="582" t="s">
        <v>1020</v>
      </c>
      <c r="D1446" s="565"/>
      <c r="E1446" s="565"/>
      <c r="F1446" s="565"/>
      <c r="G1446" s="565"/>
      <c r="H1446" s="1059" t="s">
        <v>2767</v>
      </c>
      <c r="I1446" s="828">
        <f>'Part IX A-Scoring Criteria'!I128</f>
        <v>0</v>
      </c>
      <c r="J1446" s="1059" t="s">
        <v>2452</v>
      </c>
      <c r="K1446" s="1588">
        <f>'Part IX A-Scoring Criteria'!K128</f>
        <v>0</v>
      </c>
      <c r="L1446" s="1588"/>
      <c r="M1446" s="1588"/>
      <c r="N1446" s="565"/>
      <c r="O1446" s="565"/>
      <c r="P1446" s="565"/>
      <c r="Q1446" s="565"/>
    </row>
    <row r="1447" spans="1:21">
      <c r="A1447" s="565"/>
      <c r="B1447" s="983" t="s">
        <v>2125</v>
      </c>
      <c r="C1447" s="582" t="s">
        <v>1021</v>
      </c>
      <c r="D1447" s="565"/>
      <c r="E1447" s="565"/>
      <c r="F1447" s="565"/>
      <c r="G1447" s="565"/>
      <c r="H1447" s="565"/>
      <c r="I1447" s="565"/>
      <c r="J1447" s="565"/>
      <c r="K1447" s="565"/>
      <c r="L1447" s="565"/>
      <c r="M1447" s="826"/>
      <c r="N1447" s="983" t="s">
        <v>2125</v>
      </c>
      <c r="O1447" s="1122" t="str">
        <f>'Part IX A-Scoring Criteria'!O129</f>
        <v>N/a</v>
      </c>
      <c r="P1447" s="1122"/>
      <c r="Q1447" s="565"/>
    </row>
    <row r="1448" spans="1:21">
      <c r="A1448" s="565"/>
      <c r="B1448" s="983" t="s">
        <v>2709</v>
      </c>
      <c r="C1448" s="582" t="s">
        <v>1022</v>
      </c>
      <c r="D1448" s="565"/>
      <c r="E1448" s="565"/>
      <c r="F1448" s="565"/>
      <c r="G1448" s="565"/>
      <c r="H1448" s="565"/>
      <c r="I1448" s="565"/>
      <c r="J1448" s="565"/>
      <c r="K1448" s="565"/>
      <c r="L1448" s="565"/>
      <c r="M1448" s="826"/>
      <c r="N1448" s="983" t="s">
        <v>2709</v>
      </c>
      <c r="O1448" s="1122" t="str">
        <f>'Part IX A-Scoring Criteria'!O130</f>
        <v>N/a</v>
      </c>
      <c r="P1448" s="1122"/>
      <c r="Q1448" s="565"/>
    </row>
    <row r="1449" spans="1:21">
      <c r="A1449" s="943" t="s">
        <v>1440</v>
      </c>
      <c r="B1449" s="983" t="s">
        <v>1301</v>
      </c>
      <c r="C1449" s="582" t="s">
        <v>1023</v>
      </c>
      <c r="D1449" s="565"/>
      <c r="E1449" s="565"/>
      <c r="F1449" s="565"/>
      <c r="G1449" s="565"/>
      <c r="H1449" s="565"/>
      <c r="I1449" s="565"/>
      <c r="J1449" s="565"/>
      <c r="K1449" s="565"/>
      <c r="L1449" s="565"/>
      <c r="M1449" s="826"/>
      <c r="N1449" s="983" t="s">
        <v>1301</v>
      </c>
      <c r="O1449" s="1122" t="str">
        <f>'Part IX A-Scoring Criteria'!O131</f>
        <v>N/a</v>
      </c>
      <c r="P1449" s="1122"/>
      <c r="Q1449" s="565"/>
    </row>
    <row r="1450" spans="1:21" ht="13.5">
      <c r="A1450" s="1068" t="s">
        <v>2122</v>
      </c>
      <c r="B1450" s="903" t="s">
        <v>2382</v>
      </c>
      <c r="E1450" s="984" t="s">
        <v>3156</v>
      </c>
      <c r="M1450" s="826">
        <v>3</v>
      </c>
      <c r="N1450" s="942" t="s">
        <v>2122</v>
      </c>
      <c r="O1450" s="826">
        <f>IF($L1451=5,3,IF($L1451=4,2,0))</f>
        <v>0</v>
      </c>
      <c r="P1450" s="1082"/>
    </row>
    <row r="1451" spans="1:21" ht="15">
      <c r="B1451" s="1081" t="s">
        <v>3323</v>
      </c>
      <c r="D1451" s="581"/>
      <c r="E1451" s="581"/>
      <c r="F1451" s="581"/>
      <c r="G1451" s="1081"/>
      <c r="H1451" s="1081"/>
      <c r="I1451" s="1081"/>
      <c r="J1451" s="1081"/>
      <c r="L1451" s="1057" t="str">
        <f>'Part IX A-Scoring Criteria'!L133</f>
        <v>&lt;Select&gt;</v>
      </c>
      <c r="M1451" s="582" t="s">
        <v>3324</v>
      </c>
      <c r="N1451" s="830"/>
      <c r="O1451" s="993"/>
      <c r="P1451" s="993"/>
    </row>
    <row r="1452" spans="1:21" ht="15">
      <c r="B1452" s="1081" t="s">
        <v>3325</v>
      </c>
      <c r="D1452" s="581"/>
      <c r="E1452" s="581"/>
      <c r="F1452" s="581"/>
      <c r="G1452" s="1081"/>
      <c r="H1452" s="1081"/>
      <c r="I1452" s="1081"/>
      <c r="J1452" s="1081"/>
      <c r="N1452" s="582"/>
      <c r="O1452" s="993"/>
      <c r="P1452" s="993"/>
    </row>
    <row r="1453" spans="1:21" ht="15">
      <c r="A1453" s="581"/>
      <c r="B1453" s="944" t="s">
        <v>269</v>
      </c>
      <c r="C1453" s="581"/>
      <c r="D1453" s="585"/>
      <c r="E1453" s="585"/>
      <c r="F1453" s="585"/>
      <c r="G1453" s="585"/>
      <c r="H1453" s="582"/>
      <c r="I1453" s="582"/>
      <c r="J1453" s="582"/>
      <c r="K1453" s="582"/>
      <c r="L1453" s="969"/>
      <c r="M1453" s="826"/>
      <c r="N1453" s="830"/>
      <c r="O1453" s="965"/>
      <c r="P1453" s="1113"/>
      <c r="Q1453" s="969"/>
    </row>
    <row r="1454" spans="1:21" ht="15.75">
      <c r="A1454" s="1574">
        <f>'Part IX A-Scoring Criteria'!A136</f>
        <v>0</v>
      </c>
      <c r="B1454" s="1574"/>
      <c r="C1454" s="1574"/>
      <c r="D1454" s="1574"/>
      <c r="E1454" s="1574"/>
      <c r="F1454" s="1574"/>
      <c r="G1454" s="1574"/>
      <c r="H1454" s="1574"/>
      <c r="I1454" s="1574"/>
      <c r="J1454" s="1574"/>
      <c r="K1454" s="1574"/>
      <c r="L1454" s="1574"/>
      <c r="M1454" s="1574"/>
      <c r="N1454" s="1574"/>
      <c r="O1454" s="1574"/>
      <c r="P1454" s="1574"/>
      <c r="Q1454" s="970" t="s">
        <v>1332</v>
      </c>
    </row>
    <row r="1455" spans="1:21" ht="15">
      <c r="A1455" s="969"/>
      <c r="B1455" s="945" t="s">
        <v>1997</v>
      </c>
      <c r="C1455" s="581"/>
      <c r="D1455" s="945"/>
      <c r="E1455" s="1063"/>
      <c r="F1455" s="1063"/>
      <c r="G1455" s="1063"/>
      <c r="H1455" s="1063"/>
      <c r="I1455" s="1063"/>
      <c r="J1455" s="1063"/>
      <c r="K1455" s="1063"/>
      <c r="L1455" s="1063"/>
      <c r="M1455" s="1063"/>
      <c r="N1455" s="980"/>
      <c r="O1455" s="981"/>
      <c r="P1455" s="1082"/>
      <c r="Q1455" s="975"/>
    </row>
    <row r="1456" spans="1:21" ht="15.75">
      <c r="A1456" s="1574"/>
      <c r="B1456" s="1574"/>
      <c r="C1456" s="1574"/>
      <c r="D1456" s="1574"/>
      <c r="E1456" s="1574"/>
      <c r="F1456" s="1574"/>
      <c r="G1456" s="1574"/>
      <c r="H1456" s="1574"/>
      <c r="I1456" s="1574"/>
      <c r="J1456" s="1574"/>
      <c r="K1456" s="1574"/>
      <c r="L1456" s="1574"/>
      <c r="M1456" s="1574"/>
      <c r="N1456" s="1574"/>
      <c r="O1456" s="1574"/>
      <c r="P1456" s="1574"/>
      <c r="Q1456" s="970" t="s">
        <v>1332</v>
      </c>
    </row>
    <row r="1457" spans="1:21">
      <c r="N1457" s="830"/>
      <c r="O1457" s="1113"/>
      <c r="P1457" s="1113"/>
    </row>
    <row r="1458" spans="1:21" ht="15">
      <c r="A1458" s="966" t="s">
        <v>228</v>
      </c>
      <c r="B1458" s="967" t="s">
        <v>2627</v>
      </c>
      <c r="C1458" s="969"/>
      <c r="D1458" s="969"/>
      <c r="E1458" s="982"/>
      <c r="F1458" s="982"/>
      <c r="G1458" s="969"/>
      <c r="H1458" s="998"/>
      <c r="I1458" s="969"/>
      <c r="J1458" s="969"/>
      <c r="K1458" s="585"/>
      <c r="L1458" s="992" t="str">
        <f>IF(OR($O1458=$M1458,$O1458=0,$O1458=""),"","* * Check Score! * *")</f>
        <v/>
      </c>
      <c r="M1458" s="1082">
        <v>2</v>
      </c>
      <c r="N1458" s="995" t="str">
        <f>IF(OR($O1458=$M1458,$O1458=0,$O1458=""),"","***")</f>
        <v/>
      </c>
      <c r="O1458" s="1067">
        <f>'Part IX A-Scoring Criteria'!O140</f>
        <v>2</v>
      </c>
      <c r="P1458" s="1082"/>
      <c r="Q1458" s="1082" t="s">
        <v>463</v>
      </c>
      <c r="U1458" s="965">
        <f>'Part IX A-Scoring Criteria'!O140</f>
        <v>2</v>
      </c>
    </row>
    <row r="1459" spans="1:21">
      <c r="B1459" s="565" t="s">
        <v>1783</v>
      </c>
      <c r="M1459" s="910"/>
      <c r="P1459" s="1059" t="s">
        <v>2683</v>
      </c>
    </row>
    <row r="1460" spans="1:21">
      <c r="A1460" s="953" t="s">
        <v>2119</v>
      </c>
      <c r="B1460" s="1580" t="s">
        <v>2826</v>
      </c>
      <c r="C1460" s="1604"/>
      <c r="D1460" s="1604"/>
      <c r="E1460" s="1604"/>
      <c r="F1460" s="1604"/>
      <c r="G1460" s="1604"/>
      <c r="H1460" s="1604"/>
      <c r="I1460" s="1604"/>
      <c r="J1460" s="1604"/>
      <c r="K1460" s="1604"/>
      <c r="L1460" s="1604"/>
      <c r="M1460" s="1604"/>
      <c r="N1460" s="1604"/>
      <c r="O1460" s="954" t="s">
        <v>2601</v>
      </c>
      <c r="P1460" s="1121"/>
      <c r="Q1460" s="1072"/>
    </row>
    <row r="1461" spans="1:21">
      <c r="A1461" s="953" t="s">
        <v>2122</v>
      </c>
      <c r="B1461" s="1580" t="s">
        <v>2995</v>
      </c>
      <c r="C1461" s="1604"/>
      <c r="D1461" s="1604"/>
      <c r="E1461" s="1604"/>
      <c r="F1461" s="1604"/>
      <c r="G1461" s="1604"/>
      <c r="H1461" s="1604"/>
      <c r="I1461" s="1604"/>
      <c r="J1461" s="1604"/>
      <c r="K1461" s="1604"/>
      <c r="L1461" s="1604"/>
      <c r="M1461" s="1604"/>
      <c r="N1461" s="1604"/>
      <c r="O1461" s="954" t="s">
        <v>2602</v>
      </c>
      <c r="P1461" s="1121"/>
      <c r="Q1461" s="1072"/>
    </row>
    <row r="1462" spans="1:21">
      <c r="A1462" s="953" t="s">
        <v>799</v>
      </c>
      <c r="B1462" s="948" t="s">
        <v>1784</v>
      </c>
      <c r="C1462" s="1072"/>
      <c r="D1462" s="1072"/>
      <c r="E1462" s="1072"/>
      <c r="F1462" s="1072"/>
      <c r="G1462" s="1072"/>
      <c r="H1462" s="1072"/>
      <c r="I1462" s="1072"/>
      <c r="J1462" s="1072"/>
      <c r="K1462" s="1072"/>
      <c r="L1462" s="1072"/>
      <c r="M1462" s="999"/>
      <c r="N1462" s="954"/>
      <c r="O1462" s="954" t="s">
        <v>2603</v>
      </c>
      <c r="P1462" s="1121"/>
      <c r="Q1462" s="1072"/>
    </row>
    <row r="1463" spans="1:21" ht="15">
      <c r="A1463" s="954"/>
      <c r="B1463" s="944" t="s">
        <v>269</v>
      </c>
      <c r="C1463" s="581"/>
      <c r="D1463" s="585"/>
      <c r="E1463" s="585"/>
      <c r="F1463" s="585"/>
      <c r="G1463" s="585"/>
      <c r="H1463" s="582"/>
      <c r="I1463" s="582"/>
      <c r="J1463" s="582"/>
      <c r="K1463" s="582"/>
      <c r="L1463" s="969"/>
      <c r="M1463" s="826"/>
      <c r="N1463" s="830"/>
      <c r="O1463" s="965"/>
      <c r="P1463" s="1113"/>
      <c r="Q1463" s="969"/>
    </row>
    <row r="1464" spans="1:21" ht="15.75">
      <c r="A1464" s="1574" t="str">
        <f>'Part IX A-Scoring Criteria'!A146</f>
        <v>Within the subject property's Primary Market Area (PMA), there is a strong demand for high quality affordable housing alternatives as indicated by the high occupancy rates of other LIHTC properties in PMA. The Market Survey completed for this application identified five (5) earlier DCA funded LIHTC properties in the subject's PMA. At the time of the survey, these five (5) LIHTC properties had occupancy rates ranging from 0% to 96% with an average occupancy rate of 97%.</v>
      </c>
      <c r="B1464" s="1574"/>
      <c r="C1464" s="1574"/>
      <c r="D1464" s="1574"/>
      <c r="E1464" s="1574"/>
      <c r="F1464" s="1574"/>
      <c r="G1464" s="1574"/>
      <c r="H1464" s="1574"/>
      <c r="I1464" s="1574"/>
      <c r="J1464" s="1574"/>
      <c r="K1464" s="1574"/>
      <c r="L1464" s="1574"/>
      <c r="M1464" s="1574"/>
      <c r="N1464" s="1574"/>
      <c r="O1464" s="1574"/>
      <c r="P1464" s="1574"/>
      <c r="Q1464" s="970" t="s">
        <v>1332</v>
      </c>
    </row>
    <row r="1465" spans="1:21" ht="15">
      <c r="A1465" s="581"/>
      <c r="B1465" s="945" t="s">
        <v>1997</v>
      </c>
      <c r="C1465" s="581"/>
      <c r="D1465" s="945"/>
      <c r="E1465" s="1063"/>
      <c r="F1465" s="1063"/>
      <c r="G1465" s="1063"/>
      <c r="H1465" s="1063"/>
      <c r="I1465" s="1063"/>
      <c r="J1465" s="1063"/>
      <c r="K1465" s="1063"/>
      <c r="L1465" s="1063"/>
      <c r="M1465" s="1063"/>
      <c r="N1465" s="980"/>
      <c r="O1465" s="981"/>
      <c r="P1465" s="1082"/>
      <c r="Q1465" s="975"/>
    </row>
    <row r="1466" spans="1:21" ht="15.75">
      <c r="A1466" s="1574"/>
      <c r="B1466" s="1574"/>
      <c r="C1466" s="1574"/>
      <c r="D1466" s="1574"/>
      <c r="E1466" s="1574"/>
      <c r="F1466" s="1574"/>
      <c r="G1466" s="1574"/>
      <c r="H1466" s="1574"/>
      <c r="I1466" s="1574"/>
      <c r="J1466" s="1574"/>
      <c r="K1466" s="1574"/>
      <c r="L1466" s="1574"/>
      <c r="M1466" s="1574"/>
      <c r="N1466" s="1574"/>
      <c r="O1466" s="1574"/>
      <c r="P1466" s="1574"/>
      <c r="Q1466" s="970" t="s">
        <v>1332</v>
      </c>
    </row>
    <row r="1467" spans="1:21">
      <c r="N1467" s="830"/>
      <c r="O1467" s="1113"/>
      <c r="P1467" s="1113"/>
    </row>
    <row r="1468" spans="1:21" ht="15">
      <c r="A1468" s="1000" t="s">
        <v>229</v>
      </c>
      <c r="B1468" s="967" t="s">
        <v>3326</v>
      </c>
      <c r="C1468" s="969"/>
      <c r="D1468" s="982"/>
      <c r="E1468" s="982"/>
      <c r="F1468" s="982"/>
      <c r="G1468" s="969"/>
      <c r="H1468" s="582"/>
      <c r="I1468" s="969"/>
      <c r="J1468" s="998" t="s">
        <v>419</v>
      </c>
      <c r="K1468" s="585"/>
      <c r="L1468" s="969"/>
      <c r="M1468" s="1082">
        <v>1</v>
      </c>
      <c r="N1468" s="826"/>
      <c r="O1468" s="1082">
        <f>MIN($M1468,SUM(O1469:O1470))</f>
        <v>1</v>
      </c>
      <c r="P1468" s="1082">
        <f>MIN($M1468,SUM(P1469:P1470))</f>
        <v>0</v>
      </c>
      <c r="Q1468" s="1082" t="s">
        <v>463</v>
      </c>
      <c r="U1468" s="965">
        <f>'Part IX A-Scoring Criteria'!O150</f>
        <v>1</v>
      </c>
    </row>
    <row r="1469" spans="1:21" ht="15">
      <c r="A1469" s="949" t="s">
        <v>2119</v>
      </c>
      <c r="B1469" s="903" t="s">
        <v>2383</v>
      </c>
      <c r="C1469" s="993"/>
      <c r="D1469" s="998"/>
      <c r="E1469" s="998"/>
      <c r="F1469" s="963"/>
      <c r="H1469" s="993"/>
      <c r="I1469" s="993"/>
      <c r="J1469" s="993"/>
      <c r="K1469" s="942" t="s">
        <v>2923</v>
      </c>
      <c r="L1469" s="1122" t="str">
        <f>'Part IX A-Scoring Criteria'!L151</f>
        <v>Yes</v>
      </c>
      <c r="M1469" s="826">
        <v>1</v>
      </c>
      <c r="N1469" s="942" t="s">
        <v>2119</v>
      </c>
      <c r="O1469" s="1067">
        <f>'Part IX A-Scoring Criteria'!O151</f>
        <v>1</v>
      </c>
      <c r="P1469" s="1082"/>
      <c r="Q1469" s="984"/>
    </row>
    <row r="1470" spans="1:21" ht="15">
      <c r="A1470" s="949" t="s">
        <v>2122</v>
      </c>
      <c r="B1470" s="903" t="s">
        <v>2384</v>
      </c>
      <c r="C1470" s="969"/>
      <c r="D1470" s="582"/>
      <c r="E1470" s="969"/>
      <c r="F1470" s="969"/>
      <c r="G1470" s="969"/>
      <c r="H1470" s="1057" t="s">
        <v>2910</v>
      </c>
      <c r="I1470" s="969"/>
      <c r="J1470" s="969"/>
      <c r="K1470" s="582"/>
      <c r="L1470" s="1122" t="str">
        <f>'Part IX A-Scoring Criteria'!L152</f>
        <v>No</v>
      </c>
      <c r="M1470" s="826">
        <v>1</v>
      </c>
      <c r="N1470" s="942" t="s">
        <v>2122</v>
      </c>
      <c r="O1470" s="1067">
        <f>'Part IX A-Scoring Criteria'!O152</f>
        <v>0</v>
      </c>
      <c r="P1470" s="1082"/>
      <c r="Q1470" s="984"/>
    </row>
    <row r="1471" spans="1:21" ht="15">
      <c r="A1471" s="581"/>
      <c r="B1471" s="944" t="s">
        <v>269</v>
      </c>
      <c r="C1471" s="581"/>
      <c r="D1471" s="585"/>
      <c r="E1471" s="585"/>
      <c r="F1471" s="585"/>
      <c r="G1471" s="585"/>
      <c r="H1471" s="582"/>
      <c r="I1471" s="582"/>
      <c r="J1471" s="582"/>
      <c r="K1471" s="582"/>
      <c r="L1471" s="969"/>
      <c r="M1471" s="826"/>
      <c r="N1471" s="830"/>
      <c r="O1471" s="965"/>
      <c r="P1471" s="1113"/>
      <c r="Q1471" s="969"/>
    </row>
    <row r="1472" spans="1:21" ht="15.75">
      <c r="A1472" s="1574">
        <f>'Part IX A-Scoring Criteria'!A154</f>
        <v>0</v>
      </c>
      <c r="B1472" s="1574"/>
      <c r="C1472" s="1574"/>
      <c r="D1472" s="1574"/>
      <c r="E1472" s="1574"/>
      <c r="F1472" s="1574"/>
      <c r="G1472" s="1574"/>
      <c r="H1472" s="1574"/>
      <c r="I1472" s="1574"/>
      <c r="J1472" s="1574"/>
      <c r="K1472" s="1574"/>
      <c r="L1472" s="1574"/>
      <c r="M1472" s="1574"/>
      <c r="N1472" s="1574"/>
      <c r="O1472" s="1574"/>
      <c r="P1472" s="1574"/>
      <c r="Q1472" s="970" t="s">
        <v>1332</v>
      </c>
    </row>
    <row r="1473" spans="1:21" ht="15">
      <c r="A1473" s="581"/>
      <c r="B1473" s="945" t="s">
        <v>1997</v>
      </c>
      <c r="C1473" s="581"/>
      <c r="D1473" s="945"/>
      <c r="E1473" s="1063"/>
      <c r="F1473" s="1063"/>
      <c r="G1473" s="1063"/>
      <c r="H1473" s="1063"/>
      <c r="I1473" s="1063"/>
      <c r="J1473" s="1063"/>
      <c r="K1473" s="1063"/>
      <c r="L1473" s="1063"/>
      <c r="M1473" s="1063"/>
      <c r="N1473" s="980"/>
      <c r="O1473" s="981"/>
      <c r="P1473" s="1082"/>
      <c r="Q1473" s="975"/>
    </row>
    <row r="1474" spans="1:21" ht="15.75">
      <c r="A1474" s="1574"/>
      <c r="B1474" s="1574"/>
      <c r="C1474" s="1574"/>
      <c r="D1474" s="1574"/>
      <c r="E1474" s="1574"/>
      <c r="F1474" s="1574"/>
      <c r="G1474" s="1574"/>
      <c r="H1474" s="1574"/>
      <c r="I1474" s="1574"/>
      <c r="J1474" s="1574"/>
      <c r="K1474" s="1574"/>
      <c r="L1474" s="1574"/>
      <c r="M1474" s="1574"/>
      <c r="N1474" s="1574"/>
      <c r="O1474" s="1574"/>
      <c r="P1474" s="1574"/>
      <c r="Q1474" s="970" t="s">
        <v>1332</v>
      </c>
    </row>
    <row r="1475" spans="1:21" ht="15">
      <c r="A1475" s="581"/>
      <c r="B1475" s="581"/>
      <c r="C1475" s="1063"/>
      <c r="D1475" s="1063"/>
      <c r="E1475" s="1063"/>
      <c r="F1475" s="1063"/>
      <c r="G1475" s="1063"/>
      <c r="H1475" s="1063"/>
      <c r="I1475" s="1063"/>
      <c r="J1475" s="1063"/>
      <c r="K1475" s="1063"/>
      <c r="L1475" s="1063"/>
      <c r="M1475" s="1063"/>
      <c r="N1475" s="980"/>
      <c r="O1475" s="981"/>
      <c r="P1475" s="1082"/>
      <c r="Q1475" s="969"/>
    </row>
    <row r="1476" spans="1:21" ht="15">
      <c r="A1476" s="1000" t="s">
        <v>247</v>
      </c>
      <c r="B1476" s="973" t="s">
        <v>2902</v>
      </c>
      <c r="C1476" s="974"/>
      <c r="D1476" s="957"/>
      <c r="E1476" s="582"/>
      <c r="F1476" s="969"/>
      <c r="G1476" s="969"/>
      <c r="H1476" s="969"/>
      <c r="I1476" s="969"/>
      <c r="J1476" s="969"/>
      <c r="K1476" s="969"/>
      <c r="L1476" s="969"/>
      <c r="M1476" s="1082">
        <v>3</v>
      </c>
      <c r="N1476" s="826"/>
      <c r="O1476" s="826"/>
      <c r="P1476" s="1082"/>
      <c r="Q1476" s="1082" t="s">
        <v>463</v>
      </c>
      <c r="U1476" s="965">
        <f>'Part IX A-Scoring Criteria'!O158</f>
        <v>0</v>
      </c>
    </row>
    <row r="1477" spans="1:21" ht="15">
      <c r="A1477" s="1000"/>
      <c r="B1477" s="854" t="s">
        <v>2914</v>
      </c>
      <c r="C1477" s="974"/>
      <c r="D1477" s="957"/>
      <c r="E1477" s="582"/>
      <c r="F1477" s="969"/>
      <c r="G1477" s="829" t="str">
        <f>'Part I-Project Information'!$H$81</f>
        <v>Yes</v>
      </c>
      <c r="H1477" s="969"/>
      <c r="I1477" s="969"/>
      <c r="J1477" s="998"/>
      <c r="K1477" s="969"/>
      <c r="L1477" s="969"/>
      <c r="M1477" s="1082"/>
      <c r="N1477" s="1082"/>
      <c r="O1477" s="1059" t="s">
        <v>2683</v>
      </c>
      <c r="P1477" s="1059" t="s">
        <v>2683</v>
      </c>
      <c r="Q1477" s="1082"/>
    </row>
    <row r="1478" spans="1:21" ht="15">
      <c r="A1478" s="949"/>
      <c r="B1478" s="565" t="s">
        <v>2505</v>
      </c>
      <c r="C1478" s="969"/>
      <c r="D1478" s="581"/>
      <c r="E1478" s="969"/>
      <c r="F1478" s="969"/>
      <c r="G1478" s="969"/>
      <c r="H1478" s="969"/>
      <c r="I1478" s="969"/>
      <c r="J1478" s="969"/>
      <c r="K1478" s="969"/>
      <c r="L1478" s="969"/>
      <c r="M1478" s="969"/>
      <c r="N1478" s="942"/>
      <c r="O1478" s="1067" t="str">
        <f>'Part IX A-Scoring Criteria'!O160</f>
        <v>Yes</v>
      </c>
      <c r="P1478" s="1122"/>
      <c r="Q1478" s="969"/>
    </row>
    <row r="1479" spans="1:21" ht="15">
      <c r="A1479" s="949"/>
      <c r="B1479" s="565" t="s">
        <v>3544</v>
      </c>
      <c r="C1479" s="969"/>
      <c r="D1479" s="581"/>
      <c r="E1479" s="969"/>
      <c r="F1479" s="969"/>
      <c r="G1479" s="969"/>
      <c r="H1479" s="969"/>
      <c r="I1479" s="969"/>
      <c r="J1479" s="969"/>
      <c r="K1479" s="969"/>
      <c r="L1479" s="969"/>
      <c r="M1479" s="969"/>
      <c r="N1479" s="942"/>
      <c r="O1479" s="1067" t="str">
        <f>'Part IX A-Scoring Criteria'!O161</f>
        <v>Yes</v>
      </c>
      <c r="P1479" s="1122"/>
      <c r="Q1479" s="969"/>
    </row>
    <row r="1480" spans="1:21" ht="15">
      <c r="A1480" s="581"/>
      <c r="B1480" s="944" t="s">
        <v>269</v>
      </c>
      <c r="C1480" s="581"/>
      <c r="D1480" s="585"/>
      <c r="E1480" s="585"/>
      <c r="F1480" s="585"/>
      <c r="G1480" s="585"/>
      <c r="H1480" s="582"/>
      <c r="I1480" s="582"/>
      <c r="J1480" s="582"/>
      <c r="K1480" s="582"/>
      <c r="L1480" s="969"/>
      <c r="M1480" s="826"/>
      <c r="N1480" s="830"/>
      <c r="O1480" s="965"/>
      <c r="P1480" s="1113"/>
      <c r="Q1480" s="969"/>
    </row>
    <row r="1481" spans="1:21" ht="15.75">
      <c r="A1481" s="1574" t="str">
        <f>'Part IX A-Scoring Criteria'!A163</f>
        <v>The Managing General Partner of the ownership entity is Trinity Walk I General Partner, LLC. , whose sole member is Gateway General Partner I, Inc., a Georgia domestic 501(c)4 nonprofit corporation controlled by Decatur Housing Authority by shared board members. See the legal opinion on Gateway General Partner I, Inc.’s federal tax exempt qualification status, as well as the Bylaws of the corporation that are included in Tab #19.</v>
      </c>
      <c r="B1481" s="1574"/>
      <c r="C1481" s="1574"/>
      <c r="D1481" s="1574"/>
      <c r="E1481" s="1574"/>
      <c r="F1481" s="1574"/>
      <c r="G1481" s="1574"/>
      <c r="H1481" s="1574"/>
      <c r="I1481" s="1574"/>
      <c r="J1481" s="1574"/>
      <c r="K1481" s="1574"/>
      <c r="L1481" s="1574"/>
      <c r="M1481" s="1574"/>
      <c r="N1481" s="1574"/>
      <c r="O1481" s="1574"/>
      <c r="P1481" s="1574"/>
      <c r="Q1481" s="970" t="s">
        <v>1332</v>
      </c>
    </row>
    <row r="1482" spans="1:21" ht="15">
      <c r="A1482" s="969"/>
      <c r="B1482" s="945" t="s">
        <v>1997</v>
      </c>
      <c r="C1482" s="581"/>
      <c r="D1482" s="945"/>
      <c r="E1482" s="1063"/>
      <c r="F1482" s="1063"/>
      <c r="G1482" s="1063"/>
      <c r="H1482" s="1063"/>
      <c r="I1482" s="1063"/>
      <c r="J1482" s="1063"/>
      <c r="K1482" s="1063"/>
      <c r="L1482" s="1063"/>
      <c r="M1482" s="1063"/>
      <c r="N1482" s="980"/>
      <c r="O1482" s="981"/>
      <c r="P1482" s="1082"/>
      <c r="Q1482" s="975"/>
    </row>
    <row r="1483" spans="1:21" ht="15.75">
      <c r="A1483" s="1574"/>
      <c r="B1483" s="1574"/>
      <c r="C1483" s="1574"/>
      <c r="D1483" s="1574"/>
      <c r="E1483" s="1574"/>
      <c r="F1483" s="1574"/>
      <c r="G1483" s="1574"/>
      <c r="H1483" s="1574"/>
      <c r="I1483" s="1574"/>
      <c r="J1483" s="1574"/>
      <c r="K1483" s="1574"/>
      <c r="L1483" s="1574"/>
      <c r="M1483" s="1574"/>
      <c r="N1483" s="1574"/>
      <c r="O1483" s="1574"/>
      <c r="P1483" s="1574"/>
      <c r="Q1483" s="970" t="s">
        <v>1332</v>
      </c>
    </row>
    <row r="1484" spans="1:21">
      <c r="N1484" s="830"/>
      <c r="O1484" s="1113"/>
      <c r="P1484" s="1113"/>
    </row>
    <row r="1485" spans="1:21" ht="15">
      <c r="A1485" s="966" t="s">
        <v>248</v>
      </c>
      <c r="B1485" s="967" t="s">
        <v>3327</v>
      </c>
      <c r="C1485" s="1001"/>
      <c r="D1485" s="1001"/>
      <c r="E1485" s="1081" t="s">
        <v>3216</v>
      </c>
      <c r="F1485" s="1001"/>
      <c r="G1485" s="982"/>
      <c r="H1485" s="565"/>
      <c r="I1485" s="1001"/>
      <c r="J1485" s="1001"/>
      <c r="K1485" s="1082">
        <f>'Part VI-Revenues &amp; Expenses'!$M$62</f>
        <v>69</v>
      </c>
      <c r="L1485" s="1080" t="s">
        <v>1917</v>
      </c>
      <c r="M1485" s="1082">
        <v>3</v>
      </c>
      <c r="N1485" s="995" t="str">
        <f>IF(OR($O1485=$M1485,$O1485=0,$O1485=""),"","***")</f>
        <v/>
      </c>
      <c r="O1485" s="1067">
        <f>'Part IX A-Scoring Criteria'!O167</f>
        <v>0</v>
      </c>
      <c r="P1485" s="1082"/>
      <c r="Q1485" s="1082" t="s">
        <v>463</v>
      </c>
      <c r="U1485" s="965">
        <f>'Part IX A-Scoring Criteria'!O167</f>
        <v>0</v>
      </c>
    </row>
    <row r="1486" spans="1:21" ht="15">
      <c r="A1486" s="966"/>
      <c r="B1486" s="903" t="s">
        <v>3249</v>
      </c>
      <c r="C1486" s="827"/>
      <c r="D1486" s="1001"/>
      <c r="E1486" s="1002" t="str">
        <f>'Part I-Project Information'!$H$85</f>
        <v>Flexible</v>
      </c>
      <c r="F1486" s="1001"/>
      <c r="G1486" s="1081" t="str">
        <f>IF(E1486="Flexible","(NOTE: Only Rural pool applicants are eligible for this section.)","")</f>
        <v>(NOTE: Only Rural pool applicants are eligible for this section.)</v>
      </c>
      <c r="H1486" s="565"/>
      <c r="I1486" s="1003"/>
      <c r="J1486" s="1080"/>
      <c r="K1486" s="1004">
        <f>'Part VI-Revenues &amp; Expenses'!$M$74/'Part VI-Revenues &amp; Expenses'!$M$62</f>
        <v>1</v>
      </c>
      <c r="L1486" s="1080" t="s">
        <v>3206</v>
      </c>
      <c r="M1486" s="1082"/>
      <c r="N1486" s="995"/>
      <c r="O1486" s="995"/>
      <c r="P1486" s="995"/>
      <c r="Q1486" s="1082"/>
    </row>
    <row r="1487" spans="1:21" ht="15">
      <c r="A1487" s="966"/>
      <c r="B1487" s="1583" t="s">
        <v>2970</v>
      </c>
      <c r="C1487" s="1583"/>
      <c r="D1487" s="1583"/>
      <c r="E1487" s="1583"/>
      <c r="F1487" s="1583"/>
      <c r="G1487" s="1583"/>
      <c r="H1487" s="1583"/>
      <c r="I1487" s="1583"/>
      <c r="J1487" s="1583"/>
      <c r="K1487" s="1583"/>
      <c r="L1487" s="1583"/>
      <c r="M1487" s="1583"/>
      <c r="N1487" s="1082"/>
      <c r="O1487" s="1001"/>
      <c r="P1487" s="1001"/>
      <c r="Q1487" s="1001"/>
    </row>
    <row r="1488" spans="1:21" ht="15">
      <c r="A1488" s="581"/>
      <c r="B1488" s="944" t="s">
        <v>269</v>
      </c>
      <c r="C1488" s="581"/>
      <c r="D1488" s="585"/>
      <c r="E1488" s="585"/>
      <c r="F1488" s="585"/>
      <c r="G1488" s="585"/>
      <c r="H1488" s="582"/>
      <c r="I1488" s="582"/>
      <c r="J1488" s="945" t="s">
        <v>1997</v>
      </c>
      <c r="K1488" s="969"/>
      <c r="L1488" s="969"/>
      <c r="M1488" s="826"/>
      <c r="N1488" s="830"/>
      <c r="O1488" s="965"/>
      <c r="P1488" s="1113"/>
      <c r="Q1488" s="969"/>
    </row>
    <row r="1489" spans="1:21" ht="15.75">
      <c r="A1489" s="1574">
        <f>'Part IX A-Scoring Criteria'!A171</f>
        <v>0</v>
      </c>
      <c r="B1489" s="1574"/>
      <c r="C1489" s="1574"/>
      <c r="D1489" s="1574"/>
      <c r="E1489" s="1574"/>
      <c r="F1489" s="1574"/>
      <c r="G1489" s="1574"/>
      <c r="H1489" s="1574"/>
      <c r="I1489" s="1574"/>
      <c r="J1489" s="1574"/>
      <c r="K1489" s="1574"/>
      <c r="L1489" s="1574"/>
      <c r="M1489" s="1574"/>
      <c r="N1489" s="1574"/>
      <c r="O1489" s="1574"/>
      <c r="P1489" s="1574"/>
      <c r="Q1489" s="970" t="s">
        <v>1332</v>
      </c>
    </row>
    <row r="1490" spans="1:21" ht="15">
      <c r="A1490" s="581"/>
      <c r="B1490" s="969"/>
      <c r="C1490" s="1063"/>
      <c r="D1490" s="1063"/>
      <c r="E1490" s="1063"/>
      <c r="F1490" s="1063"/>
      <c r="G1490" s="1063"/>
      <c r="H1490" s="1063"/>
      <c r="I1490" s="1063"/>
      <c r="J1490" s="1063"/>
      <c r="K1490" s="1063"/>
      <c r="L1490" s="1063"/>
      <c r="M1490" s="1063"/>
      <c r="N1490" s="980"/>
      <c r="O1490" s="981"/>
      <c r="P1490" s="1082"/>
      <c r="Q1490" s="969"/>
    </row>
    <row r="1491" spans="1:21" ht="15">
      <c r="A1491" s="966" t="s">
        <v>1494</v>
      </c>
      <c r="B1491" s="973" t="s">
        <v>1786</v>
      </c>
      <c r="C1491" s="969"/>
      <c r="D1491" s="974"/>
      <c r="E1491" s="974"/>
      <c r="F1491" s="969"/>
      <c r="G1491" s="582"/>
      <c r="H1491" s="582"/>
      <c r="I1491" s="582"/>
      <c r="J1491" s="969"/>
      <c r="K1491" s="1057"/>
      <c r="L1491" s="992" t="str">
        <f>IF(OR($O1491=$M1491,$O1491=0,$O1491=""),"","* * Check Score! * *")</f>
        <v/>
      </c>
      <c r="M1491" s="1082">
        <v>1</v>
      </c>
      <c r="N1491" s="995" t="str">
        <f>IF(OR($O1491=$M1491,$O1491=0,$O1491=""),"","***")</f>
        <v/>
      </c>
      <c r="O1491" s="1067">
        <f>'Part IX A-Scoring Criteria'!O173</f>
        <v>0</v>
      </c>
      <c r="P1491" s="1082"/>
      <c r="Q1491" s="1082" t="s">
        <v>463</v>
      </c>
      <c r="U1491" s="965">
        <f>'Part IX A-Scoring Criteria'!O173</f>
        <v>0</v>
      </c>
    </row>
    <row r="1492" spans="1:21" ht="15">
      <c r="A1492" s="969"/>
      <c r="B1492" s="1083" t="s">
        <v>3328</v>
      </c>
      <c r="C1492" s="969"/>
      <c r="D1492" s="993"/>
      <c r="E1492" s="974"/>
      <c r="F1492" s="582"/>
      <c r="G1492" s="582"/>
      <c r="H1492" s="582"/>
      <c r="I1492" s="1122"/>
      <c r="J1492" s="969"/>
      <c r="K1492" s="969"/>
      <c r="L1492" s="969"/>
      <c r="M1492" s="969"/>
      <c r="N1492" s="969"/>
      <c r="O1492" s="1059" t="s">
        <v>2683</v>
      </c>
      <c r="P1492" s="1059" t="s">
        <v>2683</v>
      </c>
      <c r="Q1492" s="969"/>
    </row>
    <row r="1493" spans="1:21">
      <c r="A1493" s="949" t="s">
        <v>2119</v>
      </c>
      <c r="B1493" s="582" t="s">
        <v>3531</v>
      </c>
      <c r="C1493" s="565"/>
      <c r="D1493" s="582"/>
      <c r="E1493" s="582"/>
      <c r="F1493" s="582"/>
      <c r="G1493" s="565"/>
      <c r="H1493" s="565"/>
      <c r="I1493" s="565"/>
      <c r="J1493" s="1589" t="str">
        <f>'Part IX A-Scoring Criteria'!J175</f>
        <v>&lt; Select applicable GICH &gt;</v>
      </c>
      <c r="K1493" s="1589"/>
      <c r="L1493" s="1589"/>
      <c r="M1493" s="565"/>
      <c r="N1493" s="942" t="s">
        <v>2119</v>
      </c>
      <c r="O1493" s="1067">
        <f>'Part IX A-Scoring Criteria'!O175</f>
        <v>0</v>
      </c>
      <c r="P1493" s="1122"/>
      <c r="Q1493" s="565"/>
    </row>
    <row r="1494" spans="1:21">
      <c r="A1494" s="949" t="s">
        <v>2122</v>
      </c>
      <c r="B1494" s="582" t="s">
        <v>3532</v>
      </c>
      <c r="C1494" s="565"/>
      <c r="D1494" s="582"/>
      <c r="E1494" s="582"/>
      <c r="F1494" s="582"/>
      <c r="G1494" s="582"/>
      <c r="H1494" s="565"/>
      <c r="I1494" s="565"/>
      <c r="J1494" s="565"/>
      <c r="K1494" s="565"/>
      <c r="L1494" s="582"/>
      <c r="M1494" s="582"/>
      <c r="N1494" s="942" t="s">
        <v>2122</v>
      </c>
      <c r="O1494" s="1067">
        <f>'Part IX A-Scoring Criteria'!O176</f>
        <v>0</v>
      </c>
      <c r="P1494" s="1122"/>
      <c r="Q1494" s="565"/>
    </row>
    <row r="1495" spans="1:21">
      <c r="A1495" s="949" t="s">
        <v>799</v>
      </c>
      <c r="B1495" s="582" t="s">
        <v>3533</v>
      </c>
      <c r="C1495" s="565"/>
      <c r="D1495" s="582"/>
      <c r="E1495" s="582"/>
      <c r="F1495" s="582"/>
      <c r="G1495" s="582"/>
      <c r="H1495" s="582"/>
      <c r="I1495" s="565"/>
      <c r="J1495" s="565"/>
      <c r="K1495" s="565"/>
      <c r="L1495" s="582"/>
      <c r="M1495" s="582"/>
      <c r="N1495" s="942" t="s">
        <v>799</v>
      </c>
      <c r="O1495" s="1067">
        <f>'Part IX A-Scoring Criteria'!O177</f>
        <v>0</v>
      </c>
      <c r="P1495" s="1122"/>
      <c r="Q1495" s="565"/>
    </row>
    <row r="1496" spans="1:21">
      <c r="A1496" s="949" t="s">
        <v>2254</v>
      </c>
      <c r="B1496" s="582" t="s">
        <v>3534</v>
      </c>
      <c r="C1496" s="565"/>
      <c r="D1496" s="582"/>
      <c r="E1496" s="582"/>
      <c r="F1496" s="582"/>
      <c r="G1496" s="582"/>
      <c r="H1496" s="582"/>
      <c r="I1496" s="582"/>
      <c r="J1496" s="582"/>
      <c r="K1496" s="582"/>
      <c r="L1496" s="582"/>
      <c r="M1496" s="582"/>
      <c r="N1496" s="942" t="s">
        <v>2254</v>
      </c>
      <c r="O1496" s="1067">
        <f>'Part IX A-Scoring Criteria'!O178</f>
        <v>0</v>
      </c>
      <c r="P1496" s="1122"/>
      <c r="Q1496" s="565"/>
    </row>
    <row r="1497" spans="1:21">
      <c r="A1497" s="1005" t="s">
        <v>3535</v>
      </c>
      <c r="B1497" s="582"/>
      <c r="C1497" s="565"/>
      <c r="D1497" s="582"/>
      <c r="E1497" s="582"/>
      <c r="F1497" s="582"/>
      <c r="G1497" s="582"/>
      <c r="H1497" s="582"/>
      <c r="I1497" s="582"/>
      <c r="J1497" s="582"/>
      <c r="K1497" s="582"/>
      <c r="L1497" s="582"/>
      <c r="M1497" s="582"/>
      <c r="N1497" s="942"/>
      <c r="O1497" s="942"/>
      <c r="P1497" s="942"/>
      <c r="Q1497" s="565"/>
    </row>
    <row r="1498" spans="1:21" ht="15">
      <c r="A1498" s="581"/>
      <c r="B1498" s="944" t="s">
        <v>269</v>
      </c>
      <c r="C1498" s="581"/>
      <c r="D1498" s="585"/>
      <c r="E1498" s="585"/>
      <c r="F1498" s="585"/>
      <c r="G1498" s="585"/>
      <c r="H1498" s="582"/>
      <c r="I1498" s="582"/>
      <c r="J1498" s="945" t="s">
        <v>1997</v>
      </c>
      <c r="K1498" s="969"/>
      <c r="L1498" s="969"/>
      <c r="M1498" s="826"/>
      <c r="N1498" s="830"/>
      <c r="O1498" s="965"/>
      <c r="P1498" s="1113"/>
      <c r="Q1498" s="969"/>
    </row>
    <row r="1499" spans="1:21" ht="15.75">
      <c r="A1499" s="1574">
        <f>'Part IX A-Scoring Criteria'!A181</f>
        <v>0</v>
      </c>
      <c r="B1499" s="1574"/>
      <c r="C1499" s="1574"/>
      <c r="D1499" s="1574"/>
      <c r="E1499" s="1574"/>
      <c r="F1499" s="1574"/>
      <c r="G1499" s="1574"/>
      <c r="H1499" s="1574"/>
      <c r="I1499" s="1574"/>
      <c r="J1499" s="1574"/>
      <c r="K1499" s="1574"/>
      <c r="L1499" s="1574"/>
      <c r="M1499" s="1574"/>
      <c r="N1499" s="1574"/>
      <c r="O1499" s="1574"/>
      <c r="P1499" s="1574"/>
      <c r="Q1499" s="970" t="s">
        <v>1332</v>
      </c>
    </row>
    <row r="1500" spans="1:21">
      <c r="N1500" s="830"/>
      <c r="O1500" s="1113"/>
      <c r="P1500" s="1113"/>
    </row>
    <row r="1501" spans="1:21" ht="15">
      <c r="A1501" s="966" t="s">
        <v>1785</v>
      </c>
      <c r="B1501" s="973" t="s">
        <v>3331</v>
      </c>
      <c r="C1501" s="969"/>
      <c r="D1501" s="974"/>
      <c r="E1501" s="974"/>
      <c r="F1501" s="582"/>
      <c r="G1501" s="582"/>
      <c r="H1501" s="582"/>
      <c r="I1501" s="903" t="s">
        <v>3249</v>
      </c>
      <c r="J1501" s="827"/>
      <c r="K1501" s="1001"/>
      <c r="L1501" s="903" t="str">
        <f>'Part I-Project Information'!$H$85</f>
        <v>Flexible</v>
      </c>
      <c r="M1501" s="965">
        <v>7</v>
      </c>
      <c r="N1501" s="826"/>
      <c r="O1501" s="965">
        <f>O1508+O1525+O1527</f>
        <v>4</v>
      </c>
      <c r="P1501" s="965">
        <f>P1508+P1525+P1527</f>
        <v>0</v>
      </c>
      <c r="Q1501" s="1082" t="s">
        <v>463</v>
      </c>
      <c r="U1501" s="965">
        <f>'Part IX A-Scoring Criteria'!O183</f>
        <v>4</v>
      </c>
    </row>
    <row r="1502" spans="1:21" ht="15">
      <c r="A1502" s="581"/>
      <c r="B1502" s="1083" t="s">
        <v>3545</v>
      </c>
      <c r="C1502" s="969"/>
      <c r="D1502" s="969"/>
      <c r="E1502" s="974"/>
      <c r="F1502" s="582"/>
      <c r="G1502" s="582"/>
      <c r="H1502" s="582"/>
      <c r="I1502" s="582"/>
      <c r="J1502" s="969"/>
      <c r="K1502" s="1057"/>
      <c r="L1502" s="1006"/>
      <c r="M1502" s="969"/>
      <c r="N1502" s="969"/>
      <c r="O1502" s="1059" t="s">
        <v>2683</v>
      </c>
      <c r="P1502" s="1059" t="s">
        <v>2683</v>
      </c>
      <c r="Q1502" s="969"/>
    </row>
    <row r="1503" spans="1:21" ht="15">
      <c r="A1503" s="565"/>
      <c r="B1503" s="1007" t="s">
        <v>2123</v>
      </c>
      <c r="C1503" s="565" t="s">
        <v>3329</v>
      </c>
      <c r="D1503" s="565"/>
      <c r="E1503" s="974"/>
      <c r="F1503" s="582"/>
      <c r="G1503" s="582"/>
      <c r="H1503" s="582"/>
      <c r="I1503" s="582"/>
      <c r="J1503" s="969"/>
      <c r="K1503" s="1057"/>
      <c r="L1503" s="1006" t="str">
        <f>IF(M1503&gt;14,"Over limit!","")</f>
        <v/>
      </c>
      <c r="M1503" s="565"/>
      <c r="N1503" s="983" t="s">
        <v>2123</v>
      </c>
      <c r="O1503" s="1067" t="str">
        <f>'Part IX A-Scoring Criteria'!O185</f>
        <v>Yes</v>
      </c>
      <c r="P1503" s="1122"/>
      <c r="Q1503" s="565"/>
    </row>
    <row r="1504" spans="1:21">
      <c r="A1504" s="565"/>
      <c r="B1504" s="1007" t="s">
        <v>2125</v>
      </c>
      <c r="C1504" s="565" t="s">
        <v>602</v>
      </c>
      <c r="D1504" s="565"/>
      <c r="E1504" s="565"/>
      <c r="F1504" s="565"/>
      <c r="G1504" s="565"/>
      <c r="H1504" s="565"/>
      <c r="I1504" s="565"/>
      <c r="J1504" s="565"/>
      <c r="K1504" s="565"/>
      <c r="L1504" s="565"/>
      <c r="M1504" s="565"/>
      <c r="N1504" s="983" t="s">
        <v>2125</v>
      </c>
      <c r="O1504" s="1067" t="str">
        <f>'Part IX A-Scoring Criteria'!O186</f>
        <v>Yes</v>
      </c>
      <c r="P1504" s="1122"/>
      <c r="Q1504" s="565"/>
    </row>
    <row r="1505" spans="1:17">
      <c r="A1505" s="565"/>
      <c r="B1505" s="1007" t="s">
        <v>2709</v>
      </c>
      <c r="C1505" s="565" t="s">
        <v>603</v>
      </c>
      <c r="D1505" s="565"/>
      <c r="E1505" s="565"/>
      <c r="F1505" s="565"/>
      <c r="G1505" s="565"/>
      <c r="H1505" s="565"/>
      <c r="I1505" s="565"/>
      <c r="J1505" s="565"/>
      <c r="K1505" s="565"/>
      <c r="L1505" s="565"/>
      <c r="M1505" s="565"/>
      <c r="N1505" s="983" t="s">
        <v>2709</v>
      </c>
      <c r="O1505" s="1067" t="str">
        <f>'Part IX A-Scoring Criteria'!O187</f>
        <v>Yes</v>
      </c>
      <c r="P1505" s="1122"/>
      <c r="Q1505" s="565"/>
    </row>
    <row r="1506" spans="1:17">
      <c r="A1506" s="565"/>
      <c r="B1506" s="1007" t="s">
        <v>1301</v>
      </c>
      <c r="C1506" s="565" t="s">
        <v>604</v>
      </c>
      <c r="D1506" s="565"/>
      <c r="E1506" s="565"/>
      <c r="F1506" s="565"/>
      <c r="G1506" s="565"/>
      <c r="H1506" s="565"/>
      <c r="I1506" s="565"/>
      <c r="J1506" s="565"/>
      <c r="K1506" s="565"/>
      <c r="L1506" s="565"/>
      <c r="M1506" s="565"/>
      <c r="N1506" s="983" t="s">
        <v>1301</v>
      </c>
      <c r="O1506" s="1067" t="str">
        <f>'Part IX A-Scoring Criteria'!O188</f>
        <v>Yes</v>
      </c>
      <c r="P1506" s="1122"/>
      <c r="Q1506" s="565"/>
    </row>
    <row r="1507" spans="1:17">
      <c r="A1507" s="565"/>
      <c r="B1507" s="1007" t="s">
        <v>1302</v>
      </c>
      <c r="C1507" s="565" t="s">
        <v>612</v>
      </c>
      <c r="D1507" s="565"/>
      <c r="E1507" s="565"/>
      <c r="F1507" s="565"/>
      <c r="G1507" s="565"/>
      <c r="H1507" s="565"/>
      <c r="I1507" s="565"/>
      <c r="J1507" s="565"/>
      <c r="K1507" s="565"/>
      <c r="L1507" s="565"/>
      <c r="M1507" s="565"/>
      <c r="N1507" s="983" t="s">
        <v>1302</v>
      </c>
      <c r="O1507" s="1067" t="str">
        <f>'Part IX A-Scoring Criteria'!O189</f>
        <v>Yes</v>
      </c>
      <c r="P1507" s="1122"/>
      <c r="Q1507" s="565"/>
    </row>
    <row r="1508" spans="1:17" ht="15">
      <c r="A1508" s="949" t="s">
        <v>2119</v>
      </c>
      <c r="B1508" s="1005" t="s">
        <v>1974</v>
      </c>
      <c r="C1508" s="969"/>
      <c r="D1508" s="1081"/>
      <c r="E1508" s="1081"/>
      <c r="F1508" s="581"/>
      <c r="G1508" s="993"/>
      <c r="H1508" s="993"/>
      <c r="I1508" s="993"/>
      <c r="J1508" s="1081"/>
      <c r="K1508" s="993"/>
      <c r="L1508" s="581"/>
      <c r="M1508" s="826">
        <v>4</v>
      </c>
      <c r="N1508" s="942" t="s">
        <v>2119</v>
      </c>
      <c r="O1508" s="922">
        <f>IF(AND($L1501="Flexible",$I1524&gt;=0.15), 4,IF(AND($L1501="Flexible",$I1524&gt;=0.1), 3,IF(AND($L1501="Flexible",$I1524&gt;=0.05), 2,IF(AND($L1501="Flexible",$I1524&gt;=0.02), 1,IF(AND($L1501="Rural",$I1524&gt;=0.1), 4,IF(AND($L1501="Rural",$I1524&gt;=0.05), 2,IF(AND($L1501="Rural",$I1524&gt;=0.02), 1,0)))))))</f>
        <v>3</v>
      </c>
      <c r="P1508" s="922">
        <f>IF(AND($L1501="Flexible",$L1524&gt;=0.15), 4,IF(AND($L1501="Flexible",$L1524&gt;=0.1), 3,IF(AND($L1501="Flexible",$L1524&gt;=0.05), 2,IF(AND($L1501="Flexible",$L1524&gt;=0.02), 1,IF(AND($L1501="Rural",$L1524&gt;=0.1), 4,IF(AND($L1501="Rural",$L1524&gt;=0.05), 2,IF(AND($L1501="Rural",$L1524&gt;=0.02), 1,0)))))))</f>
        <v>0</v>
      </c>
      <c r="Q1508" s="969"/>
    </row>
    <row r="1509" spans="1:17">
      <c r="B1509" s="996" t="s">
        <v>2123</v>
      </c>
      <c r="C1509" s="960" t="s">
        <v>2820</v>
      </c>
      <c r="I1509" s="1719" t="s">
        <v>2127</v>
      </c>
      <c r="J1509" s="1719"/>
      <c r="L1509" s="1076" t="s">
        <v>2127</v>
      </c>
      <c r="N1509" s="983" t="s">
        <v>2123</v>
      </c>
      <c r="O1509" s="1113"/>
      <c r="P1509" s="1113"/>
    </row>
    <row r="1510" spans="1:17" ht="15">
      <c r="A1510" s="910"/>
      <c r="B1510" s="1008"/>
      <c r="C1510" s="942" t="s">
        <v>2601</v>
      </c>
      <c r="D1510" s="582" t="s">
        <v>1580</v>
      </c>
      <c r="E1510" s="969"/>
      <c r="F1510" s="969"/>
      <c r="G1510" s="969"/>
      <c r="H1510" s="565"/>
      <c r="I1510" s="1720">
        <f>'Part IX A-Scoring Criteria'!I192</f>
        <v>0</v>
      </c>
      <c r="J1510" s="1720"/>
      <c r="K1510" s="957"/>
      <c r="L1510" s="1077">
        <f>'Part IX A-Scoring Criteria'!L192</f>
        <v>0</v>
      </c>
      <c r="M1510" s="826"/>
      <c r="N1510" s="942" t="s">
        <v>2601</v>
      </c>
      <c r="O1510" s="1067" t="str">
        <f>'Part IX A-Scoring Criteria'!O192</f>
        <v>No</v>
      </c>
      <c r="P1510" s="1122"/>
      <c r="Q1510" s="969"/>
    </row>
    <row r="1511" spans="1:17">
      <c r="A1511" s="929"/>
      <c r="B1511" s="830"/>
      <c r="C1511" s="954" t="s">
        <v>2602</v>
      </c>
      <c r="D1511" s="582" t="s">
        <v>1581</v>
      </c>
      <c r="H1511" s="565"/>
      <c r="I1511" s="1720">
        <f>'Part IX A-Scoring Criteria'!I193</f>
        <v>0</v>
      </c>
      <c r="J1511" s="1720"/>
      <c r="L1511" s="1077">
        <f>'Part IX A-Scoring Criteria'!L193</f>
        <v>0</v>
      </c>
      <c r="M1511" s="826"/>
      <c r="N1511" s="954" t="s">
        <v>2602</v>
      </c>
      <c r="O1511" s="1067" t="str">
        <f>'Part IX A-Scoring Criteria'!O193</f>
        <v>No</v>
      </c>
      <c r="P1511" s="1122"/>
    </row>
    <row r="1512" spans="1:17">
      <c r="B1512" s="1007"/>
      <c r="C1512" s="942" t="s">
        <v>2603</v>
      </c>
      <c r="D1512" s="582" t="s">
        <v>2819</v>
      </c>
      <c r="H1512" s="565"/>
      <c r="I1512" s="1720">
        <f>'Part IX A-Scoring Criteria'!I194</f>
        <v>0</v>
      </c>
      <c r="J1512" s="1720"/>
      <c r="L1512" s="1077">
        <f>'Part IX A-Scoring Criteria'!L194</f>
        <v>0</v>
      </c>
      <c r="M1512" s="826"/>
      <c r="N1512" s="942" t="s">
        <v>2603</v>
      </c>
      <c r="O1512" s="1067" t="str">
        <f>'Part IX A-Scoring Criteria'!O194</f>
        <v>No</v>
      </c>
      <c r="P1512" s="1122"/>
    </row>
    <row r="1513" spans="1:17">
      <c r="A1513" s="929"/>
      <c r="B1513" s="1007"/>
      <c r="C1513" s="942" t="s">
        <v>2604</v>
      </c>
      <c r="D1513" s="582" t="s">
        <v>3330</v>
      </c>
      <c r="I1513" s="1720">
        <f>'Part IX A-Scoring Criteria'!I195</f>
        <v>0</v>
      </c>
      <c r="J1513" s="1720"/>
      <c r="L1513" s="1077">
        <f>'Part IX A-Scoring Criteria'!L195</f>
        <v>0</v>
      </c>
      <c r="M1513" s="826"/>
      <c r="N1513" s="942" t="s">
        <v>2604</v>
      </c>
      <c r="O1513" s="1067" t="str">
        <f>'Part IX A-Scoring Criteria'!O195</f>
        <v>No</v>
      </c>
      <c r="P1513" s="1122"/>
    </row>
    <row r="1514" spans="1:17" ht="15">
      <c r="A1514" s="910"/>
      <c r="B1514" s="1007"/>
      <c r="C1514" s="954" t="s">
        <v>2605</v>
      </c>
      <c r="D1514" s="582" t="s">
        <v>1582</v>
      </c>
      <c r="E1514" s="969"/>
      <c r="F1514" s="969"/>
      <c r="G1514" s="969"/>
      <c r="H1514" s="565"/>
      <c r="I1514" s="1720">
        <f>'Part IX A-Scoring Criteria'!I196</f>
        <v>0</v>
      </c>
      <c r="J1514" s="1720"/>
      <c r="K1514" s="957"/>
      <c r="L1514" s="1077">
        <f>'Part IX A-Scoring Criteria'!L196</f>
        <v>0</v>
      </c>
      <c r="M1514" s="826"/>
      <c r="N1514" s="954" t="s">
        <v>2605</v>
      </c>
      <c r="O1514" s="1067" t="str">
        <f>'Part IX A-Scoring Criteria'!O196</f>
        <v>No</v>
      </c>
      <c r="P1514" s="1122"/>
      <c r="Q1514" s="969"/>
    </row>
    <row r="1515" spans="1:17">
      <c r="B1515" s="1007"/>
      <c r="C1515" s="942" t="s">
        <v>2621</v>
      </c>
      <c r="D1515" s="582" t="s">
        <v>1583</v>
      </c>
      <c r="H1515" s="565"/>
      <c r="I1515" s="1720">
        <f>'Part IX A-Scoring Criteria'!I197</f>
        <v>0</v>
      </c>
      <c r="J1515" s="1720"/>
      <c r="L1515" s="1077">
        <f>'Part IX A-Scoring Criteria'!L197</f>
        <v>0</v>
      </c>
      <c r="M1515" s="826"/>
      <c r="N1515" s="942" t="s">
        <v>2621</v>
      </c>
      <c r="O1515" s="1067" t="str">
        <f>'Part IX A-Scoring Criteria'!O197</f>
        <v>No</v>
      </c>
      <c r="P1515" s="1122"/>
    </row>
    <row r="1516" spans="1:17">
      <c r="A1516" s="929"/>
      <c r="B1516" s="1007"/>
      <c r="C1516" s="942" t="s">
        <v>2622</v>
      </c>
      <c r="D1516" s="582" t="s">
        <v>1584</v>
      </c>
      <c r="H1516" s="565"/>
      <c r="I1516" s="1720">
        <f>'Part IX A-Scoring Criteria'!I198</f>
        <v>0</v>
      </c>
      <c r="J1516" s="1720"/>
      <c r="L1516" s="1077">
        <f>'Part IX A-Scoring Criteria'!L198</f>
        <v>0</v>
      </c>
      <c r="M1516" s="826"/>
      <c r="N1516" s="942" t="s">
        <v>2622</v>
      </c>
      <c r="O1516" s="1067" t="str">
        <f>'Part IX A-Scoring Criteria'!O198</f>
        <v>No</v>
      </c>
      <c r="P1516" s="1122"/>
    </row>
    <row r="1517" spans="1:17">
      <c r="B1517" s="1007"/>
      <c r="C1517" s="942" t="s">
        <v>2623</v>
      </c>
      <c r="D1517" s="582" t="s">
        <v>2996</v>
      </c>
      <c r="H1517" s="565"/>
      <c r="I1517" s="1720">
        <f>'Part IX A-Scoring Criteria'!I199</f>
        <v>0</v>
      </c>
      <c r="J1517" s="1720"/>
      <c r="L1517" s="1077">
        <f>'Part IX A-Scoring Criteria'!L199</f>
        <v>0</v>
      </c>
      <c r="M1517" s="826"/>
      <c r="N1517" s="942" t="s">
        <v>2623</v>
      </c>
      <c r="O1517" s="1067" t="str">
        <f>'Part IX A-Scoring Criteria'!O199</f>
        <v>No</v>
      </c>
      <c r="P1517" s="1122"/>
    </row>
    <row r="1518" spans="1:17">
      <c r="A1518" s="929"/>
      <c r="B1518" s="1007"/>
      <c r="C1518" s="942" t="s">
        <v>2624</v>
      </c>
      <c r="D1518" s="582" t="s">
        <v>3536</v>
      </c>
      <c r="H1518" s="565"/>
      <c r="I1518" s="1720">
        <f>'Part IX A-Scoring Criteria'!I200</f>
        <v>0</v>
      </c>
      <c r="J1518" s="1720"/>
      <c r="L1518" s="1077">
        <f>'Part IX A-Scoring Criteria'!L200</f>
        <v>0</v>
      </c>
      <c r="M1518" s="826"/>
      <c r="N1518" s="942" t="s">
        <v>2624</v>
      </c>
      <c r="O1518" s="1067" t="str">
        <f>'Part IX A-Scoring Criteria'!O200</f>
        <v>No</v>
      </c>
      <c r="P1518" s="1122"/>
    </row>
    <row r="1519" spans="1:17">
      <c r="A1519" s="929"/>
      <c r="B1519" s="1007"/>
      <c r="C1519" s="942" t="s">
        <v>2625</v>
      </c>
      <c r="D1519" s="582" t="s">
        <v>3537</v>
      </c>
      <c r="H1519" s="565"/>
      <c r="I1519" s="1720">
        <f>'Part IX A-Scoring Criteria'!I201</f>
        <v>0</v>
      </c>
      <c r="J1519" s="1720"/>
      <c r="L1519" s="1077">
        <f>'Part IX A-Scoring Criteria'!L201</f>
        <v>0</v>
      </c>
      <c r="M1519" s="826"/>
      <c r="N1519" s="942" t="s">
        <v>2625</v>
      </c>
      <c r="O1519" s="1067" t="str">
        <f>'Part IX A-Scoring Criteria'!O201</f>
        <v>No</v>
      </c>
      <c r="P1519" s="1122"/>
    </row>
    <row r="1520" spans="1:17">
      <c r="A1520" s="929"/>
      <c r="B1520" s="1007"/>
      <c r="C1520" s="942" t="s">
        <v>634</v>
      </c>
      <c r="D1520" s="582" t="s">
        <v>3538</v>
      </c>
      <c r="H1520" s="565"/>
      <c r="I1520" s="1720">
        <f>'Part IX A-Scoring Criteria'!I202</f>
        <v>1150000</v>
      </c>
      <c r="J1520" s="1720"/>
      <c r="L1520" s="1077">
        <f>'Part IX A-Scoring Criteria'!L202</f>
        <v>0</v>
      </c>
      <c r="M1520" s="826"/>
      <c r="N1520" s="942" t="s">
        <v>634</v>
      </c>
      <c r="O1520" s="1067" t="str">
        <f>'Part IX A-Scoring Criteria'!O202</f>
        <v>Yes</v>
      </c>
      <c r="P1520" s="1122"/>
    </row>
    <row r="1521" spans="1:21">
      <c r="A1521" s="929"/>
      <c r="B1521" s="1007"/>
      <c r="D1521" s="1081" t="s">
        <v>2822</v>
      </c>
      <c r="H1521" s="565"/>
      <c r="I1521" s="1720">
        <f>SUM(I1510:J1520)</f>
        <v>1150000</v>
      </c>
      <c r="J1521" s="1720"/>
      <c r="L1521" s="1077">
        <f>SUM($L1510:$L1520)</f>
        <v>0</v>
      </c>
      <c r="M1521" s="1009"/>
      <c r="N1521" s="992"/>
      <c r="O1521" s="992"/>
      <c r="P1521" s="992"/>
    </row>
    <row r="1522" spans="1:21" ht="15">
      <c r="A1522" s="581"/>
      <c r="B1522" s="1008"/>
      <c r="C1522" s="969"/>
      <c r="D1522" s="582"/>
      <c r="E1522" s="582"/>
      <c r="F1522" s="1082"/>
      <c r="G1522" s="1082"/>
      <c r="H1522" s="1082"/>
      <c r="I1522" s="1082"/>
      <c r="J1522" s="1081"/>
      <c r="K1522" s="1081"/>
      <c r="L1522" s="1081"/>
      <c r="M1522" s="1057"/>
      <c r="N1522" s="1082"/>
      <c r="O1522" s="1113"/>
      <c r="P1522" s="965"/>
      <c r="Q1522" s="969"/>
    </row>
    <row r="1523" spans="1:21">
      <c r="B1523" s="996" t="s">
        <v>2125</v>
      </c>
      <c r="C1523" s="960" t="s">
        <v>2821</v>
      </c>
      <c r="D1523" s="1081" t="s">
        <v>2823</v>
      </c>
      <c r="I1523" s="1720">
        <f>'Part IV-Uses of Funds'!$G$130</f>
        <v>10647197</v>
      </c>
      <c r="J1523" s="1720"/>
    </row>
    <row r="1524" spans="1:21">
      <c r="B1524" s="983"/>
      <c r="C1524" s="1010"/>
      <c r="D1524" s="1064" t="s">
        <v>2824</v>
      </c>
      <c r="G1524" s="1077"/>
      <c r="H1524" s="1077"/>
      <c r="I1524" s="1721">
        <f>IF($I1523=0,0,$I1521/$I1523)</f>
        <v>0.10800964798528664</v>
      </c>
      <c r="J1524" s="1721"/>
      <c r="L1524" s="1071">
        <f>IF($I1523=0,0,$L1521/$I1523)</f>
        <v>0</v>
      </c>
    </row>
    <row r="1525" spans="1:21" ht="15">
      <c r="A1525" s="949" t="s">
        <v>2122</v>
      </c>
      <c r="B1525" s="1005" t="s">
        <v>2911</v>
      </c>
      <c r="C1525" s="969"/>
      <c r="D1525" s="582"/>
      <c r="E1525" s="582"/>
      <c r="F1525" s="1082"/>
      <c r="G1525" s="969"/>
      <c r="H1525" s="582"/>
      <c r="I1525" s="1082"/>
      <c r="J1525" s="1081"/>
      <c r="K1525" s="1081"/>
      <c r="L1525" s="1081"/>
      <c r="M1525" s="826">
        <v>1</v>
      </c>
      <c r="N1525" s="942" t="s">
        <v>2122</v>
      </c>
      <c r="O1525" s="1067">
        <f>'Part IX A-Scoring Criteria'!O207</f>
        <v>1</v>
      </c>
      <c r="P1525" s="1082"/>
      <c r="Q1525" s="984" t="s">
        <v>2948</v>
      </c>
    </row>
    <row r="1526" spans="1:21" ht="15">
      <c r="A1526" s="949"/>
      <c r="B1526" s="582" t="s">
        <v>3332</v>
      </c>
      <c r="C1526" s="582"/>
      <c r="D1526" s="582"/>
      <c r="E1526" s="582"/>
      <c r="F1526" s="582"/>
      <c r="G1526" s="582"/>
      <c r="H1526" s="582"/>
      <c r="I1526" s="582"/>
      <c r="J1526" s="582"/>
      <c r="K1526" s="582"/>
      <c r="L1526" s="582"/>
      <c r="M1526" s="582"/>
      <c r="N1526" s="582"/>
      <c r="O1526" s="1067" t="str">
        <f>'Part IX A-Scoring Criteria'!O208</f>
        <v>Yes</v>
      </c>
      <c r="P1526" s="1122"/>
      <c r="Q1526" s="969"/>
    </row>
    <row r="1527" spans="1:21" ht="15">
      <c r="A1527" s="949" t="s">
        <v>799</v>
      </c>
      <c r="B1527" s="1005" t="s">
        <v>686</v>
      </c>
      <c r="C1527" s="969"/>
      <c r="D1527" s="582"/>
      <c r="E1527" s="582"/>
      <c r="F1527" s="1082"/>
      <c r="G1527" s="1082"/>
      <c r="H1527" s="1082"/>
      <c r="I1527" s="1082"/>
      <c r="J1527" s="1081"/>
      <c r="K1527" s="1081"/>
      <c r="L1527" s="1081"/>
      <c r="M1527" s="826">
        <v>2</v>
      </c>
      <c r="N1527" s="942" t="s">
        <v>799</v>
      </c>
      <c r="O1527" s="922">
        <f>IF(AND($L1501="Flexible",$K1528&gt;=0.1), 2,IF(AND($L1501="Flexible",$K1528&gt;=0.05), 1,IF(AND($L1501="Rural",$K1528&gt;=0.05), 2,0)))</f>
        <v>0</v>
      </c>
      <c r="P1527" s="922">
        <f>IF(AND($L1501="Flexible",$M1528&gt;=0.1), 2,IF(AND($L1501="Flexible",$M1528&gt;=0.05), 1,IF(AND($L1501="Rural",$M1528&gt;=0.05), 2,0)))</f>
        <v>0</v>
      </c>
      <c r="Q1527" s="969"/>
    </row>
    <row r="1528" spans="1:21">
      <c r="B1528" s="582" t="s">
        <v>3636</v>
      </c>
      <c r="E1528" s="1059"/>
      <c r="I1528" s="1722">
        <f>'Part IX A-Scoring Criteria'!I210</f>
        <v>0</v>
      </c>
      <c r="J1528" s="1722"/>
      <c r="K1528" s="1071">
        <f>IF($I1528=0,0,$I1528/$I1523)</f>
        <v>0</v>
      </c>
      <c r="L1528" s="1077"/>
      <c r="M1528" s="1721">
        <f>IF($L1528=0,0,$L1528/$I1523)</f>
        <v>0</v>
      </c>
      <c r="N1528" s="1721"/>
      <c r="O1528" s="983"/>
      <c r="P1528" s="983"/>
    </row>
    <row r="1529" spans="1:21" ht="15">
      <c r="A1529" s="910"/>
      <c r="B1529" s="582" t="s">
        <v>3382</v>
      </c>
      <c r="C1529" s="969"/>
      <c r="D1529" s="969"/>
      <c r="E1529" s="1583">
        <f>'Part IX A-Scoring Criteria'!E211</f>
        <v>0</v>
      </c>
      <c r="F1529" s="1583"/>
      <c r="G1529" s="1583"/>
      <c r="H1529" s="1583"/>
      <c r="I1529" s="1583"/>
      <c r="J1529" s="1583"/>
      <c r="K1529" s="1059" t="s">
        <v>1382</v>
      </c>
      <c r="L1529" s="1620" t="str">
        <f>'Part IX A-Scoring Criteria'!L211</f>
        <v>&lt;Select unrelated 3rd party type&gt;</v>
      </c>
      <c r="M1529" s="1620"/>
      <c r="N1529" s="1620"/>
      <c r="O1529" s="969"/>
      <c r="P1529" s="969"/>
      <c r="Q1529" s="969"/>
    </row>
    <row r="1530" spans="1:21">
      <c r="A1530" s="929"/>
      <c r="B1530" s="948" t="s">
        <v>2511</v>
      </c>
      <c r="D1530" s="1072"/>
      <c r="E1530" s="1581">
        <f>'Part IX A-Scoring Criteria'!E212</f>
        <v>0</v>
      </c>
      <c r="F1530" s="1723"/>
      <c r="G1530" s="1723"/>
      <c r="H1530" s="1723"/>
      <c r="I1530" s="1723"/>
      <c r="J1530" s="1723"/>
      <c r="K1530" s="1723"/>
      <c r="L1530" s="1723"/>
      <c r="M1530" s="1723"/>
      <c r="N1530" s="1723"/>
      <c r="O1530" s="1723"/>
      <c r="P1530" s="1723"/>
    </row>
    <row r="1531" spans="1:21" ht="15">
      <c r="A1531" s="581"/>
      <c r="B1531" s="944" t="s">
        <v>269</v>
      </c>
      <c r="C1531" s="581"/>
      <c r="D1531" s="585"/>
      <c r="E1531" s="585"/>
      <c r="F1531" s="585"/>
      <c r="G1531" s="585"/>
      <c r="H1531" s="582"/>
      <c r="I1531" s="582"/>
      <c r="J1531" s="582"/>
      <c r="K1531" s="582"/>
      <c r="L1531" s="969"/>
      <c r="M1531" s="826"/>
      <c r="N1531" s="830"/>
      <c r="O1531" s="965"/>
      <c r="P1531" s="1113"/>
      <c r="Q1531" s="969"/>
    </row>
    <row r="1532" spans="1:21" ht="15.75">
      <c r="A1532" s="1574" t="str">
        <f>'Part IX A-Scoring Criteria'!A214</f>
        <v xml:space="preserve">GOVERNMENT LOANS - Decatur Housing Authority will make a Construction/Permanent Loan (DHA Loan) to the project in the amount of $1,150,000. The DHA Loan will close at the initial closing of the partnership and its proceeds will be used to pay or repay the cost of resident relocation as well as all building demolition that may have been incurred prior to the initial closing. The DHA loan is second priority to the construction loan. During the remainder of the construction period, the unfunded balance of the DHA loan will be available to fund construction and other project costs per the DHA Loan Agreement. The DHA Loan will be fully funded to $1,150,000 not later than the payoff of the construction loan at which time the loan will convert to an amortizing first mortgage with a term of 20 years. During the construction phase no payments shall be due and interest will accrue and be added to the outstanding principal balance. Upon payoff of the construction loan and other terms contained in the partnership documents and construction loan documents, the DHA Loan will convert to its permanent phase at which time monthly principle and interest payments will be set equal to an amount such that the balance of the all principal and interest will be repaid no later than 20 years from the date of conversion. The interest rate will be set below the appropriate AFR at the initial closing and reset at the conversion to the permanent phase.  See the DHA Loan Commitment in Tab 34 for other terms and details of the loan.
GROUND LEASE FROM LOCAL PHA - The DHA has entered into an Option to Lease the site to the Partnership for a term of not less than 45 years. For other details, see the Option to Lease agreement in Tab 8 of this application package.
</v>
      </c>
      <c r="B1532" s="1574"/>
      <c r="C1532" s="1574"/>
      <c r="D1532" s="1574"/>
      <c r="E1532" s="1574"/>
      <c r="F1532" s="1574"/>
      <c r="G1532" s="1574"/>
      <c r="H1532" s="1574"/>
      <c r="I1532" s="1574"/>
      <c r="J1532" s="1574"/>
      <c r="K1532" s="1574"/>
      <c r="L1532" s="1574"/>
      <c r="M1532" s="1574"/>
      <c r="N1532" s="1574"/>
      <c r="O1532" s="1574"/>
      <c r="P1532" s="1574"/>
      <c r="Q1532" s="970" t="s">
        <v>1332</v>
      </c>
    </row>
    <row r="1533" spans="1:21" ht="15">
      <c r="A1533" s="581"/>
      <c r="B1533" s="944" t="s">
        <v>1997</v>
      </c>
      <c r="C1533" s="581"/>
      <c r="D1533" s="944"/>
      <c r="E1533" s="1060"/>
      <c r="F1533" s="1060"/>
      <c r="G1533" s="1060"/>
      <c r="H1533" s="1060"/>
      <c r="I1533" s="1060"/>
      <c r="J1533" s="1060"/>
      <c r="K1533" s="1060"/>
      <c r="L1533" s="1060"/>
      <c r="M1533" s="1060"/>
      <c r="N1533" s="971"/>
      <c r="O1533" s="1124"/>
      <c r="P1533" s="1082"/>
      <c r="Q1533" s="975"/>
    </row>
    <row r="1534" spans="1:21" ht="15.75">
      <c r="A1534" s="1574"/>
      <c r="B1534" s="1574"/>
      <c r="C1534" s="1574"/>
      <c r="D1534" s="1574"/>
      <c r="E1534" s="1574"/>
      <c r="F1534" s="1574"/>
      <c r="G1534" s="1574"/>
      <c r="H1534" s="1574"/>
      <c r="I1534" s="1574"/>
      <c r="J1534" s="1574"/>
      <c r="K1534" s="1574"/>
      <c r="L1534" s="1574"/>
      <c r="M1534" s="1574"/>
      <c r="N1534" s="1574"/>
      <c r="O1534" s="1574"/>
      <c r="P1534" s="1574"/>
      <c r="Q1534" s="970" t="s">
        <v>1332</v>
      </c>
    </row>
    <row r="1535" spans="1:21">
      <c r="N1535" s="830"/>
      <c r="O1535" s="1113"/>
      <c r="P1535" s="1113"/>
    </row>
    <row r="1536" spans="1:21" ht="15">
      <c r="A1536" s="966" t="s">
        <v>1787</v>
      </c>
      <c r="B1536" s="967" t="s">
        <v>1790</v>
      </c>
      <c r="C1536" s="942"/>
      <c r="D1536" s="969"/>
      <c r="E1536" s="982"/>
      <c r="F1536" s="969"/>
      <c r="G1536" s="582"/>
      <c r="H1536" s="582"/>
      <c r="I1536" s="582"/>
      <c r="J1536" s="585"/>
      <c r="K1536" s="585"/>
      <c r="L1536" s="992" t="str">
        <f>IF(OR($O1536=$M1536,$O1536=0,$O1536=""),"","* * Check Score! * *")</f>
        <v/>
      </c>
      <c r="M1536" s="1082">
        <v>3</v>
      </c>
      <c r="N1536" s="993"/>
      <c r="O1536" s="826"/>
      <c r="P1536" s="1082"/>
      <c r="Q1536" s="1082" t="s">
        <v>463</v>
      </c>
      <c r="U1536" s="965">
        <f>'Part IX A-Scoring Criteria'!O218</f>
        <v>0</v>
      </c>
    </row>
    <row r="1537" spans="1:21" s="969" customFormat="1" ht="12" customHeight="1">
      <c r="A1537" s="949" t="s">
        <v>2119</v>
      </c>
      <c r="B1537" s="903" t="s">
        <v>2998</v>
      </c>
      <c r="D1537" s="581"/>
      <c r="G1537" s="565" t="s">
        <v>2505</v>
      </c>
      <c r="M1537" s="826">
        <v>3</v>
      </c>
      <c r="N1537" s="942" t="s">
        <v>2119</v>
      </c>
      <c r="O1537" s="1067" t="str">
        <f>'Part IX A-Scoring Criteria'!O219</f>
        <v>No</v>
      </c>
      <c r="P1537" s="1122"/>
      <c r="R1537" s="992"/>
    </row>
    <row r="1538" spans="1:21" s="969" customFormat="1" ht="23.25" customHeight="1">
      <c r="A1538" s="974" t="s">
        <v>1440</v>
      </c>
      <c r="B1538" s="1724" t="s">
        <v>3601</v>
      </c>
      <c r="C1538" s="1725"/>
      <c r="D1538" s="1725"/>
      <c r="E1538" s="1725"/>
      <c r="F1538" s="1725"/>
      <c r="G1538" s="1725"/>
      <c r="H1538" s="1725"/>
      <c r="I1538" s="1725"/>
      <c r="J1538" s="1725"/>
      <c r="K1538" s="1725"/>
      <c r="L1538" s="1725"/>
      <c r="M1538" s="826"/>
      <c r="N1538" s="830"/>
      <c r="O1538" s="1067" t="str">
        <f>'Part IX A-Scoring Criteria'!O220</f>
        <v>N/a</v>
      </c>
      <c r="P1538" s="1122"/>
    </row>
    <row r="1539" spans="1:21" s="948" customFormat="1" ht="3" customHeight="1">
      <c r="B1539" s="997"/>
      <c r="C1539" s="1066"/>
      <c r="D1539" s="1066"/>
      <c r="E1539" s="1066"/>
      <c r="F1539" s="1066"/>
      <c r="G1539" s="1066"/>
      <c r="H1539" s="1066"/>
      <c r="I1539" s="1066"/>
      <c r="J1539" s="1066"/>
      <c r="K1539" s="1066"/>
      <c r="L1539" s="1066"/>
      <c r="M1539" s="1066"/>
      <c r="N1539" s="1066"/>
      <c r="O1539" s="1066"/>
      <c r="P1539" s="1066"/>
    </row>
    <row r="1540" spans="1:21" s="969" customFormat="1" ht="12" customHeight="1">
      <c r="A1540" s="949" t="s">
        <v>2122</v>
      </c>
      <c r="B1540" s="903" t="s">
        <v>2997</v>
      </c>
      <c r="D1540" s="581"/>
      <c r="E1540" s="581"/>
      <c r="F1540" s="581"/>
      <c r="G1540" s="903" t="s">
        <v>3249</v>
      </c>
      <c r="I1540" s="1068" t="str">
        <f>'Part I-Project Information'!$H$85</f>
        <v>Flexible</v>
      </c>
      <c r="R1540" s="992"/>
    </row>
    <row r="1541" spans="1:21" s="969" customFormat="1" ht="12" customHeight="1">
      <c r="A1541" s="949"/>
      <c r="B1541" s="565" t="s">
        <v>2505</v>
      </c>
      <c r="D1541" s="581"/>
      <c r="M1541" s="1008">
        <v>3</v>
      </c>
      <c r="N1541" s="942" t="s">
        <v>2122</v>
      </c>
      <c r="O1541" s="1067" t="str">
        <f>'Part IX A-Scoring Criteria'!O223</f>
        <v>Yes</v>
      </c>
      <c r="P1541" s="1122"/>
      <c r="R1541" s="992"/>
    </row>
    <row r="1542" spans="1:21" s="969" customFormat="1" ht="23.25" customHeight="1">
      <c r="A1542" s="974"/>
      <c r="B1542" s="1724" t="s">
        <v>3601</v>
      </c>
      <c r="C1542" s="1725"/>
      <c r="D1542" s="1725"/>
      <c r="E1542" s="1725"/>
      <c r="F1542" s="1725"/>
      <c r="G1542" s="1725"/>
      <c r="H1542" s="1725"/>
      <c r="I1542" s="1725"/>
      <c r="J1542" s="1725"/>
      <c r="K1542" s="1725"/>
      <c r="L1542" s="1725"/>
      <c r="M1542" s="826"/>
      <c r="N1542" s="830"/>
      <c r="O1542" s="1067" t="str">
        <f>'Part IX A-Scoring Criteria'!O224</f>
        <v>Yes</v>
      </c>
      <c r="P1542" s="1122"/>
    </row>
    <row r="1543" spans="1:21" ht="15">
      <c r="A1543" s="581"/>
      <c r="B1543" s="944" t="s">
        <v>269</v>
      </c>
      <c r="C1543" s="581"/>
      <c r="D1543" s="585"/>
      <c r="E1543" s="585"/>
      <c r="F1543" s="585"/>
      <c r="G1543" s="585"/>
      <c r="H1543" s="582"/>
      <c r="I1543" s="582"/>
      <c r="J1543" s="582"/>
      <c r="K1543" s="582"/>
      <c r="L1543" s="969"/>
      <c r="M1543" s="826"/>
      <c r="N1543" s="830"/>
      <c r="O1543" s="965"/>
      <c r="P1543" s="1113"/>
      <c r="Q1543" s="969"/>
    </row>
    <row r="1544" spans="1:21" ht="15.75">
      <c r="A1544" s="1574" t="str">
        <f>'Part IX A-Scoring Criteria'!A226</f>
        <v>DECATUR’S COMMUNITY DRIVEN HOUSING INITIATIVE - Located across the street from the $38.3 million revitalization of the Beacon Center, Trinity Walk (Phases I and II) will strategically impact in the City of Decatur's 38-acre Beacon Urban Redevelopment Area. On November 5, 2012, the City of Decatur adopted the Beacon Urban Redevelopment District (Beacon URD) under the Urban Redevelopment Act (O.C.G.A. 36-61-1 et. seq.)  The Gateway community, being renamed Trinity Walk, is included in the boundaries of the Beacon URD being listed specifically by address. Determining the necessary comprehensive community-driven housing strategy that would support housing efforts, including Gateway, the City Planners and DHA focused on the key aspects of the Beacon URD to enhance this area of the City. The Beacon Complex Project (currently under construction directly across the street from Trinity Walk) includes the repurposing and adaptive re-use of two existing historical buildings and one new construction building that includes the Police and Municipal Court Facility, Active Living Building, and City Schools of Decatur Administrative Building totaling 84,377 square feet.  The Active Living Building will have a large multi-purpose space with moveable partitions, rehearsal studio, quiet room, offices, gymnasium, and history museum space to support artists and interested citizens in the discovery of artistic venture in this non-profit wing of the building.  Much of the existing gym, library, and school building would become a “living museum” honoring alumni of the Herring Street, Trinity High, and Beacon Schools.  An outdoor lawn and plaza area would be available for performances, movies and other community events.  As a part of the revitalization of the Beacon Complex, the adjacent Ebster City Park and pool was rehabilitated.  Ebster Park includes basketball courts, a playground, a small pavilion with picnic tables and grills.  The community swimming pool and bath house features umbrellas and places to relax in the summer.  During the summer, Day Camps are offered to the youth of Decatur that will be available to children living at Trinity Walk.  See Tab 35.</v>
      </c>
      <c r="B1544" s="1574"/>
      <c r="C1544" s="1574"/>
      <c r="D1544" s="1574"/>
      <c r="E1544" s="1574"/>
      <c r="F1544" s="1574"/>
      <c r="G1544" s="1574"/>
      <c r="H1544" s="1574"/>
      <c r="I1544" s="1574"/>
      <c r="J1544" s="1574"/>
      <c r="K1544" s="1574"/>
      <c r="L1544" s="1574"/>
      <c r="M1544" s="1574"/>
      <c r="N1544" s="1574"/>
      <c r="O1544" s="1574"/>
      <c r="P1544" s="1574"/>
      <c r="Q1544" s="970" t="s">
        <v>1332</v>
      </c>
    </row>
    <row r="1545" spans="1:21" ht="15">
      <c r="A1545" s="581"/>
      <c r="B1545" s="944" t="s">
        <v>1997</v>
      </c>
      <c r="C1545" s="581"/>
      <c r="D1545" s="944"/>
      <c r="E1545" s="1060"/>
      <c r="F1545" s="1060"/>
      <c r="G1545" s="1060"/>
      <c r="H1545" s="1060"/>
      <c r="I1545" s="1060"/>
      <c r="J1545" s="1060"/>
      <c r="K1545" s="1060"/>
      <c r="L1545" s="1060"/>
      <c r="M1545" s="1060"/>
      <c r="N1545" s="971"/>
      <c r="O1545" s="1124"/>
      <c r="P1545" s="1082"/>
      <c r="Q1545" s="975"/>
    </row>
    <row r="1546" spans="1:21" ht="15.75">
      <c r="A1546" s="1574"/>
      <c r="B1546" s="1574"/>
      <c r="C1546" s="1574"/>
      <c r="D1546" s="1574"/>
      <c r="E1546" s="1574"/>
      <c r="F1546" s="1574"/>
      <c r="G1546" s="1574"/>
      <c r="H1546" s="1574"/>
      <c r="I1546" s="1574"/>
      <c r="J1546" s="1574"/>
      <c r="K1546" s="1574"/>
      <c r="L1546" s="1574"/>
      <c r="M1546" s="1574"/>
      <c r="N1546" s="1574"/>
      <c r="O1546" s="1574"/>
      <c r="P1546" s="1574"/>
      <c r="Q1546" s="970" t="s">
        <v>1332</v>
      </c>
    </row>
    <row r="1547" spans="1:21" ht="15">
      <c r="A1547" s="581"/>
      <c r="B1547" s="581"/>
      <c r="C1547" s="1063"/>
      <c r="D1547" s="1063"/>
      <c r="E1547" s="1063"/>
      <c r="F1547" s="1063"/>
      <c r="G1547" s="1063"/>
      <c r="H1547" s="1063"/>
      <c r="I1547" s="1063"/>
      <c r="J1547" s="1063"/>
      <c r="K1547" s="1063"/>
      <c r="L1547" s="1063"/>
      <c r="M1547" s="1063"/>
      <c r="N1547" s="980"/>
      <c r="O1547" s="981"/>
      <c r="P1547" s="1082"/>
      <c r="Q1547" s="969"/>
    </row>
    <row r="1548" spans="1:21" ht="15">
      <c r="A1548" s="1000" t="s">
        <v>1788</v>
      </c>
      <c r="B1548" s="973" t="s">
        <v>2971</v>
      </c>
      <c r="C1548" s="974"/>
      <c r="D1548" s="957"/>
      <c r="E1548" s="582"/>
      <c r="F1548" s="969"/>
      <c r="G1548" s="969"/>
      <c r="H1548" s="969"/>
      <c r="I1548" s="969"/>
      <c r="J1548" s="998"/>
      <c r="K1548" s="969"/>
      <c r="L1548" s="969"/>
      <c r="M1548" s="1082">
        <v>3</v>
      </c>
      <c r="N1548" s="826"/>
      <c r="O1548" s="1082">
        <f>MIN($M1548,O1549+O1553)</f>
        <v>0</v>
      </c>
      <c r="P1548" s="1082">
        <f>MIN($M1548,P1549+P1553)</f>
        <v>0</v>
      </c>
      <c r="Q1548" s="1082" t="s">
        <v>463</v>
      </c>
      <c r="U1548" s="965">
        <f>'Part IX A-Scoring Criteria'!O230</f>
        <v>0</v>
      </c>
    </row>
    <row r="1549" spans="1:21" ht="15">
      <c r="A1549" s="949" t="s">
        <v>2119</v>
      </c>
      <c r="B1549" s="903" t="s">
        <v>3334</v>
      </c>
      <c r="C1549" s="969"/>
      <c r="D1549" s="581"/>
      <c r="E1549" s="581"/>
      <c r="F1549" s="581"/>
      <c r="G1549" s="969"/>
      <c r="H1549" s="969"/>
      <c r="I1549" s="969"/>
      <c r="J1549" s="956" t="s">
        <v>3546</v>
      </c>
      <c r="K1549" s="1011">
        <f>'Part VI-Revenues &amp; Expenses'!$I$57/'Part VI-Revenues &amp; Expenses'!$M$58</f>
        <v>7.2463768115942032E-2</v>
      </c>
      <c r="L1549" s="992" t="str">
        <f>IF(OR($O1549=$M1549,$O1549=0,$O1549=""),"","* * Check Score! * *")</f>
        <v/>
      </c>
      <c r="M1549" s="826">
        <v>3</v>
      </c>
      <c r="N1549" s="942" t="s">
        <v>2119</v>
      </c>
      <c r="O1549" s="1067">
        <f>'Part IX A-Scoring Criteria'!O231</f>
        <v>0</v>
      </c>
      <c r="P1549" s="1082"/>
      <c r="Q1549" s="984" t="s">
        <v>2948</v>
      </c>
    </row>
    <row r="1550" spans="1:21">
      <c r="A1550" s="953"/>
      <c r="B1550" s="997" t="s">
        <v>2123</v>
      </c>
      <c r="C1550" s="1580" t="s">
        <v>3335</v>
      </c>
      <c r="D1550" s="1580"/>
      <c r="E1550" s="1580"/>
      <c r="F1550" s="1580"/>
      <c r="G1550" s="1580"/>
      <c r="H1550" s="1580"/>
      <c r="I1550" s="1580"/>
      <c r="J1550" s="1580"/>
      <c r="K1550" s="1580"/>
      <c r="L1550" s="1580"/>
      <c r="M1550" s="1580"/>
      <c r="N1550" s="990" t="s">
        <v>2123</v>
      </c>
      <c r="O1550" s="1067">
        <f>'Part IX A-Scoring Criteria'!O232</f>
        <v>0</v>
      </c>
      <c r="P1550" s="1067"/>
      <c r="Q1550" s="1067"/>
    </row>
    <row r="1551" spans="1:21">
      <c r="A1551" s="974" t="s">
        <v>1440</v>
      </c>
      <c r="B1551" s="997" t="s">
        <v>2125</v>
      </c>
      <c r="C1551" s="1580" t="s">
        <v>3336</v>
      </c>
      <c r="D1551" s="1580"/>
      <c r="E1551" s="1580"/>
      <c r="F1551" s="1580"/>
      <c r="G1551" s="1580"/>
      <c r="H1551" s="1580"/>
      <c r="I1551" s="1580"/>
      <c r="J1551" s="1580"/>
      <c r="K1551" s="1580"/>
      <c r="L1551" s="1580"/>
      <c r="M1551" s="1580"/>
      <c r="N1551" s="990" t="s">
        <v>2125</v>
      </c>
      <c r="O1551" s="1067">
        <f>'Part IX A-Scoring Criteria'!O233</f>
        <v>0</v>
      </c>
      <c r="P1551" s="1122"/>
      <c r="Q1551" s="948"/>
    </row>
    <row r="1552" spans="1:21">
      <c r="A1552" s="948"/>
      <c r="B1552" s="997"/>
      <c r="C1552" s="1066"/>
      <c r="D1552" s="1066"/>
      <c r="E1552" s="1066"/>
      <c r="F1552" s="1066"/>
      <c r="G1552" s="1066"/>
      <c r="H1552" s="1066"/>
      <c r="I1552" s="1066"/>
      <c r="J1552" s="1066"/>
      <c r="K1552" s="1066"/>
      <c r="L1552" s="1066"/>
      <c r="M1552" s="1066"/>
      <c r="N1552" s="1066"/>
      <c r="O1552" s="1066"/>
      <c r="P1552" s="1066"/>
      <c r="Q1552" s="948"/>
    </row>
    <row r="1553" spans="1:21" ht="15">
      <c r="A1553" s="949" t="s">
        <v>2122</v>
      </c>
      <c r="B1553" s="903" t="s">
        <v>2972</v>
      </c>
      <c r="C1553" s="969"/>
      <c r="D1553" s="1081"/>
      <c r="E1553" s="969"/>
      <c r="F1553" s="582" t="s">
        <v>3337</v>
      </c>
      <c r="G1553" s="969"/>
      <c r="H1553" s="1620" t="str">
        <f>'Part IX A-Scoring Criteria'!H235</f>
        <v>&lt;&lt;Select applicable documentation&gt;&gt;</v>
      </c>
      <c r="I1553" s="1620"/>
      <c r="J1553" s="1620"/>
      <c r="K1553" s="1620"/>
      <c r="L1553" s="992" t="str">
        <f>IF(OR($O1553=$M1553,$O1553=0,$O1553=""),"","* * Check Score! * *")</f>
        <v/>
      </c>
      <c r="M1553" s="826">
        <v>3</v>
      </c>
      <c r="N1553" s="942" t="s">
        <v>2122</v>
      </c>
      <c r="O1553" s="1067">
        <f>'Part IX A-Scoring Criteria'!O235</f>
        <v>0</v>
      </c>
      <c r="P1553" s="1082"/>
      <c r="Q1553" s="984" t="s">
        <v>2948</v>
      </c>
    </row>
    <row r="1554" spans="1:21" ht="15">
      <c r="A1554" s="581"/>
      <c r="B1554" s="944" t="s">
        <v>269</v>
      </c>
      <c r="C1554" s="581"/>
      <c r="D1554" s="585"/>
      <c r="E1554" s="585"/>
      <c r="F1554" s="585"/>
      <c r="G1554" s="585"/>
      <c r="H1554" s="582"/>
      <c r="I1554" s="582"/>
      <c r="J1554" s="582"/>
      <c r="K1554" s="582"/>
      <c r="L1554" s="969"/>
      <c r="M1554" s="826"/>
      <c r="N1554" s="830"/>
      <c r="O1554" s="965"/>
      <c r="P1554" s="1113"/>
      <c r="Q1554" s="969"/>
    </row>
    <row r="1555" spans="1:21" ht="15.75">
      <c r="A1555" s="1574">
        <f>'Part IX A-Scoring Criteria'!A237</f>
        <v>0</v>
      </c>
      <c r="B1555" s="1574"/>
      <c r="C1555" s="1574"/>
      <c r="D1555" s="1574"/>
      <c r="E1555" s="1574"/>
      <c r="F1555" s="1574"/>
      <c r="G1555" s="1574"/>
      <c r="H1555" s="1574"/>
      <c r="I1555" s="1574"/>
      <c r="J1555" s="1574"/>
      <c r="K1555" s="1574"/>
      <c r="L1555" s="1574"/>
      <c r="M1555" s="1574"/>
      <c r="N1555" s="1574"/>
      <c r="O1555" s="1574"/>
      <c r="P1555" s="1574"/>
      <c r="Q1555" s="970" t="s">
        <v>1332</v>
      </c>
    </row>
    <row r="1556" spans="1:21" ht="15">
      <c r="A1556" s="969"/>
      <c r="B1556" s="945" t="s">
        <v>1997</v>
      </c>
      <c r="C1556" s="581"/>
      <c r="D1556" s="945"/>
      <c r="E1556" s="1063"/>
      <c r="F1556" s="1063"/>
      <c r="G1556" s="1063"/>
      <c r="H1556" s="1063"/>
      <c r="I1556" s="1063"/>
      <c r="J1556" s="1063"/>
      <c r="K1556" s="1063"/>
      <c r="L1556" s="1063"/>
      <c r="M1556" s="1063"/>
      <c r="N1556" s="980"/>
      <c r="O1556" s="981"/>
      <c r="P1556" s="1082"/>
      <c r="Q1556" s="975"/>
    </row>
    <row r="1557" spans="1:21" ht="15.75">
      <c r="A1557" s="1574"/>
      <c r="B1557" s="1574"/>
      <c r="C1557" s="1574"/>
      <c r="D1557" s="1574"/>
      <c r="E1557" s="1574"/>
      <c r="F1557" s="1574"/>
      <c r="G1557" s="1574"/>
      <c r="H1557" s="1574"/>
      <c r="I1557" s="1574"/>
      <c r="J1557" s="1574"/>
      <c r="K1557" s="1574"/>
      <c r="L1557" s="1574"/>
      <c r="M1557" s="1574"/>
      <c r="N1557" s="1574"/>
      <c r="O1557" s="1574"/>
      <c r="P1557" s="1574"/>
      <c r="Q1557" s="970" t="s">
        <v>1332</v>
      </c>
    </row>
    <row r="1558" spans="1:21" ht="15">
      <c r="A1558" s="581"/>
      <c r="B1558" s="581"/>
      <c r="C1558" s="1063"/>
      <c r="D1558" s="1063"/>
      <c r="E1558" s="1063"/>
      <c r="F1558" s="1063"/>
      <c r="G1558" s="1063"/>
      <c r="H1558" s="1063"/>
      <c r="I1558" s="1063"/>
      <c r="J1558" s="1063"/>
      <c r="K1558" s="1063"/>
      <c r="L1558" s="1063"/>
      <c r="M1558" s="1063"/>
      <c r="N1558" s="980"/>
      <c r="O1558" s="981"/>
      <c r="P1558" s="1082"/>
      <c r="Q1558" s="969"/>
    </row>
    <row r="1559" spans="1:21" ht="15">
      <c r="A1559" s="966" t="s">
        <v>1789</v>
      </c>
      <c r="B1559" s="967" t="s">
        <v>2973</v>
      </c>
      <c r="C1559" s="969"/>
      <c r="D1559" s="1081"/>
      <c r="E1559" s="969"/>
      <c r="F1559" s="1081"/>
      <c r="G1559" s="993"/>
      <c r="H1559" s="998" t="s">
        <v>419</v>
      </c>
      <c r="I1559" s="969"/>
      <c r="J1559" s="969"/>
      <c r="K1559" s="993"/>
      <c r="L1559" s="582"/>
      <c r="M1559" s="1082">
        <v>2</v>
      </c>
      <c r="N1559" s="942"/>
      <c r="O1559" s="826">
        <f>MIN($M1559,O1560+O1564)</f>
        <v>0</v>
      </c>
      <c r="P1559" s="826">
        <f>MIN($M1559,P1560+P1564)</f>
        <v>0</v>
      </c>
      <c r="Q1559" s="1082" t="s">
        <v>463</v>
      </c>
      <c r="U1559" s="965">
        <f>'Part IX A-Scoring Criteria'!O241</f>
        <v>0</v>
      </c>
    </row>
    <row r="1560" spans="1:21" ht="15">
      <c r="A1560" s="1012" t="s">
        <v>2119</v>
      </c>
      <c r="B1560" s="948" t="s">
        <v>3339</v>
      </c>
      <c r="C1560" s="1013"/>
      <c r="D1560" s="948"/>
      <c r="E1560" s="1726" t="str">
        <f>'Part IX A-Scoring Criteria'!E242</f>
        <v>&lt;&lt;Select applicable status&gt;&gt;</v>
      </c>
      <c r="F1560" s="1726"/>
      <c r="G1560" s="1726"/>
      <c r="H1560" s="1726"/>
      <c r="I1560" s="1013"/>
      <c r="J1560" s="948" t="s">
        <v>3343</v>
      </c>
      <c r="K1560" s="1013"/>
      <c r="L1560" s="1014">
        <f>'Part III-Sources of Funds'!$H$42</f>
        <v>0</v>
      </c>
      <c r="M1560" s="989">
        <v>2</v>
      </c>
      <c r="N1560" s="954" t="s">
        <v>2119</v>
      </c>
      <c r="O1560" s="1067">
        <f>'Part IX A-Scoring Criteria'!O242</f>
        <v>0</v>
      </c>
      <c r="P1560" s="1082"/>
      <c r="Q1560" s="842" t="s">
        <v>2948</v>
      </c>
    </row>
    <row r="1561" spans="1:21" ht="15">
      <c r="A1561" s="1067"/>
      <c r="B1561" s="1015"/>
      <c r="C1561" s="1013"/>
      <c r="D1561" s="1013"/>
      <c r="E1561" s="1013"/>
      <c r="F1561" s="1013"/>
      <c r="G1561" s="1013"/>
      <c r="H1561" s="1013"/>
      <c r="I1561" s="1013"/>
      <c r="J1561" s="948" t="s">
        <v>3342</v>
      </c>
      <c r="K1561" s="948"/>
      <c r="L1561" s="1014">
        <f>'Part VI-Revenues &amp; Expenses'!$M$81</f>
        <v>0</v>
      </c>
      <c r="M1561" s="989"/>
      <c r="N1561" s="989"/>
      <c r="O1561" s="989"/>
      <c r="P1561" s="989"/>
      <c r="Q1561" s="842"/>
    </row>
    <row r="1562" spans="1:21" ht="15">
      <c r="A1562" s="1067"/>
      <c r="B1562" s="1015"/>
      <c r="C1562" s="1013"/>
      <c r="D1562" s="1013"/>
      <c r="E1562" s="1013"/>
      <c r="F1562" s="955"/>
      <c r="G1562" s="1068"/>
      <c r="H1562" s="1057"/>
      <c r="I1562" s="1068"/>
      <c r="J1562" s="1075" t="s">
        <v>3340</v>
      </c>
      <c r="K1562" s="1013"/>
      <c r="L1562" s="1014">
        <f>'Part VI-Revenues &amp; Expenses'!$M$62</f>
        <v>69</v>
      </c>
      <c r="M1562" s="989"/>
      <c r="N1562" s="989"/>
      <c r="O1562" s="989"/>
      <c r="P1562" s="989"/>
      <c r="Q1562" s="842"/>
    </row>
    <row r="1563" spans="1:21" ht="15">
      <c r="A1563" s="938" t="s">
        <v>1440</v>
      </c>
      <c r="B1563" s="1015"/>
      <c r="C1563" s="1013"/>
      <c r="D1563" s="1013"/>
      <c r="E1563" s="1013"/>
      <c r="F1563" s="955"/>
      <c r="G1563" s="1068"/>
      <c r="H1563" s="1057"/>
      <c r="I1563" s="1068"/>
      <c r="J1563" s="1081" t="s">
        <v>3341</v>
      </c>
      <c r="K1563" s="1013"/>
      <c r="L1563" s="1068">
        <f>L1561/L1562</f>
        <v>0</v>
      </c>
      <c r="M1563" s="989"/>
      <c r="N1563" s="989"/>
      <c r="O1563" s="989"/>
      <c r="P1563" s="989"/>
      <c r="Q1563" s="842"/>
    </row>
    <row r="1564" spans="1:21">
      <c r="A1564" s="1012" t="s">
        <v>2122</v>
      </c>
      <c r="B1564" s="1574" t="s">
        <v>3015</v>
      </c>
      <c r="C1564" s="1574"/>
      <c r="D1564" s="1574"/>
      <c r="E1564" s="1574"/>
      <c r="F1564" s="1574"/>
      <c r="G1564" s="1574"/>
      <c r="H1564" s="1574"/>
      <c r="I1564" s="1574"/>
      <c r="J1564" s="1574"/>
      <c r="K1564" s="1574"/>
      <c r="L1564" s="1574"/>
      <c r="M1564" s="989">
        <v>1</v>
      </c>
      <c r="N1564" s="954" t="s">
        <v>2122</v>
      </c>
      <c r="O1564" s="1067">
        <f>'Part IX A-Scoring Criteria'!O246</f>
        <v>0</v>
      </c>
      <c r="P1564" s="1082"/>
      <c r="Q1564" s="842" t="s">
        <v>2948</v>
      </c>
    </row>
    <row r="1565" spans="1:21" ht="15">
      <c r="A1565" s="581"/>
      <c r="B1565" s="944" t="s">
        <v>269</v>
      </c>
      <c r="C1565" s="581"/>
      <c r="D1565" s="585"/>
      <c r="E1565" s="585"/>
      <c r="F1565" s="585"/>
      <c r="G1565" s="585"/>
      <c r="H1565" s="582"/>
      <c r="I1565" s="582"/>
      <c r="J1565" s="582"/>
      <c r="K1565" s="582"/>
      <c r="L1565" s="969"/>
      <c r="M1565" s="826"/>
      <c r="N1565" s="830"/>
      <c r="O1565" s="965"/>
      <c r="P1565" s="1113"/>
      <c r="Q1565" s="969"/>
    </row>
    <row r="1566" spans="1:21" ht="15.75">
      <c r="A1566" s="1574">
        <f>'Part IX A-Scoring Criteria'!A248</f>
        <v>0</v>
      </c>
      <c r="B1566" s="1574"/>
      <c r="C1566" s="1574"/>
      <c r="D1566" s="1574"/>
      <c r="E1566" s="1574"/>
      <c r="F1566" s="1574"/>
      <c r="G1566" s="1574"/>
      <c r="H1566" s="1574"/>
      <c r="I1566" s="1574"/>
      <c r="J1566" s="1574"/>
      <c r="K1566" s="1574"/>
      <c r="L1566" s="1574"/>
      <c r="M1566" s="1574"/>
      <c r="N1566" s="1574"/>
      <c r="O1566" s="1574"/>
      <c r="P1566" s="1574"/>
      <c r="Q1566" s="970" t="s">
        <v>1332</v>
      </c>
    </row>
    <row r="1567" spans="1:21" ht="15">
      <c r="A1567" s="969"/>
      <c r="B1567" s="945" t="s">
        <v>1997</v>
      </c>
      <c r="C1567" s="581"/>
      <c r="D1567" s="945"/>
      <c r="E1567" s="1063"/>
      <c r="F1567" s="1063"/>
      <c r="G1567" s="1063"/>
      <c r="H1567" s="1063"/>
      <c r="I1567" s="1063"/>
      <c r="J1567" s="1063"/>
      <c r="K1567" s="1063"/>
      <c r="L1567" s="1063"/>
      <c r="M1567" s="1063"/>
      <c r="N1567" s="980"/>
      <c r="O1567" s="981"/>
      <c r="P1567" s="1082"/>
      <c r="Q1567" s="975"/>
    </row>
    <row r="1568" spans="1:21" ht="15.75">
      <c r="A1568" s="1574"/>
      <c r="B1568" s="1574"/>
      <c r="C1568" s="1574"/>
      <c r="D1568" s="1574"/>
      <c r="E1568" s="1574"/>
      <c r="F1568" s="1574"/>
      <c r="G1568" s="1574"/>
      <c r="H1568" s="1574"/>
      <c r="I1568" s="1574"/>
      <c r="J1568" s="1574"/>
      <c r="K1568" s="1574"/>
      <c r="L1568" s="1574"/>
      <c r="M1568" s="1574"/>
      <c r="N1568" s="1574"/>
      <c r="O1568" s="1574"/>
      <c r="P1568" s="1574"/>
      <c r="Q1568" s="970" t="s">
        <v>1332</v>
      </c>
    </row>
    <row r="1569" spans="1:21" ht="15">
      <c r="A1569" s="581"/>
      <c r="B1569" s="581"/>
      <c r="C1569" s="1063"/>
      <c r="D1569" s="1063"/>
      <c r="E1569" s="1063"/>
      <c r="F1569" s="1063"/>
      <c r="G1569" s="1063"/>
      <c r="H1569" s="1063"/>
      <c r="I1569" s="1063"/>
      <c r="J1569" s="1063"/>
      <c r="K1569" s="1063"/>
      <c r="L1569" s="1063"/>
      <c r="M1569" s="1063"/>
      <c r="N1569" s="980"/>
      <c r="O1569" s="981"/>
      <c r="P1569" s="1082"/>
      <c r="Q1569" s="969"/>
    </row>
    <row r="1570" spans="1:21" ht="15">
      <c r="A1570" s="1000" t="s">
        <v>1791</v>
      </c>
      <c r="B1570" s="967" t="s">
        <v>2825</v>
      </c>
      <c r="C1570" s="969"/>
      <c r="D1570" s="982"/>
      <c r="E1570" s="982"/>
      <c r="F1570" s="969"/>
      <c r="G1570" s="969"/>
      <c r="H1570" s="969"/>
      <c r="I1570" s="1118" t="s">
        <v>3699</v>
      </c>
      <c r="J1570" s="982"/>
      <c r="K1570" s="982"/>
      <c r="L1570" s="969"/>
      <c r="M1570" s="1003">
        <v>5</v>
      </c>
      <c r="N1570" s="969"/>
      <c r="O1570" s="969"/>
      <c r="P1570" s="1082"/>
      <c r="Q1570" s="1082" t="s">
        <v>463</v>
      </c>
      <c r="U1570" s="965">
        <f>'Part IX A-Scoring Criteria'!O252</f>
        <v>0</v>
      </c>
    </row>
    <row r="1571" spans="1:21" ht="15">
      <c r="A1571" s="1000"/>
      <c r="B1571" s="969"/>
      <c r="C1571" s="969"/>
      <c r="D1571" s="1589" t="s">
        <v>3380</v>
      </c>
      <c r="E1571" s="1589"/>
      <c r="F1571" s="1727">
        <f>'Part IV-Uses of Funds'!J1489</f>
        <v>0</v>
      </c>
      <c r="G1571" s="1615"/>
      <c r="H1571" s="969"/>
      <c r="I1571" s="969"/>
      <c r="J1571" s="969"/>
      <c r="K1571" s="969"/>
      <c r="L1571" s="969"/>
      <c r="M1571" s="1003"/>
      <c r="N1571" s="969"/>
      <c r="O1571" s="969"/>
      <c r="P1571" s="969"/>
      <c r="Q1571" s="1082"/>
    </row>
    <row r="1572" spans="1:21" ht="15">
      <c r="A1572" s="1000"/>
      <c r="B1572" s="969"/>
      <c r="C1572" s="969"/>
      <c r="D1572" s="969"/>
      <c r="E1572" s="969"/>
      <c r="F1572" s="969"/>
      <c r="G1572" s="969"/>
      <c r="H1572" s="982"/>
      <c r="I1572" s="1118" t="s">
        <v>3700</v>
      </c>
      <c r="J1572" s="982"/>
      <c r="K1572" s="982"/>
      <c r="L1572" s="969"/>
      <c r="M1572" s="826">
        <v>18</v>
      </c>
      <c r="N1572" s="826"/>
      <c r="O1572" s="1082">
        <f>MIN($M1572,(O1573+O1576+O1579+O1581+O1584+O1587))</f>
        <v>7</v>
      </c>
      <c r="P1572" s="1082">
        <f>MIN($M1572,(P1573+P1576+P1579+P1581+P1584+P1587))</f>
        <v>0</v>
      </c>
      <c r="Q1572" s="1082"/>
    </row>
    <row r="1573" spans="1:21">
      <c r="A1573" s="1000"/>
      <c r="B1573" s="949" t="s">
        <v>2119</v>
      </c>
      <c r="C1573" s="1728" t="s">
        <v>3344</v>
      </c>
      <c r="D1573" s="1728"/>
      <c r="E1573" s="1728"/>
      <c r="F1573" s="1728"/>
      <c r="G1573" s="1728"/>
      <c r="H1573" s="1728"/>
      <c r="I1573" s="1728"/>
      <c r="J1573" s="1728"/>
      <c r="K1573" s="1728"/>
      <c r="L1573" s="1728"/>
      <c r="M1573" s="989">
        <v>6</v>
      </c>
      <c r="N1573" s="982"/>
      <c r="O1573" s="1729">
        <f>'Part IX A-Scoring Criteria'!O255</f>
        <v>0</v>
      </c>
      <c r="P1573" s="1729"/>
      <c r="Q1573" s="842"/>
    </row>
    <row r="1574" spans="1:21">
      <c r="A1574" s="938" t="s">
        <v>1440</v>
      </c>
      <c r="B1574" s="953" t="s">
        <v>2122</v>
      </c>
      <c r="C1574" s="1580" t="s">
        <v>3596</v>
      </c>
      <c r="D1574" s="1580"/>
      <c r="E1574" s="1580"/>
      <c r="F1574" s="1580"/>
      <c r="G1574" s="1580"/>
      <c r="H1574" s="1580"/>
      <c r="I1574" s="1580"/>
      <c r="J1574" s="1580"/>
      <c r="K1574" s="1580"/>
      <c r="L1574" s="1580"/>
      <c r="M1574" s="989">
        <v>5</v>
      </c>
      <c r="N1574" s="1016"/>
      <c r="O1574" s="1729"/>
      <c r="P1574" s="1729"/>
      <c r="Q1574" s="842" t="s">
        <v>2948</v>
      </c>
    </row>
    <row r="1575" spans="1:21" ht="15">
      <c r="A1575" s="581"/>
      <c r="B1575" s="581"/>
      <c r="C1575" s="1063"/>
      <c r="D1575" s="1063"/>
      <c r="E1575" s="1063"/>
      <c r="F1575" s="1063"/>
      <c r="G1575" s="1063"/>
      <c r="H1575" s="1063"/>
      <c r="I1575" s="1063"/>
      <c r="J1575" s="1063"/>
      <c r="K1575" s="1063"/>
      <c r="L1575" s="1063"/>
      <c r="M1575" s="1063"/>
      <c r="N1575" s="980"/>
      <c r="O1575" s="981"/>
      <c r="P1575" s="1082"/>
      <c r="Q1575" s="969"/>
    </row>
    <row r="1576" spans="1:21">
      <c r="A1576" s="1017"/>
      <c r="B1576" s="953" t="s">
        <v>799</v>
      </c>
      <c r="C1576" s="1580" t="s">
        <v>3346</v>
      </c>
      <c r="D1576" s="1580"/>
      <c r="E1576" s="1580"/>
      <c r="F1576" s="1580"/>
      <c r="G1576" s="1580"/>
      <c r="H1576" s="1580"/>
      <c r="I1576" s="1580"/>
      <c r="J1576" s="1580"/>
      <c r="K1576" s="1580"/>
      <c r="L1576" s="1580"/>
      <c r="M1576" s="989">
        <v>4</v>
      </c>
      <c r="N1576" s="1016"/>
      <c r="O1576" s="1729">
        <f>'Part IX A-Scoring Criteria'!O258</f>
        <v>2</v>
      </c>
      <c r="P1576" s="1729"/>
      <c r="Q1576" s="842" t="s">
        <v>2948</v>
      </c>
    </row>
    <row r="1577" spans="1:21">
      <c r="A1577" s="938" t="s">
        <v>1440</v>
      </c>
      <c r="B1577" s="953"/>
      <c r="C1577" s="1580" t="s">
        <v>3345</v>
      </c>
      <c r="D1577" s="1580"/>
      <c r="E1577" s="1580"/>
      <c r="F1577" s="1580"/>
      <c r="G1577" s="1580"/>
      <c r="H1577" s="1580"/>
      <c r="I1577" s="1580"/>
      <c r="J1577" s="1580"/>
      <c r="K1577" s="1580"/>
      <c r="L1577" s="1580"/>
      <c r="M1577" s="989">
        <v>2</v>
      </c>
      <c r="N1577" s="1016"/>
      <c r="O1577" s="1729"/>
      <c r="P1577" s="1729"/>
      <c r="Q1577" s="565"/>
    </row>
    <row r="1578" spans="1:21" ht="15">
      <c r="A1578" s="581"/>
      <c r="B1578" s="581"/>
      <c r="C1578" s="1063"/>
      <c r="D1578" s="1063"/>
      <c r="E1578" s="1063"/>
      <c r="F1578" s="1063"/>
      <c r="G1578" s="1063"/>
      <c r="H1578" s="1063"/>
      <c r="I1578" s="1063"/>
      <c r="J1578" s="1063"/>
      <c r="K1578" s="1063"/>
      <c r="L1578" s="1063"/>
      <c r="M1578" s="1063"/>
      <c r="N1578" s="980"/>
      <c r="O1578" s="981"/>
      <c r="P1578" s="1082"/>
      <c r="Q1578" s="969"/>
    </row>
    <row r="1579" spans="1:21">
      <c r="A1579" s="1017"/>
      <c r="B1579" s="953" t="s">
        <v>2254</v>
      </c>
      <c r="C1579" s="1580" t="s">
        <v>3347</v>
      </c>
      <c r="D1579" s="1580"/>
      <c r="E1579" s="1580"/>
      <c r="F1579" s="1580"/>
      <c r="G1579" s="1580"/>
      <c r="H1579" s="1580"/>
      <c r="I1579" s="1580"/>
      <c r="J1579" s="1580"/>
      <c r="K1579" s="1580"/>
      <c r="L1579" s="1580"/>
      <c r="M1579" s="989">
        <v>1</v>
      </c>
      <c r="N1579" s="1016"/>
      <c r="O1579" s="1067">
        <f>'Part IX A-Scoring Criteria'!O261</f>
        <v>1</v>
      </c>
      <c r="P1579" s="1067"/>
      <c r="Q1579" s="842" t="s">
        <v>2948</v>
      </c>
    </row>
    <row r="1580" spans="1:21" ht="15">
      <c r="A1580" s="581"/>
      <c r="B1580" s="581"/>
      <c r="C1580" s="1063"/>
      <c r="D1580" s="1063"/>
      <c r="E1580" s="1063"/>
      <c r="F1580" s="1063"/>
      <c r="G1580" s="1063"/>
      <c r="H1580" s="1063"/>
      <c r="I1580" s="1063"/>
      <c r="J1580" s="1063"/>
      <c r="K1580" s="1063"/>
      <c r="L1580" s="1063"/>
      <c r="M1580" s="1063"/>
      <c r="N1580" s="980"/>
      <c r="O1580" s="981"/>
      <c r="P1580" s="1082"/>
      <c r="Q1580" s="969"/>
    </row>
    <row r="1581" spans="1:21">
      <c r="A1581" s="1000"/>
      <c r="B1581" s="953" t="s">
        <v>1857</v>
      </c>
      <c r="C1581" s="1580" t="s">
        <v>3350</v>
      </c>
      <c r="D1581" s="1580"/>
      <c r="E1581" s="1580"/>
      <c r="F1581" s="1580"/>
      <c r="G1581" s="1580"/>
      <c r="H1581" s="1580"/>
      <c r="I1581" s="1580"/>
      <c r="J1581" s="1580"/>
      <c r="K1581" s="1580"/>
      <c r="L1581" s="1580"/>
      <c r="M1581" s="989">
        <v>2</v>
      </c>
      <c r="N1581" s="982"/>
      <c r="O1581" s="1729">
        <f>'Part IX A-Scoring Criteria'!O263</f>
        <v>2</v>
      </c>
      <c r="P1581" s="1729"/>
      <c r="Q1581" s="842" t="s">
        <v>2948</v>
      </c>
    </row>
    <row r="1582" spans="1:21">
      <c r="A1582" s="938" t="s">
        <v>1440</v>
      </c>
      <c r="B1582" s="949"/>
      <c r="C1582" s="1728" t="s">
        <v>3348</v>
      </c>
      <c r="D1582" s="1728"/>
      <c r="E1582" s="1728"/>
      <c r="F1582" s="1728"/>
      <c r="G1582" s="1728"/>
      <c r="H1582" s="1728"/>
      <c r="I1582" s="1728"/>
      <c r="J1582" s="1728"/>
      <c r="K1582" s="1728"/>
      <c r="L1582" s="1728"/>
      <c r="M1582" s="830">
        <v>1</v>
      </c>
      <c r="N1582" s="982"/>
      <c r="O1582" s="1729"/>
      <c r="P1582" s="1729"/>
      <c r="Q1582" s="565"/>
    </row>
    <row r="1583" spans="1:21" ht="15">
      <c r="A1583" s="581"/>
      <c r="B1583" s="581"/>
      <c r="C1583" s="1063"/>
      <c r="D1583" s="1063"/>
      <c r="E1583" s="1063"/>
      <c r="F1583" s="1063"/>
      <c r="G1583" s="1063"/>
      <c r="H1583" s="1063"/>
      <c r="I1583" s="1063"/>
      <c r="J1583" s="1063"/>
      <c r="K1583" s="1063"/>
      <c r="L1583" s="1063"/>
      <c r="M1583" s="1063"/>
      <c r="N1583" s="980"/>
      <c r="O1583" s="981"/>
      <c r="P1583" s="1082"/>
      <c r="Q1583" s="969"/>
    </row>
    <row r="1584" spans="1:21">
      <c r="A1584" s="1017"/>
      <c r="B1584" s="953" t="s">
        <v>1858</v>
      </c>
      <c r="C1584" s="1580" t="s">
        <v>3349</v>
      </c>
      <c r="D1584" s="1580"/>
      <c r="E1584" s="1580"/>
      <c r="F1584" s="1580"/>
      <c r="G1584" s="1580"/>
      <c r="H1584" s="1580"/>
      <c r="I1584" s="1580"/>
      <c r="J1584" s="1580"/>
      <c r="K1584" s="1580"/>
      <c r="L1584" s="1580"/>
      <c r="M1584" s="989">
        <v>3</v>
      </c>
      <c r="N1584" s="1016"/>
      <c r="O1584" s="1729">
        <f>'Part IX A-Scoring Criteria'!O266</f>
        <v>0</v>
      </c>
      <c r="P1584" s="1729"/>
      <c r="Q1584" s="842" t="s">
        <v>2948</v>
      </c>
    </row>
    <row r="1585" spans="1:21">
      <c r="A1585" s="938" t="s">
        <v>1440</v>
      </c>
      <c r="B1585" s="953"/>
      <c r="C1585" s="1580" t="s">
        <v>3351</v>
      </c>
      <c r="D1585" s="1580"/>
      <c r="E1585" s="1580"/>
      <c r="F1585" s="1580"/>
      <c r="G1585" s="1580"/>
      <c r="H1585" s="1580"/>
      <c r="I1585" s="1580"/>
      <c r="J1585" s="1580"/>
      <c r="K1585" s="1580"/>
      <c r="L1585" s="1580"/>
      <c r="M1585" s="989">
        <v>1</v>
      </c>
      <c r="N1585" s="1016"/>
      <c r="O1585" s="1729"/>
      <c r="P1585" s="1729"/>
      <c r="Q1585" s="842"/>
    </row>
    <row r="1586" spans="1:21" ht="15">
      <c r="A1586" s="581"/>
      <c r="B1586" s="581"/>
      <c r="C1586" s="1063"/>
      <c r="D1586" s="1063"/>
      <c r="E1586" s="1063"/>
      <c r="F1586" s="1063"/>
      <c r="G1586" s="1063"/>
      <c r="H1586" s="1063"/>
      <c r="I1586" s="1063"/>
      <c r="J1586" s="1063"/>
      <c r="K1586" s="1063"/>
      <c r="L1586" s="1063"/>
      <c r="M1586" s="1063"/>
      <c r="N1586" s="980"/>
      <c r="O1586" s="981"/>
      <c r="P1586" s="1082"/>
      <c r="Q1586" s="969"/>
    </row>
    <row r="1587" spans="1:21">
      <c r="A1587" s="1000"/>
      <c r="B1587" s="949" t="s">
        <v>2082</v>
      </c>
      <c r="C1587" s="1728" t="s">
        <v>3352</v>
      </c>
      <c r="D1587" s="1728"/>
      <c r="E1587" s="1728"/>
      <c r="F1587" s="1728"/>
      <c r="G1587" s="1728"/>
      <c r="H1587" s="1728"/>
      <c r="I1587" s="1728"/>
      <c r="J1587" s="1728"/>
      <c r="K1587" s="1728"/>
      <c r="L1587" s="1728"/>
      <c r="M1587" s="828">
        <v>2</v>
      </c>
      <c r="N1587" s="982"/>
      <c r="O1587" s="1067">
        <f>'Part IX A-Scoring Criteria'!O269</f>
        <v>2</v>
      </c>
      <c r="P1587" s="1067"/>
      <c r="Q1587" s="842" t="s">
        <v>2948</v>
      </c>
    </row>
    <row r="1588" spans="1:21" ht="15">
      <c r="A1588" s="581"/>
      <c r="B1588" s="581"/>
      <c r="C1588" s="1063"/>
      <c r="D1588" s="1063"/>
      <c r="E1588" s="1063"/>
      <c r="F1588" s="1063"/>
      <c r="G1588" s="1063"/>
      <c r="H1588" s="1063"/>
      <c r="I1588" s="1063"/>
      <c r="J1588" s="1063"/>
      <c r="K1588" s="1063"/>
      <c r="L1588" s="1063"/>
      <c r="M1588" s="1063"/>
      <c r="N1588" s="980"/>
      <c r="O1588" s="981"/>
      <c r="P1588" s="1082"/>
      <c r="Q1588" s="969"/>
    </row>
    <row r="1589" spans="1:21" ht="15">
      <c r="A1589" s="581"/>
      <c r="B1589" s="944" t="s">
        <v>269</v>
      </c>
      <c r="C1589" s="581"/>
      <c r="D1589" s="585"/>
      <c r="E1589" s="585"/>
      <c r="F1589" s="585"/>
      <c r="G1589" s="585"/>
      <c r="H1589" s="582"/>
      <c r="I1589" s="582"/>
      <c r="J1589" s="582"/>
      <c r="K1589" s="582"/>
      <c r="L1589" s="969"/>
      <c r="M1589" s="826"/>
      <c r="N1589" s="830"/>
      <c r="O1589" s="965"/>
      <c r="P1589" s="1113"/>
      <c r="Q1589" s="969"/>
    </row>
    <row r="1590" spans="1:21" ht="15.75">
      <c r="A1590" s="1574" t="str">
        <f>'Part IX A-Scoring Criteria'!A272</f>
        <v>PRESERVATION OF PRBA CONTRACT - HUD has committed to renew and extend the existing Section 8 HAP contract for an additional 20 years.  100% of the units of Trinity Walk Phase I will be designated as HAP Section 8 units under the new HAP agreement; however, regulatory requirements prevent designation of Trinity Walk as a HUD High priority project.  See Tab #1 for the letter dated April 21, 2014 from Linda Preston, HUD Director, Property Management.</v>
      </c>
      <c r="B1590" s="1574"/>
      <c r="C1590" s="1574"/>
      <c r="D1590" s="1574"/>
      <c r="E1590" s="1574"/>
      <c r="F1590" s="1574"/>
      <c r="G1590" s="1574"/>
      <c r="H1590" s="1574"/>
      <c r="I1590" s="1574"/>
      <c r="J1590" s="1574"/>
      <c r="K1590" s="1574"/>
      <c r="L1590" s="1574"/>
      <c r="M1590" s="1574"/>
      <c r="N1590" s="1574"/>
      <c r="O1590" s="1574"/>
      <c r="P1590" s="1574"/>
      <c r="Q1590" s="970" t="s">
        <v>1332</v>
      </c>
    </row>
    <row r="1591" spans="1:21" ht="15">
      <c r="A1591" s="581"/>
      <c r="B1591" s="945" t="s">
        <v>1997</v>
      </c>
      <c r="C1591" s="581"/>
      <c r="D1591" s="945"/>
      <c r="E1591" s="1063"/>
      <c r="F1591" s="1063"/>
      <c r="G1591" s="1063"/>
      <c r="H1591" s="1063"/>
      <c r="I1591" s="1063"/>
      <c r="J1591" s="1063"/>
      <c r="K1591" s="1063"/>
      <c r="L1591" s="1063"/>
      <c r="M1591" s="1063"/>
      <c r="N1591" s="980"/>
      <c r="O1591" s="981"/>
      <c r="P1591" s="1082"/>
      <c r="Q1591" s="975"/>
    </row>
    <row r="1592" spans="1:21" ht="15.75">
      <c r="A1592" s="1574"/>
      <c r="B1592" s="1574"/>
      <c r="C1592" s="1574"/>
      <c r="D1592" s="1574"/>
      <c r="E1592" s="1574"/>
      <c r="F1592" s="1574"/>
      <c r="G1592" s="1574"/>
      <c r="H1592" s="1574"/>
      <c r="I1592" s="1574"/>
      <c r="J1592" s="1574"/>
      <c r="K1592" s="1574"/>
      <c r="L1592" s="1574"/>
      <c r="M1592" s="1574"/>
      <c r="N1592" s="1574"/>
      <c r="O1592" s="1574"/>
      <c r="P1592" s="1574"/>
      <c r="Q1592" s="970" t="s">
        <v>1332</v>
      </c>
    </row>
    <row r="1593" spans="1:21" ht="15">
      <c r="A1593" s="581"/>
      <c r="B1593" s="969"/>
      <c r="C1593" s="1063"/>
      <c r="D1593" s="1063"/>
      <c r="E1593" s="1063"/>
      <c r="F1593" s="1063"/>
      <c r="G1593" s="1063"/>
      <c r="H1593" s="1063"/>
      <c r="I1593" s="1063"/>
      <c r="J1593" s="1063"/>
      <c r="K1593" s="1063"/>
      <c r="L1593" s="1063"/>
      <c r="M1593" s="1063"/>
      <c r="N1593" s="980"/>
      <c r="O1593" s="981"/>
      <c r="P1593" s="1082"/>
      <c r="Q1593" s="969"/>
    </row>
    <row r="1594" spans="1:21" ht="15">
      <c r="A1594" s="1000" t="s">
        <v>3353</v>
      </c>
      <c r="B1594" s="967" t="s">
        <v>3354</v>
      </c>
      <c r="C1594" s="969"/>
      <c r="D1594" s="982"/>
      <c r="E1594" s="982"/>
      <c r="F1594" s="982"/>
      <c r="G1594" s="982"/>
      <c r="H1594" s="982"/>
      <c r="I1594" s="982"/>
      <c r="J1594" s="982"/>
      <c r="K1594" s="982"/>
      <c r="L1594" s="982"/>
      <c r="M1594" s="826">
        <v>1</v>
      </c>
      <c r="N1594" s="983"/>
      <c r="O1594" s="1067">
        <f>'Part IX A-Scoring Criteria'!O276</f>
        <v>1</v>
      </c>
      <c r="P1594" s="1082"/>
      <c r="Q1594" s="1082" t="s">
        <v>463</v>
      </c>
      <c r="U1594" s="965">
        <f>'Part IX A-Scoring Criteria'!O276</f>
        <v>1</v>
      </c>
    </row>
    <row r="1595" spans="1:21" ht="15" customHeight="1">
      <c r="A1595" s="949"/>
      <c r="B1595" s="1731" t="s">
        <v>3599</v>
      </c>
      <c r="C1595" s="1731"/>
      <c r="D1595" s="1731"/>
      <c r="E1595" s="1731"/>
      <c r="F1595" s="1731"/>
      <c r="G1595" s="1731"/>
      <c r="H1595" s="1731"/>
      <c r="I1595" s="1731"/>
      <c r="J1595" s="1731"/>
      <c r="K1595" s="1731"/>
      <c r="L1595" s="1731"/>
      <c r="M1595" s="1731"/>
      <c r="N1595" s="1731"/>
      <c r="O1595" s="1122" t="str">
        <f>'Part IX A-Scoring Criteria'!O277</f>
        <v>Yes</v>
      </c>
      <c r="P1595" s="1122"/>
      <c r="Q1595" s="969"/>
    </row>
    <row r="1596" spans="1:21" ht="15">
      <c r="A1596" s="949"/>
      <c r="B1596" s="1018"/>
      <c r="C1596" s="1018"/>
      <c r="D1596" s="1018"/>
      <c r="E1596" s="1018"/>
      <c r="F1596" s="1018"/>
      <c r="G1596" s="1018"/>
      <c r="H1596" s="1018"/>
      <c r="I1596" s="1018"/>
      <c r="J1596" s="1018"/>
      <c r="K1596" s="1018"/>
      <c r="L1596" s="1018"/>
      <c r="M1596" s="1018"/>
      <c r="N1596" s="969"/>
      <c r="O1596" s="969"/>
      <c r="P1596" s="969"/>
      <c r="Q1596" s="969"/>
    </row>
    <row r="1597" spans="1:21" ht="15">
      <c r="A1597" s="949"/>
      <c r="B1597" s="969"/>
      <c r="C1597" s="1069"/>
      <c r="D1597" s="1069"/>
      <c r="E1597" s="1069"/>
      <c r="F1597" s="992"/>
      <c r="G1597" s="969"/>
      <c r="H1597" s="1069"/>
      <c r="I1597" s="1069"/>
      <c r="J1597" s="1069"/>
      <c r="K1597" s="1069"/>
      <c r="L1597" s="1069"/>
      <c r="M1597" s="1069"/>
      <c r="N1597" s="969"/>
      <c r="O1597" s="969"/>
      <c r="P1597" s="969"/>
      <c r="Q1597" s="969"/>
    </row>
    <row r="1598" spans="1:21" ht="15" customHeight="1">
      <c r="A1598" s="949"/>
      <c r="B1598" s="1081" t="s">
        <v>3365</v>
      </c>
      <c r="C1598" s="1060"/>
      <c r="D1598" s="1583" t="str">
        <f>'Part IX A-Scoring Criteria'!D280</f>
        <v>Clairemont Elementary (K-3) and 4/5 Academy at Fifth Avenue (4-5)</v>
      </c>
      <c r="E1598" s="1583"/>
      <c r="F1598" s="1583"/>
      <c r="G1598" s="1583"/>
      <c r="H1598" s="1057" t="s">
        <v>3367</v>
      </c>
      <c r="I1598" s="1061" t="str">
        <f>'Part IX A-Scoring Criteria'!I280</f>
        <v>2012-2013</v>
      </c>
      <c r="J1598" s="1061" t="s">
        <v>3366</v>
      </c>
      <c r="K1598" s="1583" t="str">
        <f>'Part IX A-Scoring Criteria'!K280</f>
        <v>Decatur City Schools</v>
      </c>
      <c r="L1598" s="1583"/>
      <c r="M1598" s="1583"/>
      <c r="N1598" s="1583"/>
      <c r="O1598" s="1583"/>
      <c r="P1598" s="1018"/>
      <c r="Q1598" s="969"/>
    </row>
    <row r="1599" spans="1:21" ht="15">
      <c r="A1599" s="949"/>
      <c r="B1599" s="969"/>
      <c r="C1599" s="1069"/>
      <c r="D1599" s="1069"/>
      <c r="E1599" s="1069"/>
      <c r="F1599" s="992"/>
      <c r="G1599" s="969"/>
      <c r="H1599" s="1069"/>
      <c r="I1599" s="1069"/>
      <c r="J1599" s="1069"/>
      <c r="K1599" s="1069"/>
      <c r="L1599" s="1069"/>
      <c r="M1599" s="969"/>
      <c r="N1599" s="1018"/>
      <c r="O1599" s="1018"/>
      <c r="P1599" s="1018"/>
      <c r="Q1599" s="969"/>
    </row>
    <row r="1600" spans="1:21" ht="13.5" customHeight="1">
      <c r="A1600" s="943"/>
      <c r="B1600" s="1624" t="s">
        <v>3405</v>
      </c>
      <c r="C1600" s="1624"/>
      <c r="D1600" s="1624"/>
      <c r="E1600" s="1582" t="s">
        <v>3637</v>
      </c>
      <c r="F1600" s="1582"/>
      <c r="G1600" s="582"/>
      <c r="H1600" s="582"/>
      <c r="I1600" s="1730" t="s">
        <v>3638</v>
      </c>
      <c r="J1600" s="1730"/>
      <c r="K1600" s="582"/>
      <c r="L1600" s="582"/>
      <c r="M1600" s="1735" t="s">
        <v>3406</v>
      </c>
      <c r="N1600" s="1735"/>
      <c r="O1600" s="1735"/>
      <c r="P1600" s="1735"/>
      <c r="Q1600" s="565"/>
    </row>
    <row r="1601" spans="1:17">
      <c r="A1601" s="943"/>
      <c r="B1601" s="582" t="s">
        <v>3403</v>
      </c>
      <c r="C1601" s="842"/>
      <c r="D1601" s="842"/>
      <c r="E1601" s="1098" t="s">
        <v>3359</v>
      </c>
      <c r="F1601" s="1098" t="s">
        <v>3360</v>
      </c>
      <c r="G1601" s="1057" t="s">
        <v>3402</v>
      </c>
      <c r="H1601" s="582"/>
      <c r="I1601" s="1098" t="s">
        <v>3359</v>
      </c>
      <c r="J1601" s="1098" t="s">
        <v>3360</v>
      </c>
      <c r="K1601" s="1057" t="s">
        <v>3402</v>
      </c>
      <c r="L1601" s="582"/>
      <c r="M1601" s="1589" t="s">
        <v>3403</v>
      </c>
      <c r="N1601" s="1589"/>
      <c r="O1601" s="582" t="s">
        <v>3404</v>
      </c>
      <c r="P1601" s="582" t="s">
        <v>3407</v>
      </c>
      <c r="Q1601" s="565"/>
    </row>
    <row r="1602" spans="1:17">
      <c r="A1602" s="943"/>
      <c r="B1602" s="1064" t="s">
        <v>3355</v>
      </c>
      <c r="C1602" s="565"/>
      <c r="D1602" s="565"/>
      <c r="E1602" s="1019">
        <f>'Part IX A-Scoring Criteria'!E284</f>
        <v>0.12</v>
      </c>
      <c r="F1602" s="1019">
        <f>'Part IX A-Scoring Criteria'!F284</f>
        <v>0.88</v>
      </c>
      <c r="G1602" s="1011">
        <f>E1602+F1602</f>
        <v>1</v>
      </c>
      <c r="H1602" s="565"/>
      <c r="I1602" s="1019">
        <f>'Part IX A-Scoring Criteria'!I284</f>
        <v>0.54</v>
      </c>
      <c r="J1602" s="1019">
        <f>'Part IX A-Scoring Criteria'!J284</f>
        <v>0.4</v>
      </c>
      <c r="K1602" s="1011">
        <f>I1602+J1602</f>
        <v>0.94000000000000006</v>
      </c>
      <c r="L1602" s="565"/>
      <c r="M1602" s="1588" t="str">
        <f>IF(AND(G1602=0,K1602=0),"n/a",IF(G1602&gt;K1602,"Yes", "No"))</f>
        <v>Yes</v>
      </c>
      <c r="N1602" s="1588"/>
      <c r="O1602" s="1589" t="str">
        <f>IF(AND(M1602="n/a",M1603="n/a",M1604="n/a",M1605="n/a",M1606="n/a"),"n/a",IF(AND(M1602="Yes",M1603="Yes",M1604="Yes",M1605="Yes",M1606="Yes"),"Yes",IF(OR(M1602="No",M1603="No",M1604="No",M1605="No",M1606="No"), "No", "No")))</f>
        <v>Yes</v>
      </c>
      <c r="P1602" s="565"/>
      <c r="Q1602" s="565"/>
    </row>
    <row r="1603" spans="1:17">
      <c r="A1603" s="943"/>
      <c r="B1603" s="1064" t="s">
        <v>3361</v>
      </c>
      <c r="C1603" s="565"/>
      <c r="D1603" s="565"/>
      <c r="E1603" s="1019">
        <f>'Part IX A-Scoring Criteria'!E285</f>
        <v>0.34</v>
      </c>
      <c r="F1603" s="1019">
        <f>'Part IX A-Scoring Criteria'!F285</f>
        <v>0.66</v>
      </c>
      <c r="G1603" s="1011">
        <f>E1603+F1603</f>
        <v>1</v>
      </c>
      <c r="H1603" s="565"/>
      <c r="I1603" s="1019">
        <f>'Part IX A-Scoring Criteria'!I285</f>
        <v>0.54</v>
      </c>
      <c r="J1603" s="1019">
        <f>'Part IX A-Scoring Criteria'!J285</f>
        <v>0.35</v>
      </c>
      <c r="K1603" s="1011">
        <f>I1603+J1603</f>
        <v>0.89</v>
      </c>
      <c r="L1603" s="565"/>
      <c r="M1603" s="1588" t="str">
        <f>IF(AND(G1603=0,K1603=0),"n/a",IF(G1603&gt;K1603,"Yes", "No"))</f>
        <v>Yes</v>
      </c>
      <c r="N1603" s="1588"/>
      <c r="O1603" s="1589"/>
      <c r="P1603" s="565"/>
      <c r="Q1603" s="565"/>
    </row>
    <row r="1604" spans="1:17">
      <c r="A1604" s="943"/>
      <c r="B1604" s="1064" t="s">
        <v>3356</v>
      </c>
      <c r="C1604" s="565"/>
      <c r="D1604" s="565"/>
      <c r="E1604" s="1019">
        <f>'Part IX A-Scoring Criteria'!E286</f>
        <v>0.26</v>
      </c>
      <c r="F1604" s="1019">
        <f>'Part IX A-Scoring Criteria'!F286</f>
        <v>0.66</v>
      </c>
      <c r="G1604" s="1011">
        <f>E1604+F1604</f>
        <v>0.92</v>
      </c>
      <c r="H1604" s="565"/>
      <c r="I1604" s="1019">
        <f>'Part IX A-Scoring Criteria'!I286</f>
        <v>0.4</v>
      </c>
      <c r="J1604" s="1019">
        <f>'Part IX A-Scoring Criteria'!J286</f>
        <v>0.41</v>
      </c>
      <c r="K1604" s="1011">
        <f>I1604+J1604</f>
        <v>0.81</v>
      </c>
      <c r="L1604" s="565"/>
      <c r="M1604" s="1588" t="str">
        <f>IF(AND(G1604=0,K1604=0),"n/a",IF(G1604&gt;K1604,"Yes", "No"))</f>
        <v>Yes</v>
      </c>
      <c r="N1604" s="1588"/>
      <c r="O1604" s="1589"/>
      <c r="P1604" s="565"/>
      <c r="Q1604" s="565"/>
    </row>
    <row r="1605" spans="1:17">
      <c r="A1605" s="943"/>
      <c r="B1605" s="1064" t="s">
        <v>3357</v>
      </c>
      <c r="C1605" s="565"/>
      <c r="D1605" s="565"/>
      <c r="E1605" s="1019">
        <f>'Part IX A-Scoring Criteria'!E287</f>
        <v>0.42</v>
      </c>
      <c r="F1605" s="1019">
        <f>'Part IX A-Scoring Criteria'!F287</f>
        <v>0.55000000000000004</v>
      </c>
      <c r="G1605" s="1011">
        <f>E1605+F1605</f>
        <v>0.97</v>
      </c>
      <c r="H1605" s="565"/>
      <c r="I1605" s="1019">
        <f>'Part IX A-Scoring Criteria'!I287</f>
        <v>0.56999999999999995</v>
      </c>
      <c r="J1605" s="1019">
        <f>'Part IX A-Scoring Criteria'!J287</f>
        <v>0.24</v>
      </c>
      <c r="K1605" s="1011">
        <f>I1605+J1605</f>
        <v>0.80999999999999994</v>
      </c>
      <c r="L1605" s="565"/>
      <c r="M1605" s="1588" t="str">
        <f>IF(AND(G1605=0,K1605=0),"n/a",IF(G1605&gt;K1605,"Yes", "No"))</f>
        <v>Yes</v>
      </c>
      <c r="N1605" s="1588"/>
      <c r="O1605" s="1589"/>
      <c r="P1605" s="565"/>
      <c r="Q1605" s="565"/>
    </row>
    <row r="1606" spans="1:17">
      <c r="A1606" s="943"/>
      <c r="B1606" s="1064" t="s">
        <v>3358</v>
      </c>
      <c r="C1606" s="565"/>
      <c r="D1606" s="565"/>
      <c r="E1606" s="1019">
        <f>'Part IX A-Scoring Criteria'!E288</f>
        <v>0.26</v>
      </c>
      <c r="F1606" s="1019">
        <f>'Part IX A-Scoring Criteria'!F288</f>
        <v>0.7</v>
      </c>
      <c r="G1606" s="1011">
        <f>E1606+F1606</f>
        <v>0.96</v>
      </c>
      <c r="H1606" s="565"/>
      <c r="I1606" s="1019">
        <f>'Part IX A-Scoring Criteria'!I288</f>
        <v>0.45</v>
      </c>
      <c r="J1606" s="1019">
        <f>'Part IX A-Scoring Criteria'!J288</f>
        <v>0.36</v>
      </c>
      <c r="K1606" s="1011">
        <f>I1606+J1606</f>
        <v>0.81</v>
      </c>
      <c r="L1606" s="565"/>
      <c r="M1606" s="1588" t="str">
        <f>IF(AND(G1606=0,K1606=0),"n/a",IF(G1606&gt;K1606,"Yes", "No"))</f>
        <v>Yes</v>
      </c>
      <c r="N1606" s="1588"/>
      <c r="O1606" s="1589"/>
      <c r="P1606" s="565"/>
      <c r="Q1606" s="565"/>
    </row>
    <row r="1607" spans="1:17">
      <c r="A1607" s="943"/>
      <c r="B1607" s="954"/>
      <c r="C1607" s="1069"/>
      <c r="D1607" s="1069"/>
      <c r="E1607" s="1069"/>
      <c r="F1607" s="1069"/>
      <c r="G1607" s="565"/>
      <c r="H1607" s="565"/>
      <c r="I1607" s="1069"/>
      <c r="J1607" s="1069"/>
      <c r="K1607" s="565"/>
      <c r="L1607" s="565"/>
      <c r="M1607" s="565"/>
      <c r="N1607" s="565"/>
      <c r="O1607" s="565"/>
      <c r="P1607" s="565"/>
      <c r="Q1607" s="565"/>
    </row>
    <row r="1608" spans="1:17">
      <c r="A1608" s="943"/>
      <c r="B1608" s="1064" t="s">
        <v>3355</v>
      </c>
      <c r="C1608" s="565"/>
      <c r="D1608" s="565"/>
      <c r="E1608" s="1019">
        <f>'Part IX A-Scoring Criteria'!E290</f>
        <v>0</v>
      </c>
      <c r="F1608" s="1019">
        <f>'Part IX A-Scoring Criteria'!F290</f>
        <v>0</v>
      </c>
      <c r="G1608" s="1011">
        <f>E1608+F1608</f>
        <v>0</v>
      </c>
      <c r="H1608" s="565"/>
      <c r="I1608" s="1019">
        <f>'Part IX A-Scoring Criteria'!I290</f>
        <v>0</v>
      </c>
      <c r="J1608" s="1019">
        <f>'Part IX A-Scoring Criteria'!J290</f>
        <v>0</v>
      </c>
      <c r="K1608" s="1011">
        <f>I1608+J1608</f>
        <v>0</v>
      </c>
      <c r="L1608" s="565"/>
      <c r="M1608" s="1588" t="str">
        <f>IF(AND(G1608=0,K1608=0),"n/a",IF(G1608&gt;K1608,"Yes", "No"))</f>
        <v>n/a</v>
      </c>
      <c r="N1608" s="1588"/>
      <c r="O1608" s="1589" t="str">
        <f>IF(AND(M1608="n/a",M1609="n/a",M1610="n/a",M1611="n/a",M1612="n/a"),"n/a",IF(AND(M1608="Yes",M1609="Yes",M1610="Yes",M1611="Yes",M1612="Yes"),"Yes",IF(OR(M1608="No",M1609="No",M1610="No",M1611="No",M1612="No"), "No", "No")))</f>
        <v>n/a</v>
      </c>
      <c r="P1608" s="565"/>
      <c r="Q1608" s="565"/>
    </row>
    <row r="1609" spans="1:17">
      <c r="A1609" s="943"/>
      <c r="B1609" s="1064" t="s">
        <v>3361</v>
      </c>
      <c r="C1609" s="565"/>
      <c r="D1609" s="565"/>
      <c r="E1609" s="1019">
        <f>'Part IX A-Scoring Criteria'!E291</f>
        <v>0</v>
      </c>
      <c r="F1609" s="1019">
        <f>'Part IX A-Scoring Criteria'!F291</f>
        <v>0</v>
      </c>
      <c r="G1609" s="1011">
        <f>E1609+F1609</f>
        <v>0</v>
      </c>
      <c r="H1609" s="565"/>
      <c r="I1609" s="1019">
        <f>'Part IX A-Scoring Criteria'!I291</f>
        <v>0</v>
      </c>
      <c r="J1609" s="1019">
        <f>'Part IX A-Scoring Criteria'!J291</f>
        <v>0</v>
      </c>
      <c r="K1609" s="1011">
        <f>I1609+J1609</f>
        <v>0</v>
      </c>
      <c r="L1609" s="565"/>
      <c r="M1609" s="1588" t="str">
        <f>IF(AND(G1609=0,K1609=0),"n/a",IF(G1609&gt;K1609,"Yes", "No"))</f>
        <v>n/a</v>
      </c>
      <c r="N1609" s="1588"/>
      <c r="O1609" s="1589"/>
      <c r="P1609" s="565"/>
      <c r="Q1609" s="565"/>
    </row>
    <row r="1610" spans="1:17">
      <c r="A1610" s="943"/>
      <c r="B1610" s="1064" t="s">
        <v>3356</v>
      </c>
      <c r="C1610" s="565"/>
      <c r="D1610" s="565"/>
      <c r="E1610" s="1019">
        <f>'Part IX A-Scoring Criteria'!E292</f>
        <v>0</v>
      </c>
      <c r="F1610" s="1019">
        <f>'Part IX A-Scoring Criteria'!F292</f>
        <v>0</v>
      </c>
      <c r="G1610" s="1011">
        <f>E1610+F1610</f>
        <v>0</v>
      </c>
      <c r="H1610" s="565"/>
      <c r="I1610" s="1019">
        <f>'Part IX A-Scoring Criteria'!I292</f>
        <v>0</v>
      </c>
      <c r="J1610" s="1019">
        <f>'Part IX A-Scoring Criteria'!J292</f>
        <v>0</v>
      </c>
      <c r="K1610" s="1011">
        <f>I1610+J1610</f>
        <v>0</v>
      </c>
      <c r="L1610" s="565"/>
      <c r="M1610" s="1588" t="str">
        <f>IF(AND(G1610=0,K1610=0),"n/a",IF(G1610&gt;K1610,"Yes", "No"))</f>
        <v>n/a</v>
      </c>
      <c r="N1610" s="1588"/>
      <c r="O1610" s="1589"/>
      <c r="P1610" s="960"/>
      <c r="Q1610" s="565"/>
    </row>
    <row r="1611" spans="1:17">
      <c r="A1611" s="943"/>
      <c r="B1611" s="1064" t="s">
        <v>3357</v>
      </c>
      <c r="C1611" s="565"/>
      <c r="D1611" s="565"/>
      <c r="E1611" s="1019">
        <f>'Part IX A-Scoring Criteria'!E293</f>
        <v>0</v>
      </c>
      <c r="F1611" s="1019">
        <f>'Part IX A-Scoring Criteria'!F293</f>
        <v>0</v>
      </c>
      <c r="G1611" s="1011">
        <f>E1611+F1611</f>
        <v>0</v>
      </c>
      <c r="H1611" s="565"/>
      <c r="I1611" s="1019">
        <f>'Part IX A-Scoring Criteria'!I293</f>
        <v>0</v>
      </c>
      <c r="J1611" s="1019">
        <f>'Part IX A-Scoring Criteria'!J293</f>
        <v>0</v>
      </c>
      <c r="K1611" s="1011">
        <f>I1611+J1611</f>
        <v>0</v>
      </c>
      <c r="L1611" s="565"/>
      <c r="M1611" s="1588" t="str">
        <f>IF(AND(G1611=0,K1611=0),"n/a",IF(G1611&gt;K1611,"Yes", "No"))</f>
        <v>n/a</v>
      </c>
      <c r="N1611" s="1588"/>
      <c r="O1611" s="1589"/>
      <c r="P1611" s="565"/>
      <c r="Q1611" s="565"/>
    </row>
    <row r="1612" spans="1:17">
      <c r="A1612" s="943"/>
      <c r="B1612" s="1064" t="s">
        <v>3358</v>
      </c>
      <c r="C1612" s="565"/>
      <c r="D1612" s="565"/>
      <c r="E1612" s="1019">
        <f>'Part IX A-Scoring Criteria'!E294</f>
        <v>0</v>
      </c>
      <c r="F1612" s="1019">
        <f>'Part IX A-Scoring Criteria'!F294</f>
        <v>0</v>
      </c>
      <c r="G1612" s="1011">
        <f>E1612+F1612</f>
        <v>0</v>
      </c>
      <c r="H1612" s="565"/>
      <c r="I1612" s="1019">
        <f>'Part IX A-Scoring Criteria'!I294</f>
        <v>0</v>
      </c>
      <c r="J1612" s="1019">
        <f>'Part IX A-Scoring Criteria'!J294</f>
        <v>0</v>
      </c>
      <c r="K1612" s="1011">
        <f>I1612+J1612</f>
        <v>0</v>
      </c>
      <c r="L1612" s="565"/>
      <c r="M1612" s="1588" t="str">
        <f>IF(AND(G1612=0,K1612=0),"n/a",IF(G1612&gt;K1612,"Yes", "No"))</f>
        <v>n/a</v>
      </c>
      <c r="N1612" s="1588"/>
      <c r="O1612" s="1589"/>
      <c r="P1612" s="565"/>
      <c r="Q1612" s="565"/>
    </row>
    <row r="1613" spans="1:17" ht="15">
      <c r="A1613" s="943"/>
      <c r="B1613" s="969"/>
      <c r="C1613" s="1069"/>
      <c r="D1613" s="1069"/>
      <c r="E1613" s="1069"/>
      <c r="F1613" s="1069"/>
      <c r="G1613" s="969"/>
      <c r="H1613" s="969"/>
      <c r="I1613" s="1069"/>
      <c r="J1613" s="1069"/>
      <c r="K1613" s="969"/>
      <c r="L1613" s="969"/>
      <c r="M1613" s="969"/>
      <c r="N1613" s="969"/>
      <c r="O1613" s="969"/>
      <c r="P1613" s="1073"/>
      <c r="Q1613" s="565"/>
    </row>
    <row r="1614" spans="1:17">
      <c r="A1614" s="943"/>
      <c r="B1614" s="1020"/>
      <c r="C1614" s="1020"/>
      <c r="D1614" s="1020"/>
      <c r="E1614" s="1730" t="s">
        <v>3639</v>
      </c>
      <c r="F1614" s="1730"/>
      <c r="G1614" s="582"/>
      <c r="H1614" s="582"/>
      <c r="I1614" s="1730" t="s">
        <v>3638</v>
      </c>
      <c r="J1614" s="1730"/>
      <c r="K1614" s="582"/>
      <c r="L1614" s="582"/>
      <c r="M1614" s="582"/>
      <c r="N1614" s="582"/>
      <c r="O1614" s="582"/>
      <c r="P1614" s="1073"/>
      <c r="Q1614" s="565"/>
    </row>
    <row r="1615" spans="1:17" ht="15">
      <c r="A1615" s="949"/>
      <c r="B1615" s="1064" t="s">
        <v>3355</v>
      </c>
      <c r="C1615" s="565"/>
      <c r="D1615" s="565"/>
      <c r="E1615" s="1019">
        <f>'Part IX A-Scoring Criteria'!E297</f>
        <v>0.2</v>
      </c>
      <c r="F1615" s="1019">
        <f>'Part IX A-Scoring Criteria'!F297</f>
        <v>0.77</v>
      </c>
      <c r="G1615" s="1011">
        <f>E1615+F1615</f>
        <v>0.97</v>
      </c>
      <c r="H1615" s="957"/>
      <c r="I1615" s="1019">
        <f>'Part IX A-Scoring Criteria'!I297</f>
        <v>0.5</v>
      </c>
      <c r="J1615" s="1019">
        <f>'Part IX A-Scoring Criteria'!J297</f>
        <v>0.38</v>
      </c>
      <c r="K1615" s="1011">
        <f>I1615+J1615</f>
        <v>0.88</v>
      </c>
      <c r="L1615" s="565"/>
      <c r="M1615" s="1588" t="str">
        <f>IF(AND(G1615=0,K1615=0),"n/a",IF(G1615&gt;K1615,"Yes", "No"))</f>
        <v>Yes</v>
      </c>
      <c r="N1615" s="1588"/>
      <c r="O1615" s="1589" t="str">
        <f>IF(AND(M1615="n/a",M1616="n/a",M1617="n/a",M1618="n/a",M1619="n/a"),"n/a",IF(AND(M1615="Yes",M1616="Yes",M1617="Yes",M1618="Yes",M1619="Yes"),"Yes",IF(OR(M1615="No",M1616="No",M1617="No",M1618="No",M1619="No"), "No", "No")))</f>
        <v>Yes</v>
      </c>
      <c r="P1615" s="1734"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69"/>
    </row>
    <row r="1616" spans="1:17">
      <c r="A1616" s="943"/>
      <c r="B1616" s="1064" t="s">
        <v>3361</v>
      </c>
      <c r="C1616" s="565"/>
      <c r="D1616" s="565"/>
      <c r="E1616" s="1019">
        <f>'Part IX A-Scoring Criteria'!E298</f>
        <v>0.33</v>
      </c>
      <c r="F1616" s="1019">
        <f>'Part IX A-Scoring Criteria'!F298</f>
        <v>0.64</v>
      </c>
      <c r="G1616" s="1011">
        <f>E1616+F1616</f>
        <v>0.97</v>
      </c>
      <c r="H1616" s="565"/>
      <c r="I1616" s="1019">
        <f>'Part IX A-Scoring Criteria'!I298</f>
        <v>0.54</v>
      </c>
      <c r="J1616" s="1019">
        <f>'Part IX A-Scoring Criteria'!J298</f>
        <v>0.34</v>
      </c>
      <c r="K1616" s="1011">
        <f>I1616+J1616</f>
        <v>0.88000000000000012</v>
      </c>
      <c r="L1616" s="565"/>
      <c r="M1616" s="1588" t="str">
        <f>IF(AND(G1616=0,K1616=0),"n/a",IF(G1616&gt;K1616,"Yes", "No"))</f>
        <v>Yes</v>
      </c>
      <c r="N1616" s="1588"/>
      <c r="O1616" s="1589"/>
      <c r="P1616" s="1734"/>
      <c r="Q1616" s="565"/>
    </row>
    <row r="1617" spans="1:17">
      <c r="A1617" s="943"/>
      <c r="B1617" s="1064" t="s">
        <v>3356</v>
      </c>
      <c r="C1617" s="565"/>
      <c r="D1617" s="565"/>
      <c r="E1617" s="1019">
        <f>'Part IX A-Scoring Criteria'!E299</f>
        <v>0.3</v>
      </c>
      <c r="F1617" s="1019">
        <f>'Part IX A-Scoring Criteria'!F299</f>
        <v>0.61</v>
      </c>
      <c r="G1617" s="1011">
        <f>E1617+F1617</f>
        <v>0.90999999999999992</v>
      </c>
      <c r="H1617" s="565"/>
      <c r="I1617" s="1019">
        <f>'Part IX A-Scoring Criteria'!I299</f>
        <v>0.45</v>
      </c>
      <c r="J1617" s="1019">
        <f>'Part IX A-Scoring Criteria'!J299</f>
        <v>0.36</v>
      </c>
      <c r="K1617" s="1011">
        <f>I1617+J1617</f>
        <v>0.81</v>
      </c>
      <c r="L1617" s="565"/>
      <c r="M1617" s="1588" t="str">
        <f>IF(AND(G1617=0,K1617=0),"n/a",IF(G1617&gt;K1617,"Yes", "No"))</f>
        <v>Yes</v>
      </c>
      <c r="N1617" s="1588"/>
      <c r="O1617" s="1589"/>
      <c r="P1617" s="1734"/>
      <c r="Q1617" s="565"/>
    </row>
    <row r="1618" spans="1:17">
      <c r="A1618" s="943"/>
      <c r="B1618" s="1064" t="s">
        <v>3357</v>
      </c>
      <c r="C1618" s="565"/>
      <c r="D1618" s="565"/>
      <c r="E1618" s="1019">
        <f>'Part IX A-Scoring Criteria'!E300</f>
        <v>0.4</v>
      </c>
      <c r="F1618" s="1019">
        <f>'Part IX A-Scoring Criteria'!F300</f>
        <v>0.54</v>
      </c>
      <c r="G1618" s="1011">
        <f>E1618+F1618</f>
        <v>0.94000000000000006</v>
      </c>
      <c r="H1618" s="565"/>
      <c r="I1618" s="1019">
        <f>'Part IX A-Scoring Criteria'!I300</f>
        <v>0.56000000000000005</v>
      </c>
      <c r="J1618" s="1019">
        <f>'Part IX A-Scoring Criteria'!J300</f>
        <v>0.22</v>
      </c>
      <c r="K1618" s="1011">
        <f>I1618+J1618</f>
        <v>0.78</v>
      </c>
      <c r="L1618" s="565"/>
      <c r="M1618" s="1588" t="str">
        <f>IF(AND(G1618=0,K1618=0),"n/a",IF(G1618&gt;K1618,"Yes", "No"))</f>
        <v>Yes</v>
      </c>
      <c r="N1618" s="1588"/>
      <c r="O1618" s="1589"/>
      <c r="P1618" s="1734"/>
      <c r="Q1618" s="565"/>
    </row>
    <row r="1619" spans="1:17">
      <c r="A1619" s="943"/>
      <c r="B1619" s="1064" t="s">
        <v>3358</v>
      </c>
      <c r="C1619" s="565"/>
      <c r="D1619" s="565"/>
      <c r="E1619" s="1019">
        <f>'Part IX A-Scoring Criteria'!E301</f>
        <v>0.2</v>
      </c>
      <c r="F1619" s="1019">
        <f>'Part IX A-Scoring Criteria'!F301</f>
        <v>0.72</v>
      </c>
      <c r="G1619" s="1011">
        <f>E1619+F1619</f>
        <v>0.91999999999999993</v>
      </c>
      <c r="H1619" s="565"/>
      <c r="I1619" s="1019">
        <f>'Part IX A-Scoring Criteria'!I301</f>
        <v>0.4</v>
      </c>
      <c r="J1619" s="1019">
        <f>'Part IX A-Scoring Criteria'!J301</f>
        <v>0.39</v>
      </c>
      <c r="K1619" s="1011">
        <f>I1619+J1619</f>
        <v>0.79</v>
      </c>
      <c r="L1619" s="565"/>
      <c r="M1619" s="1588" t="str">
        <f>IF(AND(G1619=0,K1619=0),"n/a",IF(G1619&gt;K1619,"Yes", "No"))</f>
        <v>Yes</v>
      </c>
      <c r="N1619" s="1588"/>
      <c r="O1619" s="1589"/>
      <c r="P1619" s="1734"/>
      <c r="Q1619" s="565"/>
    </row>
    <row r="1620" spans="1:17">
      <c r="A1620" s="943"/>
      <c r="B1620" s="954"/>
      <c r="C1620" s="1069"/>
      <c r="D1620" s="565"/>
      <c r="E1620" s="1069"/>
      <c r="F1620" s="1069"/>
      <c r="G1620" s="565"/>
      <c r="H1620" s="565"/>
      <c r="I1620" s="1069"/>
      <c r="J1620" s="1069"/>
      <c r="K1620" s="565"/>
      <c r="L1620" s="565"/>
      <c r="M1620" s="565"/>
      <c r="N1620" s="565"/>
      <c r="O1620" s="565"/>
      <c r="P1620" s="1073"/>
      <c r="Q1620" s="565"/>
    </row>
    <row r="1621" spans="1:17">
      <c r="A1621" s="943"/>
      <c r="B1621" s="1064" t="s">
        <v>3355</v>
      </c>
      <c r="C1621" s="565"/>
      <c r="D1621" s="565"/>
      <c r="E1621" s="1019">
        <f>'Part IX A-Scoring Criteria'!E303</f>
        <v>0</v>
      </c>
      <c r="F1621" s="1019">
        <f>'Part IX A-Scoring Criteria'!F303</f>
        <v>0</v>
      </c>
      <c r="G1621" s="1011">
        <f>E1621+F1621</f>
        <v>0</v>
      </c>
      <c r="H1621" s="565"/>
      <c r="I1621" s="1019">
        <f>'Part IX A-Scoring Criteria'!I303</f>
        <v>0</v>
      </c>
      <c r="J1621" s="1019">
        <f>'Part IX A-Scoring Criteria'!J303</f>
        <v>0</v>
      </c>
      <c r="K1621" s="1011">
        <f>I1621+J1621</f>
        <v>0</v>
      </c>
      <c r="L1621" s="565"/>
      <c r="M1621" s="1588" t="str">
        <f>IF(AND(G1621=0,K1621=0),"n/a",IF(G1621&gt;K1621,"Yes", "No"))</f>
        <v>n/a</v>
      </c>
      <c r="N1621" s="1588"/>
      <c r="O1621" s="1589" t="str">
        <f>IF(AND(M1621="n/a",M1622="n/a",M1623="n/a",M1624="n/a",M1625="n/a"),"n/a",IF(AND(M1621="Yes",M1622="Yes",M1623="Yes",M1624="Yes",M1625="Yes"),"Yes",IF(OR(M1621="No",M1622="No",M1623="No",M1624="No",M1625="No"), "No", "No")))</f>
        <v>n/a</v>
      </c>
      <c r="P1621" s="1734"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49"/>
      <c r="B1622" s="1064" t="s">
        <v>3361</v>
      </c>
      <c r="C1622" s="565"/>
      <c r="D1622" s="565"/>
      <c r="E1622" s="1019">
        <f>'Part IX A-Scoring Criteria'!E304</f>
        <v>0</v>
      </c>
      <c r="F1622" s="1019">
        <f>'Part IX A-Scoring Criteria'!F304</f>
        <v>0</v>
      </c>
      <c r="G1622" s="1011">
        <f>E1622+F1622</f>
        <v>0</v>
      </c>
      <c r="H1622" s="565"/>
      <c r="I1622" s="1019">
        <f>'Part IX A-Scoring Criteria'!I304</f>
        <v>0</v>
      </c>
      <c r="J1622" s="1019">
        <f>'Part IX A-Scoring Criteria'!J304</f>
        <v>0</v>
      </c>
      <c r="K1622" s="1011">
        <f>I1622+J1622</f>
        <v>0</v>
      </c>
      <c r="L1622" s="565"/>
      <c r="M1622" s="1588" t="str">
        <f>IF(AND(G1622=0,K1622=0),"n/a",IF(G1622&gt;K1622,"Yes", "No"))</f>
        <v>n/a</v>
      </c>
      <c r="N1622" s="1588"/>
      <c r="O1622" s="1589"/>
      <c r="P1622" s="1734"/>
      <c r="Q1622" s="969"/>
    </row>
    <row r="1623" spans="1:17" ht="13.5" customHeight="1">
      <c r="A1623" s="943"/>
      <c r="B1623" s="1064" t="s">
        <v>3356</v>
      </c>
      <c r="C1623" s="565"/>
      <c r="D1623" s="565"/>
      <c r="E1623" s="1019">
        <f>'Part IX A-Scoring Criteria'!E305</f>
        <v>0</v>
      </c>
      <c r="F1623" s="1019">
        <f>'Part IX A-Scoring Criteria'!F305</f>
        <v>0</v>
      </c>
      <c r="G1623" s="1011">
        <f>E1623+F1623</f>
        <v>0</v>
      </c>
      <c r="H1623" s="565"/>
      <c r="I1623" s="1019">
        <f>'Part IX A-Scoring Criteria'!I305</f>
        <v>0</v>
      </c>
      <c r="J1623" s="1019">
        <f>'Part IX A-Scoring Criteria'!J305</f>
        <v>0</v>
      </c>
      <c r="K1623" s="1011">
        <f>I1623+J1623</f>
        <v>0</v>
      </c>
      <c r="L1623" s="565"/>
      <c r="M1623" s="1588" t="str">
        <f>IF(AND(G1623=0,K1623=0),"n/a",IF(G1623&gt;K1623,"Yes", "No"))</f>
        <v>n/a</v>
      </c>
      <c r="N1623" s="1588"/>
      <c r="O1623" s="1589"/>
      <c r="P1623" s="1734"/>
      <c r="Q1623" s="565"/>
    </row>
    <row r="1624" spans="1:17">
      <c r="A1624" s="943"/>
      <c r="B1624" s="1064" t="s">
        <v>3357</v>
      </c>
      <c r="C1624" s="565"/>
      <c r="D1624" s="565"/>
      <c r="E1624" s="1019">
        <f>'Part IX A-Scoring Criteria'!E306</f>
        <v>0</v>
      </c>
      <c r="F1624" s="1019">
        <f>'Part IX A-Scoring Criteria'!F306</f>
        <v>0</v>
      </c>
      <c r="G1624" s="1011">
        <f>E1624+F1624</f>
        <v>0</v>
      </c>
      <c r="H1624" s="565"/>
      <c r="I1624" s="1019">
        <f>'Part IX A-Scoring Criteria'!I306</f>
        <v>0</v>
      </c>
      <c r="J1624" s="1019">
        <f>'Part IX A-Scoring Criteria'!J306</f>
        <v>0</v>
      </c>
      <c r="K1624" s="1011">
        <f>I1624+J1624</f>
        <v>0</v>
      </c>
      <c r="L1624" s="565"/>
      <c r="M1624" s="1588" t="str">
        <f>IF(AND(G1624=0,K1624=0),"n/a",IF(G1624&gt;K1624,"Yes", "No"))</f>
        <v>n/a</v>
      </c>
      <c r="N1624" s="1588"/>
      <c r="O1624" s="1589"/>
      <c r="P1624" s="1734"/>
      <c r="Q1624" s="565"/>
    </row>
    <row r="1625" spans="1:17">
      <c r="A1625" s="943"/>
      <c r="B1625" s="1064" t="s">
        <v>3358</v>
      </c>
      <c r="C1625" s="565"/>
      <c r="D1625" s="565"/>
      <c r="E1625" s="1019">
        <f>'Part IX A-Scoring Criteria'!E307</f>
        <v>0</v>
      </c>
      <c r="F1625" s="1019">
        <f>'Part IX A-Scoring Criteria'!F307</f>
        <v>0</v>
      </c>
      <c r="G1625" s="1011">
        <f>E1625+F1625</f>
        <v>0</v>
      </c>
      <c r="H1625" s="565"/>
      <c r="I1625" s="1019">
        <f>'Part IX A-Scoring Criteria'!I307</f>
        <v>0</v>
      </c>
      <c r="J1625" s="1019">
        <f>'Part IX A-Scoring Criteria'!J307</f>
        <v>0</v>
      </c>
      <c r="K1625" s="1011">
        <f>I1625+J1625</f>
        <v>0</v>
      </c>
      <c r="L1625" s="565"/>
      <c r="M1625" s="1588" t="str">
        <f>IF(AND(G1625=0,K1625=0),"n/a",IF(G1625&gt;K1625,"Yes", "No"))</f>
        <v>n/a</v>
      </c>
      <c r="N1625" s="1588"/>
      <c r="O1625" s="1589"/>
      <c r="P1625" s="1734"/>
      <c r="Q1625" s="565"/>
    </row>
    <row r="1626" spans="1:17" ht="15">
      <c r="A1626" s="943"/>
      <c r="B1626" s="969"/>
      <c r="C1626" s="1069"/>
      <c r="D1626" s="565"/>
      <c r="E1626" s="1069"/>
      <c r="F1626" s="1069"/>
      <c r="G1626" s="969"/>
      <c r="H1626" s="969"/>
      <c r="I1626" s="1069"/>
      <c r="J1626" s="1069"/>
      <c r="K1626" s="969"/>
      <c r="L1626" s="969"/>
      <c r="M1626" s="969"/>
      <c r="N1626" s="969"/>
      <c r="O1626" s="969"/>
      <c r="P1626" s="1073"/>
      <c r="Q1626" s="565"/>
    </row>
    <row r="1627" spans="1:17">
      <c r="A1627" s="943"/>
      <c r="B1627" s="1020"/>
      <c r="C1627" s="1020"/>
      <c r="D1627" s="1020"/>
      <c r="E1627" s="1730" t="s">
        <v>3640</v>
      </c>
      <c r="F1627" s="1730"/>
      <c r="G1627" s="582"/>
      <c r="H1627" s="582"/>
      <c r="I1627" s="1730" t="s">
        <v>3638</v>
      </c>
      <c r="J1627" s="1730"/>
      <c r="K1627" s="582"/>
      <c r="L1627" s="582"/>
      <c r="M1627" s="582"/>
      <c r="N1627" s="582"/>
      <c r="O1627" s="582"/>
      <c r="P1627" s="1073"/>
      <c r="Q1627" s="565"/>
    </row>
    <row r="1628" spans="1:17">
      <c r="A1628" s="943"/>
      <c r="B1628" s="1064" t="s">
        <v>3355</v>
      </c>
      <c r="C1628" s="565"/>
      <c r="D1628" s="565"/>
      <c r="E1628" s="1019">
        <f>'Part IX A-Scoring Criteria'!E310</f>
        <v>0.4</v>
      </c>
      <c r="F1628" s="1019">
        <f>'Part IX A-Scoring Criteria'!F310</f>
        <v>0.6</v>
      </c>
      <c r="G1628" s="1011">
        <f>E1628+F1628</f>
        <v>1</v>
      </c>
      <c r="H1628" s="565"/>
      <c r="I1628" s="1019">
        <f>'Part IX A-Scoring Criteria'!I310</f>
        <v>0.6</v>
      </c>
      <c r="J1628" s="1019">
        <f>'Part IX A-Scoring Criteria'!J310</f>
        <v>0.34</v>
      </c>
      <c r="K1628" s="1011">
        <f>I1628+J1628</f>
        <v>0.94</v>
      </c>
      <c r="L1628" s="565"/>
      <c r="M1628" s="1588" t="str">
        <f>IF(AND(G1628=0,K1628=0),"n/a",IF(G1628&gt;K1628,"Yes", "No"))</f>
        <v>Yes</v>
      </c>
      <c r="N1628" s="1588"/>
      <c r="O1628" s="1589" t="str">
        <f>IF(AND(M1628="n/a",M1629="n/a",M1630="n/a",M1631="n/a",M1632="n/a"),"n/a",IF(AND(M1628="Yes",M1629="Yes",M1630="Yes",M1631="Yes",M1632="Yes"),"Yes",IF(OR(M1628="No",M1629="No",M1630="No",M1631="No",M1632="No"), "No", "No")))</f>
        <v>Yes</v>
      </c>
      <c r="P1628" s="1073"/>
      <c r="Q1628" s="565"/>
    </row>
    <row r="1629" spans="1:17">
      <c r="A1629" s="943"/>
      <c r="B1629" s="1064" t="s">
        <v>3361</v>
      </c>
      <c r="C1629" s="565"/>
      <c r="D1629" s="565"/>
      <c r="E1629" s="1019">
        <f>'Part IX A-Scoring Criteria'!E311</f>
        <v>0.39</v>
      </c>
      <c r="F1629" s="1019">
        <f>'Part IX A-Scoring Criteria'!F311</f>
        <v>0.59</v>
      </c>
      <c r="G1629" s="1011">
        <f>E1629+F1629</f>
        <v>0.98</v>
      </c>
      <c r="H1629" s="565"/>
      <c r="I1629" s="1019">
        <f>'Part IX A-Scoring Criteria'!I311</f>
        <v>0.56999999999999995</v>
      </c>
      <c r="J1629" s="1019">
        <f>'Part IX A-Scoring Criteria'!J311</f>
        <v>0.36</v>
      </c>
      <c r="K1629" s="1011">
        <f>I1629+J1629</f>
        <v>0.92999999999999994</v>
      </c>
      <c r="L1629" s="565"/>
      <c r="M1629" s="1588" t="str">
        <f>IF(AND(G1629=0,K1629=0),"n/a",IF(G1629&gt;K1629,"Yes", "No"))</f>
        <v>Yes</v>
      </c>
      <c r="N1629" s="1588"/>
      <c r="O1629" s="1589"/>
      <c r="P1629" s="1073"/>
      <c r="Q1629" s="565"/>
    </row>
    <row r="1630" spans="1:17">
      <c r="A1630" s="943"/>
      <c r="B1630" s="1064" t="s">
        <v>3356</v>
      </c>
      <c r="C1630" s="565"/>
      <c r="D1630" s="565"/>
      <c r="E1630" s="1019">
        <f>'Part IX A-Scoring Criteria'!E312</f>
        <v>0.4</v>
      </c>
      <c r="F1630" s="1019">
        <f>'Part IX A-Scoring Criteria'!F312</f>
        <v>0.56999999999999995</v>
      </c>
      <c r="G1630" s="1011">
        <f>E1630+F1630</f>
        <v>0.97</v>
      </c>
      <c r="H1630" s="565"/>
      <c r="I1630" s="1019">
        <f>'Part IX A-Scoring Criteria'!I312</f>
        <v>0.5</v>
      </c>
      <c r="J1630" s="1019">
        <f>'Part IX A-Scoring Criteria'!J312</f>
        <v>0.42</v>
      </c>
      <c r="K1630" s="1011">
        <f>I1630+J1630</f>
        <v>0.91999999999999993</v>
      </c>
      <c r="L1630" s="565"/>
      <c r="M1630" s="1588" t="str">
        <f>IF(AND(G1630=0,K1630=0),"n/a",IF(G1630&gt;K1630,"Yes", "No"))</f>
        <v>Yes</v>
      </c>
      <c r="N1630" s="1588"/>
      <c r="O1630" s="1589"/>
      <c r="P1630" s="1073"/>
      <c r="Q1630" s="565"/>
    </row>
    <row r="1631" spans="1:17" ht="15">
      <c r="A1631" s="949"/>
      <c r="B1631" s="1064" t="s">
        <v>3357</v>
      </c>
      <c r="C1631" s="565"/>
      <c r="D1631" s="565"/>
      <c r="E1631" s="1019">
        <f>'Part IX A-Scoring Criteria'!E313</f>
        <v>0.51</v>
      </c>
      <c r="F1631" s="1019">
        <f>'Part IX A-Scoring Criteria'!F313</f>
        <v>0.43</v>
      </c>
      <c r="G1631" s="1011">
        <f>E1631+F1631</f>
        <v>0.94</v>
      </c>
      <c r="H1631" s="565"/>
      <c r="I1631" s="1019">
        <f>'Part IX A-Scoring Criteria'!I313</f>
        <v>0.48</v>
      </c>
      <c r="J1631" s="1019">
        <f>'Part IX A-Scoring Criteria'!J313</f>
        <v>0.23</v>
      </c>
      <c r="K1631" s="1011">
        <f>I1631+J1631</f>
        <v>0.71</v>
      </c>
      <c r="L1631" s="565"/>
      <c r="M1631" s="1588" t="str">
        <f>IF(AND(G1631=0,K1631=0),"n/a",IF(G1631&gt;K1631,"Yes", "No"))</f>
        <v>Yes</v>
      </c>
      <c r="N1631" s="1588"/>
      <c r="O1631" s="1589"/>
      <c r="P1631" s="1073"/>
      <c r="Q1631" s="969"/>
    </row>
    <row r="1632" spans="1:17">
      <c r="A1632" s="943"/>
      <c r="B1632" s="1064" t="s">
        <v>3358</v>
      </c>
      <c r="C1632" s="565"/>
      <c r="D1632" s="565"/>
      <c r="E1632" s="1019">
        <f>'Part IX A-Scoring Criteria'!E314</f>
        <v>0.3</v>
      </c>
      <c r="F1632" s="1019">
        <f>'Part IX A-Scoring Criteria'!F314</f>
        <v>0.6</v>
      </c>
      <c r="G1632" s="1011">
        <f>E1632+F1632</f>
        <v>0.89999999999999991</v>
      </c>
      <c r="H1632" s="565"/>
      <c r="I1632" s="1019">
        <f>'Part IX A-Scoring Criteria'!I314</f>
        <v>0.4</v>
      </c>
      <c r="J1632" s="1019">
        <f>'Part IX A-Scoring Criteria'!J314</f>
        <v>0.37</v>
      </c>
      <c r="K1632" s="1011">
        <f>I1632+J1632</f>
        <v>0.77</v>
      </c>
      <c r="L1632" s="565"/>
      <c r="M1632" s="1588" t="str">
        <f>IF(AND(G1632=0,K1632=0),"n/a",IF(G1632&gt;K1632,"Yes", "No"))</f>
        <v>Yes</v>
      </c>
      <c r="N1632" s="1588"/>
      <c r="O1632" s="1589"/>
      <c r="P1632" s="1073"/>
      <c r="Q1632" s="565"/>
    </row>
    <row r="1633" spans="1:21" ht="15">
      <c r="A1633" s="943"/>
      <c r="B1633" s="969"/>
      <c r="C1633" s="1069"/>
      <c r="D1633" s="1069"/>
      <c r="E1633" s="1069"/>
      <c r="F1633" s="1069"/>
      <c r="G1633" s="969"/>
      <c r="H1633" s="969"/>
      <c r="I1633" s="1069"/>
      <c r="J1633" s="1069"/>
      <c r="K1633" s="969"/>
      <c r="L1633" s="969"/>
      <c r="M1633" s="969"/>
      <c r="N1633" s="969"/>
      <c r="O1633" s="969"/>
      <c r="P1633" s="1061"/>
      <c r="Q1633" s="565"/>
    </row>
    <row r="1634" spans="1:21">
      <c r="A1634" s="943"/>
      <c r="B1634" s="1064" t="s">
        <v>3355</v>
      </c>
      <c r="C1634" s="565"/>
      <c r="D1634" s="565"/>
      <c r="E1634" s="1019">
        <f>'Part IX A-Scoring Criteria'!E316</f>
        <v>0</v>
      </c>
      <c r="F1634" s="1019">
        <f>'Part IX A-Scoring Criteria'!F316</f>
        <v>0</v>
      </c>
      <c r="G1634" s="1011">
        <f>E1634+F1634</f>
        <v>0</v>
      </c>
      <c r="H1634" s="565"/>
      <c r="I1634" s="1019">
        <f>'Part IX A-Scoring Criteria'!I316</f>
        <v>0</v>
      </c>
      <c r="J1634" s="1019">
        <f>'Part IX A-Scoring Criteria'!J316</f>
        <v>0</v>
      </c>
      <c r="K1634" s="1011">
        <f>I1634+J1634</f>
        <v>0</v>
      </c>
      <c r="L1634" s="565"/>
      <c r="M1634" s="1588" t="str">
        <f>IF(AND(G1634=0,K1634=0),"n/a",IF(G1634&gt;K1634,"Yes", "No"))</f>
        <v>n/a</v>
      </c>
      <c r="N1634" s="1588"/>
      <c r="O1634" s="1589" t="str">
        <f>IF(AND(M1634="n/a",M1635="n/a",M1636="n/a",M1637="n/a",M1638="n/a"),"n/a",IF(AND(M1634="Yes",M1635="Yes",M1636="Yes",M1637="Yes",M1638="Yes"),"Yes",IF(OR(M1634="No",M1635="No",M1636="No",M1637="No",M1638="No"), "No", "No")))</f>
        <v>n/a</v>
      </c>
      <c r="P1634" s="1061"/>
      <c r="Q1634" s="565"/>
    </row>
    <row r="1635" spans="1:21">
      <c r="A1635" s="943"/>
      <c r="B1635" s="1064" t="s">
        <v>3361</v>
      </c>
      <c r="C1635" s="565"/>
      <c r="D1635" s="565"/>
      <c r="E1635" s="1019">
        <f>'Part IX A-Scoring Criteria'!E317</f>
        <v>0</v>
      </c>
      <c r="F1635" s="1019">
        <f>'Part IX A-Scoring Criteria'!F317</f>
        <v>0</v>
      </c>
      <c r="G1635" s="1011">
        <f>E1635+F1635</f>
        <v>0</v>
      </c>
      <c r="H1635" s="565"/>
      <c r="I1635" s="1019">
        <f>'Part IX A-Scoring Criteria'!I317</f>
        <v>0</v>
      </c>
      <c r="J1635" s="1019">
        <f>'Part IX A-Scoring Criteria'!J317</f>
        <v>0</v>
      </c>
      <c r="K1635" s="1011">
        <f>I1635+J1635</f>
        <v>0</v>
      </c>
      <c r="L1635" s="565"/>
      <c r="M1635" s="1588" t="str">
        <f>IF(AND(G1635=0,K1635=0),"n/a",IF(G1635&gt;K1635,"Yes", "No"))</f>
        <v>n/a</v>
      </c>
      <c r="N1635" s="1588"/>
      <c r="O1635" s="1589"/>
      <c r="P1635" s="1061"/>
      <c r="Q1635" s="565"/>
    </row>
    <row r="1636" spans="1:21">
      <c r="A1636" s="943"/>
      <c r="B1636" s="1064" t="s">
        <v>3356</v>
      </c>
      <c r="C1636" s="565"/>
      <c r="D1636" s="565"/>
      <c r="E1636" s="1019">
        <f>'Part IX A-Scoring Criteria'!E318</f>
        <v>0</v>
      </c>
      <c r="F1636" s="1019">
        <f>'Part IX A-Scoring Criteria'!F318</f>
        <v>0</v>
      </c>
      <c r="G1636" s="1011">
        <f>E1636+F1636</f>
        <v>0</v>
      </c>
      <c r="H1636" s="565"/>
      <c r="I1636" s="1019">
        <f>'Part IX A-Scoring Criteria'!I318</f>
        <v>0</v>
      </c>
      <c r="J1636" s="1019">
        <f>'Part IX A-Scoring Criteria'!J318</f>
        <v>0</v>
      </c>
      <c r="K1636" s="1011">
        <f>I1636+J1636</f>
        <v>0</v>
      </c>
      <c r="L1636" s="565"/>
      <c r="M1636" s="1588" t="str">
        <f>IF(AND(G1636=0,K1636=0),"n/a",IF(G1636&gt;K1636,"Yes", "No"))</f>
        <v>n/a</v>
      </c>
      <c r="N1636" s="1588"/>
      <c r="O1636" s="1589"/>
      <c r="P1636" s="1061"/>
      <c r="Q1636" s="565"/>
    </row>
    <row r="1637" spans="1:21">
      <c r="A1637" s="943"/>
      <c r="B1637" s="1064" t="s">
        <v>3357</v>
      </c>
      <c r="C1637" s="565"/>
      <c r="D1637" s="565"/>
      <c r="E1637" s="1019">
        <f>'Part IX A-Scoring Criteria'!E319</f>
        <v>0</v>
      </c>
      <c r="F1637" s="1019">
        <f>'Part IX A-Scoring Criteria'!F319</f>
        <v>0</v>
      </c>
      <c r="G1637" s="1011">
        <f>E1637+F1637</f>
        <v>0</v>
      </c>
      <c r="H1637" s="565"/>
      <c r="I1637" s="1019">
        <f>'Part IX A-Scoring Criteria'!I319</f>
        <v>0</v>
      </c>
      <c r="J1637" s="1019">
        <f>'Part IX A-Scoring Criteria'!J319</f>
        <v>0</v>
      </c>
      <c r="K1637" s="1011">
        <f>I1637+J1637</f>
        <v>0</v>
      </c>
      <c r="L1637" s="565"/>
      <c r="M1637" s="1588" t="str">
        <f>IF(AND(G1637=0,K1637=0),"n/a",IF(G1637&gt;K1637,"Yes", "No"))</f>
        <v>n/a</v>
      </c>
      <c r="N1637" s="1588"/>
      <c r="O1637" s="1589"/>
      <c r="P1637" s="1061"/>
      <c r="Q1637" s="565"/>
    </row>
    <row r="1638" spans="1:21" ht="15">
      <c r="A1638" s="949"/>
      <c r="B1638" s="1064" t="s">
        <v>3358</v>
      </c>
      <c r="C1638" s="565"/>
      <c r="D1638" s="565"/>
      <c r="E1638" s="1019">
        <f>'Part IX A-Scoring Criteria'!E320</f>
        <v>0</v>
      </c>
      <c r="F1638" s="1019">
        <f>'Part IX A-Scoring Criteria'!F320</f>
        <v>0</v>
      </c>
      <c r="G1638" s="1011">
        <f>E1638+F1638</f>
        <v>0</v>
      </c>
      <c r="H1638" s="565"/>
      <c r="I1638" s="1019">
        <f>'Part IX A-Scoring Criteria'!I320</f>
        <v>0</v>
      </c>
      <c r="J1638" s="1019">
        <f>'Part IX A-Scoring Criteria'!J320</f>
        <v>0</v>
      </c>
      <c r="K1638" s="1011">
        <f>I1638+J1638</f>
        <v>0</v>
      </c>
      <c r="L1638" s="565"/>
      <c r="M1638" s="1588" t="str">
        <f>IF(AND(G1638=0,K1638=0),"n/a",IF(G1638&gt;K1638,"Yes", "No"))</f>
        <v>n/a</v>
      </c>
      <c r="N1638" s="1588"/>
      <c r="O1638" s="1589"/>
      <c r="P1638" s="1061"/>
      <c r="Q1638" s="969"/>
    </row>
    <row r="1639" spans="1:21" ht="15">
      <c r="A1639" s="581"/>
      <c r="B1639" s="944" t="s">
        <v>269</v>
      </c>
      <c r="C1639" s="581"/>
      <c r="D1639" s="585"/>
      <c r="E1639" s="585"/>
      <c r="F1639" s="585"/>
      <c r="G1639" s="585"/>
      <c r="H1639" s="582"/>
      <c r="I1639" s="582"/>
      <c r="J1639" s="582"/>
      <c r="K1639" s="582"/>
      <c r="L1639" s="969"/>
      <c r="M1639" s="826"/>
      <c r="N1639" s="830"/>
      <c r="O1639" s="965"/>
      <c r="P1639" s="1113"/>
      <c r="Q1639" s="969"/>
    </row>
    <row r="1640" spans="1:21" ht="15.75">
      <c r="A1640" s="1574" t="str">
        <f>'Part IX A-Scoring Criteria'!A322</f>
        <v>Children living at the subject property attend Clairemont Elementary School for grades k thru 3 and 4/5 Academy at Fifth Avenue for grades 4 and 5.  The latest available State scores are for years 2010 - 2011, while the most recent scores for the local schools are for years 2012 - 2013.</v>
      </c>
      <c r="B1640" s="1574"/>
      <c r="C1640" s="1574"/>
      <c r="D1640" s="1574"/>
      <c r="E1640" s="1574"/>
      <c r="F1640" s="1574"/>
      <c r="G1640" s="1574"/>
      <c r="H1640" s="1574"/>
      <c r="I1640" s="1574"/>
      <c r="J1640" s="1574"/>
      <c r="K1640" s="1574"/>
      <c r="L1640" s="1574"/>
      <c r="M1640" s="1574"/>
      <c r="N1640" s="1574"/>
      <c r="O1640" s="1574"/>
      <c r="P1640" s="1574"/>
      <c r="Q1640" s="970" t="s">
        <v>1332</v>
      </c>
    </row>
    <row r="1641" spans="1:21" ht="15">
      <c r="A1641" s="581"/>
      <c r="B1641" s="945" t="s">
        <v>1997</v>
      </c>
      <c r="C1641" s="581"/>
      <c r="D1641" s="945"/>
      <c r="E1641" s="1063"/>
      <c r="F1641" s="1063"/>
      <c r="G1641" s="1063"/>
      <c r="H1641" s="1063"/>
      <c r="I1641" s="1063"/>
      <c r="J1641" s="1063"/>
      <c r="K1641" s="1063"/>
      <c r="L1641" s="1063"/>
      <c r="M1641" s="1063"/>
      <c r="N1641" s="980"/>
      <c r="O1641" s="981"/>
      <c r="P1641" s="1082"/>
      <c r="Q1641" s="975"/>
    </row>
    <row r="1642" spans="1:21" ht="15.75">
      <c r="A1642" s="1574"/>
      <c r="B1642" s="1574"/>
      <c r="C1642" s="1574"/>
      <c r="D1642" s="1574"/>
      <c r="E1642" s="1574"/>
      <c r="F1642" s="1574"/>
      <c r="G1642" s="1574"/>
      <c r="H1642" s="1574"/>
      <c r="I1642" s="1574"/>
      <c r="J1642" s="1574"/>
      <c r="K1642" s="1574"/>
      <c r="L1642" s="1574"/>
      <c r="M1642" s="1574"/>
      <c r="N1642" s="1574"/>
      <c r="O1642" s="1574"/>
      <c r="P1642" s="1574"/>
      <c r="Q1642" s="970" t="s">
        <v>1332</v>
      </c>
    </row>
    <row r="1643" spans="1:21" ht="15">
      <c r="A1643" s="581"/>
      <c r="B1643" s="969"/>
      <c r="C1643" s="1063"/>
      <c r="D1643" s="1063"/>
      <c r="E1643" s="1063"/>
      <c r="F1643" s="1063"/>
      <c r="G1643" s="1063"/>
      <c r="H1643" s="1063"/>
      <c r="I1643" s="1063"/>
      <c r="J1643" s="1063"/>
      <c r="K1643" s="1063"/>
      <c r="L1643" s="1063"/>
      <c r="M1643" s="1063"/>
      <c r="N1643" s="980"/>
      <c r="O1643" s="981"/>
      <c r="P1643" s="1082"/>
      <c r="Q1643" s="969"/>
    </row>
    <row r="1644" spans="1:21" ht="15">
      <c r="A1644" s="1000" t="s">
        <v>3370</v>
      </c>
      <c r="B1644" s="967" t="s">
        <v>3369</v>
      </c>
      <c r="C1644" s="969"/>
      <c r="D1644" s="982"/>
      <c r="E1644" s="982"/>
      <c r="F1644" s="982"/>
      <c r="G1644" s="982"/>
      <c r="H1644" s="982"/>
      <c r="I1644" s="982"/>
      <c r="J1644" s="982"/>
      <c r="K1644" s="982"/>
      <c r="L1644" s="969"/>
      <c r="M1644" s="826">
        <v>2</v>
      </c>
      <c r="N1644" s="983"/>
      <c r="O1644" s="1067">
        <f>'Part IX A-Scoring Criteria'!O326</f>
        <v>1</v>
      </c>
      <c r="P1644" s="1082"/>
      <c r="Q1644" s="1082" t="s">
        <v>463</v>
      </c>
      <c r="U1644" s="965">
        <f>'Part IX A-Scoring Criteria'!O326</f>
        <v>1</v>
      </c>
    </row>
    <row r="1645" spans="1:21">
      <c r="A1645" s="565"/>
      <c r="B1645" s="565"/>
      <c r="C1645" s="565"/>
      <c r="D1645" s="565"/>
      <c r="E1645" s="565"/>
      <c r="F1645" s="565"/>
      <c r="G1645" s="565"/>
      <c r="H1645" s="943"/>
      <c r="I1645" s="943"/>
      <c r="J1645" s="943"/>
      <c r="K1645" s="943"/>
      <c r="L1645" s="943"/>
      <c r="M1645" s="565"/>
      <c r="N1645" s="565"/>
      <c r="O1645" s="565"/>
      <c r="P1645" s="565"/>
      <c r="Q1645" s="565"/>
    </row>
    <row r="1646" spans="1:21">
      <c r="A1646" s="943"/>
      <c r="B1646" s="565"/>
      <c r="C1646" s="565"/>
      <c r="D1646" s="565"/>
      <c r="E1646" s="565"/>
      <c r="F1646" s="565"/>
      <c r="G1646" s="565"/>
      <c r="H1646" s="565"/>
      <c r="I1646" s="565" t="s">
        <v>3375</v>
      </c>
      <c r="J1646" s="565"/>
      <c r="K1646" s="1620" t="str">
        <f>'Part IX A-Scoring Criteria'!K328</f>
        <v>Decatur</v>
      </c>
      <c r="L1646" s="1620"/>
      <c r="M1646" s="1620"/>
      <c r="N1646" s="565"/>
      <c r="O1646" s="565"/>
      <c r="P1646" s="565"/>
      <c r="Q1646" s="565"/>
    </row>
    <row r="1647" spans="1:21">
      <c r="A1647" s="949" t="s">
        <v>2119</v>
      </c>
      <c r="B1647" s="565"/>
      <c r="C1647" s="1059" t="s">
        <v>3379</v>
      </c>
      <c r="D1647" s="565"/>
      <c r="E1647" s="565"/>
      <c r="F1647" s="565"/>
      <c r="G1647" s="1062">
        <f>'Part IX A-Scoring Criteria'!G329</f>
        <v>46987</v>
      </c>
      <c r="H1647" s="565"/>
      <c r="I1647" s="1620" t="s">
        <v>3376</v>
      </c>
      <c r="J1647" s="1620"/>
      <c r="K1647" s="1620" t="str">
        <f>'Part IX A-Scoring Criteria'!K329</f>
        <v>DeKalb</v>
      </c>
      <c r="L1647" s="1620"/>
      <c r="M1647" s="1620"/>
      <c r="N1647" s="565"/>
      <c r="O1647" s="565"/>
      <c r="P1647" s="565"/>
      <c r="Q1647" s="565"/>
    </row>
    <row r="1648" spans="1:21">
      <c r="A1648" s="949"/>
      <c r="B1648" s="565"/>
      <c r="C1648" s="1059"/>
      <c r="D1648" s="565"/>
      <c r="E1648" s="565"/>
      <c r="F1648" s="565"/>
      <c r="G1648" s="565"/>
      <c r="H1648" s="565"/>
      <c r="I1648" s="1064" t="s">
        <v>3377</v>
      </c>
      <c r="J1648" s="565"/>
      <c r="K1648" s="1620" t="str">
        <f>'Part IX A-Scoring Criteria'!K330</f>
        <v>Atlanta-Sandy Springs-Marietta</v>
      </c>
      <c r="L1648" s="1620"/>
      <c r="M1648" s="1620"/>
      <c r="N1648" s="565"/>
      <c r="O1648" s="565"/>
      <c r="P1648" s="565"/>
      <c r="Q1648" s="565"/>
    </row>
    <row r="1649" spans="1:21">
      <c r="A1649" s="953" t="s">
        <v>2122</v>
      </c>
      <c r="B1649" s="1064" t="s">
        <v>3374</v>
      </c>
      <c r="C1649" s="1064"/>
      <c r="D1649" s="1059"/>
      <c r="E1649" s="1059"/>
      <c r="F1649" s="565"/>
      <c r="G1649" s="1052">
        <f>'Part IX A-Scoring Criteria'!G331</f>
        <v>0.5</v>
      </c>
      <c r="H1649" s="565"/>
      <c r="I1649" s="1064" t="s">
        <v>3590</v>
      </c>
      <c r="J1649" s="565"/>
      <c r="K1649" s="1620" t="str">
        <f>'Part IX A-Scoring Criteria'!K331</f>
        <v>MSA</v>
      </c>
      <c r="L1649" s="1620"/>
      <c r="M1649" s="1620"/>
      <c r="N1649" s="565"/>
      <c r="O1649" s="565"/>
      <c r="P1649" s="565"/>
      <c r="Q1649" s="565"/>
    </row>
    <row r="1650" spans="1:21">
      <c r="A1650" s="943"/>
      <c r="B1650" s="1064" t="s">
        <v>3373</v>
      </c>
      <c r="C1650" s="1064"/>
      <c r="D1650" s="1059"/>
      <c r="E1650" s="1059"/>
      <c r="F1650" s="943"/>
      <c r="G1650" s="943"/>
      <c r="H1650" s="565"/>
      <c r="I1650" s="565" t="s">
        <v>3591</v>
      </c>
      <c r="J1650" s="565"/>
      <c r="K1650" s="1620" t="str">
        <f>'Part IX A-Scoring Criteria'!K332</f>
        <v>Urban</v>
      </c>
      <c r="L1650" s="1620"/>
      <c r="M1650" s="1620"/>
      <c r="N1650" s="565"/>
      <c r="O1650" s="565"/>
      <c r="P1650" s="565"/>
      <c r="Q1650" s="565"/>
    </row>
    <row r="1651" spans="1:21">
      <c r="A1651" s="943"/>
      <c r="B1651" s="1064"/>
      <c r="C1651" s="1064"/>
      <c r="D1651" s="1059"/>
      <c r="E1651" s="1059"/>
      <c r="F1651" s="943"/>
      <c r="G1651" s="943"/>
      <c r="H1651" s="565"/>
      <c r="I1651" s="565" t="s">
        <v>3589</v>
      </c>
      <c r="J1651" s="565"/>
      <c r="K1651" s="1620">
        <f>'Part IX A-Scoring Criteria'!K333</f>
        <v>0</v>
      </c>
      <c r="L1651" s="1620"/>
      <c r="M1651" s="1620"/>
      <c r="N1651" s="565"/>
      <c r="O1651" s="565"/>
      <c r="P1651" s="565"/>
      <c r="Q1651" s="565"/>
    </row>
    <row r="1652" spans="1:21">
      <c r="A1652" s="565"/>
      <c r="B1652" s="565"/>
      <c r="C1652" s="565"/>
      <c r="D1652" s="565"/>
      <c r="E1652" s="565"/>
      <c r="F1652" s="565"/>
      <c r="G1652" s="565"/>
      <c r="H1652" s="943"/>
      <c r="I1652" s="943"/>
      <c r="J1652" s="943"/>
      <c r="K1652" s="943"/>
      <c r="L1652" s="943"/>
      <c r="M1652" s="565"/>
      <c r="N1652" s="565"/>
      <c r="O1652" s="565"/>
      <c r="P1652" s="565"/>
      <c r="Q1652" s="565"/>
    </row>
    <row r="1653" spans="1:21">
      <c r="A1653" s="943"/>
      <c r="B1653" s="943"/>
      <c r="C1653" s="1065" t="s">
        <v>3371</v>
      </c>
      <c r="D1653" s="1732" t="s">
        <v>3372</v>
      </c>
      <c r="E1653" s="1732"/>
      <c r="F1653" s="1732"/>
      <c r="G1653" s="1732"/>
      <c r="H1653" s="1732"/>
      <c r="I1653" s="1732"/>
      <c r="J1653" s="1732"/>
      <c r="K1653" s="1732"/>
      <c r="L1653" s="1065" t="s">
        <v>1710</v>
      </c>
      <c r="M1653" s="1065" t="s">
        <v>2783</v>
      </c>
      <c r="N1653" s="565"/>
      <c r="O1653" s="565"/>
      <c r="P1653" s="565"/>
      <c r="Q1653" s="565"/>
    </row>
    <row r="1654" spans="1:21">
      <c r="A1654" s="943"/>
      <c r="B1654" s="943"/>
      <c r="C1654" s="1065" t="s">
        <v>1282</v>
      </c>
      <c r="D1654" s="1733" t="s">
        <v>3378</v>
      </c>
      <c r="E1654" s="1733"/>
      <c r="F1654" s="1733"/>
      <c r="G1654" s="1733"/>
      <c r="H1654" s="1733"/>
      <c r="I1654" s="1733"/>
      <c r="J1654" s="1733"/>
      <c r="K1654" s="1733"/>
      <c r="L1654" s="1065" t="s">
        <v>2798</v>
      </c>
      <c r="M1654" s="1065" t="s">
        <v>1359</v>
      </c>
      <c r="N1654" s="565"/>
      <c r="O1654" s="565"/>
      <c r="P1654" s="565"/>
      <c r="Q1654" s="565"/>
    </row>
    <row r="1655" spans="1:21">
      <c r="A1655" s="943"/>
      <c r="B1655" s="943"/>
      <c r="C1655" s="1062">
        <v>20000</v>
      </c>
      <c r="D1655" s="1736">
        <v>15000</v>
      </c>
      <c r="E1655" s="1736"/>
      <c r="F1655" s="1736"/>
      <c r="G1655" s="1736"/>
      <c r="H1655" s="1736"/>
      <c r="I1655" s="1736"/>
      <c r="J1655" s="1736"/>
      <c r="K1655" s="1736"/>
      <c r="L1655" s="1062">
        <v>6000</v>
      </c>
      <c r="M1655" s="1062">
        <v>3000</v>
      </c>
      <c r="N1655" s="565"/>
      <c r="O1655" s="565"/>
      <c r="P1655" s="565"/>
      <c r="Q1655" s="565"/>
    </row>
    <row r="1656" spans="1:21">
      <c r="A1656" s="943"/>
      <c r="B1656" s="954"/>
      <c r="C1656" s="1069"/>
      <c r="D1656" s="1069"/>
      <c r="E1656" s="1069"/>
      <c r="F1656" s="1069"/>
      <c r="G1656" s="1069"/>
      <c r="H1656" s="1069"/>
      <c r="I1656" s="1069"/>
      <c r="J1656" s="1069"/>
      <c r="K1656" s="1069"/>
      <c r="L1656" s="1069"/>
      <c r="M1656" s="565"/>
      <c r="N1656" s="565"/>
      <c r="O1656" s="565"/>
      <c r="P1656" s="565"/>
      <c r="Q1656" s="565"/>
    </row>
    <row r="1657" spans="1:21" ht="15">
      <c r="A1657" s="581"/>
      <c r="B1657" s="944" t="s">
        <v>269</v>
      </c>
      <c r="C1657" s="581"/>
      <c r="D1657" s="585"/>
      <c r="E1657" s="585"/>
      <c r="F1657" s="585"/>
      <c r="G1657" s="585"/>
      <c r="H1657" s="582"/>
      <c r="I1657" s="582"/>
      <c r="J1657" s="582"/>
      <c r="K1657" s="582"/>
      <c r="L1657" s="969"/>
      <c r="M1657" s="826"/>
      <c r="N1657" s="830"/>
      <c r="O1657" s="965"/>
      <c r="P1657" s="1113"/>
      <c r="Q1657" s="969"/>
    </row>
    <row r="1658" spans="1:21" ht="15.75">
      <c r="A1658" s="1574" t="str">
        <f>'Part IX A-Scoring Criteria'!A340</f>
        <v>The current Distance/Direction Report from the Census Bureau's "OnTheMap" website shows 46,987 workers living within a 2-mile radius with 52.7% or 24,767 workers traveling over 10 miles to their place of work.</v>
      </c>
      <c r="B1658" s="1574"/>
      <c r="C1658" s="1574"/>
      <c r="D1658" s="1574"/>
      <c r="E1658" s="1574"/>
      <c r="F1658" s="1574"/>
      <c r="G1658" s="1574"/>
      <c r="H1658" s="1574"/>
      <c r="I1658" s="1574"/>
      <c r="J1658" s="1574"/>
      <c r="K1658" s="1574"/>
      <c r="L1658" s="1574"/>
      <c r="M1658" s="1574"/>
      <c r="N1658" s="1574"/>
      <c r="O1658" s="1574"/>
      <c r="P1658" s="1574"/>
      <c r="Q1658" s="970" t="s">
        <v>1332</v>
      </c>
    </row>
    <row r="1659" spans="1:21" ht="15">
      <c r="A1659" s="581"/>
      <c r="B1659" s="945" t="s">
        <v>1997</v>
      </c>
      <c r="C1659" s="581"/>
      <c r="D1659" s="945"/>
      <c r="E1659" s="1063"/>
      <c r="F1659" s="1063"/>
      <c r="G1659" s="1063"/>
      <c r="H1659" s="1063"/>
      <c r="I1659" s="1063"/>
      <c r="J1659" s="1063"/>
      <c r="K1659" s="1063"/>
      <c r="L1659" s="1063"/>
      <c r="M1659" s="1063"/>
      <c r="N1659" s="980"/>
      <c r="O1659" s="981"/>
      <c r="P1659" s="1082"/>
      <c r="Q1659" s="975"/>
    </row>
    <row r="1660" spans="1:21" ht="15.75">
      <c r="A1660" s="1574"/>
      <c r="B1660" s="1574"/>
      <c r="C1660" s="1574"/>
      <c r="D1660" s="1574"/>
      <c r="E1660" s="1574"/>
      <c r="F1660" s="1574"/>
      <c r="G1660" s="1574"/>
      <c r="H1660" s="1574"/>
      <c r="I1660" s="1574"/>
      <c r="J1660" s="1574"/>
      <c r="K1660" s="1574"/>
      <c r="L1660" s="1574"/>
      <c r="M1660" s="1574"/>
      <c r="N1660" s="1574"/>
      <c r="O1660" s="1574"/>
      <c r="P1660" s="1574"/>
      <c r="Q1660" s="970" t="s">
        <v>1332</v>
      </c>
    </row>
    <row r="1661" spans="1:21" ht="15">
      <c r="A1661" s="581"/>
      <c r="B1661" s="969"/>
      <c r="C1661" s="1063"/>
      <c r="D1661" s="1063"/>
      <c r="E1661" s="1063"/>
      <c r="F1661" s="1063"/>
      <c r="G1661" s="1063"/>
      <c r="H1661" s="1063"/>
      <c r="I1661" s="1063"/>
      <c r="J1661" s="1063"/>
      <c r="K1661" s="1063"/>
      <c r="L1661" s="1063"/>
      <c r="M1661" s="1063"/>
      <c r="N1661" s="980"/>
      <c r="O1661" s="981"/>
      <c r="P1661" s="1082"/>
      <c r="Q1661" s="969"/>
    </row>
    <row r="1662" spans="1:21" ht="15">
      <c r="A1662" s="1000" t="s">
        <v>3368</v>
      </c>
      <c r="B1662" s="967" t="s">
        <v>1792</v>
      </c>
      <c r="C1662" s="993"/>
      <c r="D1662" s="986"/>
      <c r="E1662" s="986"/>
      <c r="F1662" s="582"/>
      <c r="G1662" s="582"/>
      <c r="H1662" s="993"/>
      <c r="I1662" s="582"/>
      <c r="J1662" s="582"/>
      <c r="K1662" s="582"/>
      <c r="L1662" s="992" t="str">
        <f>IF(OR($O1662=$M1662,$O1662&lt;=0,$O1662=""),"","* * Check Score! * *")</f>
        <v/>
      </c>
      <c r="M1662" s="1082">
        <v>10</v>
      </c>
      <c r="N1662" s="826"/>
      <c r="O1662" s="965">
        <f>O1664</f>
        <v>10</v>
      </c>
      <c r="P1662" s="965">
        <f>P1664</f>
        <v>0</v>
      </c>
      <c r="Q1662" s="1082" t="s">
        <v>463</v>
      </c>
      <c r="U1662" s="965">
        <f>'Part IX A-Scoring Criteria'!O344</f>
        <v>10</v>
      </c>
    </row>
    <row r="1663" spans="1:21">
      <c r="B1663" s="565" t="s">
        <v>2722</v>
      </c>
      <c r="M1663" s="581"/>
      <c r="N1663" s="581"/>
      <c r="O1663" s="1067" t="str">
        <f>'Part IX A-Scoring Criteria'!O345</f>
        <v>Yes</v>
      </c>
      <c r="P1663" s="1122"/>
    </row>
    <row r="1664" spans="1:21">
      <c r="A1664" s="949" t="s">
        <v>2119</v>
      </c>
      <c r="B1664" s="903" t="s">
        <v>1532</v>
      </c>
      <c r="D1664" s="581"/>
      <c r="E1664" s="581"/>
      <c r="F1664" s="581"/>
      <c r="G1664" s="581"/>
      <c r="H1664" s="581"/>
      <c r="I1664" s="581"/>
      <c r="J1664" s="581"/>
      <c r="K1664" s="581"/>
      <c r="L1664" s="581"/>
      <c r="M1664" s="826"/>
      <c r="N1664" s="942" t="s">
        <v>2119</v>
      </c>
      <c r="O1664" s="1067">
        <f>'Part IX A-Scoring Criteria'!O346</f>
        <v>10</v>
      </c>
      <c r="P1664" s="516"/>
      <c r="Q1664" s="842" t="s">
        <v>2948</v>
      </c>
    </row>
    <row r="1665" spans="1:21" ht="15">
      <c r="A1665" s="581"/>
      <c r="B1665" s="944" t="s">
        <v>269</v>
      </c>
      <c r="C1665" s="581"/>
      <c r="D1665" s="585"/>
      <c r="E1665" s="585"/>
      <c r="F1665" s="585"/>
      <c r="G1665" s="585"/>
      <c r="H1665" s="582"/>
      <c r="I1665" s="582"/>
      <c r="J1665" s="582"/>
      <c r="K1665" s="582"/>
      <c r="L1665" s="969"/>
      <c r="M1665" s="826"/>
      <c r="N1665" s="830"/>
      <c r="O1665" s="965"/>
      <c r="P1665" s="1113"/>
      <c r="Q1665" s="969"/>
    </row>
    <row r="1666" spans="1:21" ht="15.75">
      <c r="A1666" s="1574" t="str">
        <f>'Part IX A-Scoring Criteria'!A348</f>
        <v>The DCA Pre-Determination Letter reports that the Applicant is "Qualified with Conditions".</v>
      </c>
      <c r="B1666" s="1574"/>
      <c r="C1666" s="1574"/>
      <c r="D1666" s="1574"/>
      <c r="E1666" s="1574"/>
      <c r="F1666" s="1574"/>
      <c r="G1666" s="1574"/>
      <c r="H1666" s="1574"/>
      <c r="I1666" s="1574"/>
      <c r="J1666" s="1574"/>
      <c r="K1666" s="1574"/>
      <c r="L1666" s="1574"/>
      <c r="M1666" s="1574"/>
      <c r="N1666" s="1574"/>
      <c r="O1666" s="1574"/>
      <c r="P1666" s="1574"/>
      <c r="Q1666" s="970" t="s">
        <v>1332</v>
      </c>
    </row>
    <row r="1667" spans="1:21" ht="15">
      <c r="A1667" s="944"/>
      <c r="B1667" s="944" t="s">
        <v>1997</v>
      </c>
      <c r="C1667" s="581"/>
      <c r="D1667" s="944"/>
      <c r="E1667" s="1060"/>
      <c r="F1667" s="1060"/>
      <c r="G1667" s="1060"/>
      <c r="H1667" s="1060"/>
      <c r="I1667" s="1060"/>
      <c r="J1667" s="1060"/>
      <c r="K1667" s="1060"/>
      <c r="L1667" s="1060"/>
      <c r="M1667" s="1060"/>
      <c r="N1667" s="971"/>
      <c r="O1667" s="1124"/>
      <c r="P1667" s="1082"/>
      <c r="Q1667" s="993"/>
    </row>
    <row r="1668" spans="1:21" ht="15.75">
      <c r="A1668" s="1574"/>
      <c r="B1668" s="1574"/>
      <c r="C1668" s="1574"/>
      <c r="D1668" s="1574"/>
      <c r="E1668" s="1574"/>
      <c r="F1668" s="1574"/>
      <c r="G1668" s="1574"/>
      <c r="H1668" s="1574"/>
      <c r="I1668" s="1574"/>
      <c r="J1668" s="1574"/>
      <c r="K1668" s="1574"/>
      <c r="L1668" s="1574"/>
      <c r="M1668" s="1574"/>
      <c r="N1668" s="1574"/>
      <c r="O1668" s="1574"/>
      <c r="P1668" s="1574"/>
      <c r="Q1668" s="970" t="s">
        <v>1332</v>
      </c>
    </row>
    <row r="1669" spans="1:21" ht="15">
      <c r="A1669" s="581"/>
      <c r="B1669" s="581"/>
      <c r="C1669" s="1063"/>
      <c r="D1669" s="1063"/>
      <c r="E1669" s="1063"/>
      <c r="F1669" s="1063"/>
      <c r="G1669" s="1063"/>
      <c r="H1669" s="1063"/>
      <c r="I1669" s="1063"/>
      <c r="J1669" s="1063"/>
      <c r="K1669" s="1063"/>
      <c r="L1669" s="1063"/>
      <c r="M1669" s="1063"/>
      <c r="N1669" s="980"/>
      <c r="O1669" s="981"/>
      <c r="P1669" s="1082"/>
      <c r="Q1669" s="969"/>
    </row>
    <row r="1670" spans="1:21" ht="15">
      <c r="A1670" s="849"/>
      <c r="B1670" s="1021"/>
      <c r="C1670" s="581"/>
      <c r="F1670" s="969"/>
      <c r="G1670" s="969"/>
      <c r="H1670" s="1022" t="s">
        <v>446</v>
      </c>
      <c r="I1670" s="963"/>
      <c r="J1670" s="963"/>
      <c r="K1670" s="963"/>
      <c r="L1670" s="993"/>
      <c r="M1670" s="1023">
        <f>M1326+M1348+M1356+M1365+M1379+M1387+M1405+M1416+M1443+M1458+M1468+M1476+M1485+M1491+M1501+M1536+M1548+M1559+M1570+M1594+M1644+M1662</f>
        <v>87</v>
      </c>
      <c r="N1670" s="1024"/>
      <c r="O1670" s="1023">
        <f>O1326+O1348+O1356+O1365+O1379+O1387+O1405+O1416+O1443+O1458+O1468+O1476+O1485+O1491+O1501+O1536+O1548+O1559+O1570+O1594+O1644+O1662</f>
        <v>49</v>
      </c>
      <c r="P1670" s="1023">
        <f>P1326+P1348+P1356+P1365+P1379+P1387+P1405+P1416+P1443+P1458+P1468+P1476+P1485+P1491+P1501+P1536+P1548+P1559+P1570+P1594+P1644+P1662</f>
        <v>10</v>
      </c>
      <c r="Q1670" s="581"/>
      <c r="U1670" s="1023">
        <f>U1326+U1348+U1356+U1365+U1379+U1387+U1405+U1416+U1443+U1458+U1468+U1476+U1485+U1491+U1501+U1536+U1548+U1559+U1570+U1594+U1644+U1662</f>
        <v>49</v>
      </c>
    </row>
    <row r="1671" spans="1:21" ht="15.75">
      <c r="A1671" s="969"/>
      <c r="B1671" s="1021"/>
      <c r="C1671" s="969"/>
      <c r="F1671" s="964"/>
      <c r="G1671" s="964"/>
      <c r="H1671" s="903"/>
      <c r="I1671" s="903" t="s">
        <v>3603</v>
      </c>
      <c r="J1671" s="913"/>
      <c r="K1671" s="913"/>
      <c r="L1671" s="969"/>
      <c r="N1671" s="1082"/>
      <c r="O1671" s="1025"/>
      <c r="P1671" s="1025">
        <f>P1476</f>
        <v>0</v>
      </c>
    </row>
    <row r="1672" spans="1:21" ht="15">
      <c r="H1672" s="581"/>
      <c r="I1672" s="903" t="s">
        <v>3604</v>
      </c>
      <c r="J1672" s="913"/>
      <c r="K1672" s="913"/>
      <c r="L1672" s="969"/>
      <c r="N1672" s="1082"/>
      <c r="O1672" s="1082"/>
      <c r="P1672" s="1025">
        <f>P1536</f>
        <v>0</v>
      </c>
    </row>
    <row r="1673" spans="1:21" ht="15">
      <c r="H1673" s="969"/>
      <c r="I1673" s="903" t="s">
        <v>3605</v>
      </c>
      <c r="J1673" s="1063"/>
      <c r="K1673" s="1063"/>
      <c r="L1673" s="1063"/>
      <c r="M1673" s="1063"/>
      <c r="N1673" s="980"/>
      <c r="O1673" s="981"/>
      <c r="P1673" s="1025">
        <f>P1570</f>
        <v>0</v>
      </c>
    </row>
    <row r="1674" spans="1:21">
      <c r="H1674" s="584" t="s">
        <v>3606</v>
      </c>
      <c r="I1674" s="1082"/>
      <c r="J1674" s="1081"/>
      <c r="K1674" s="1081"/>
      <c r="L1674" s="1081"/>
      <c r="M1674" s="1057"/>
      <c r="N1674" s="1082"/>
      <c r="O1674" s="1113"/>
      <c r="P1674" s="1025">
        <f>P1670-P1671-P1672-P1673</f>
        <v>10</v>
      </c>
    </row>
    <row r="1678" spans="1:21" ht="15.75">
      <c r="A1678" s="1054" t="s">
        <v>3600</v>
      </c>
    </row>
    <row r="1679" spans="1:21" ht="16.5">
      <c r="A1679" s="1055">
        <f>'Part I-Project Information'!F1700</f>
        <v>0</v>
      </c>
    </row>
    <row r="1680" spans="1:21" ht="16.5">
      <c r="A1680" s="1055" t="str">
        <f>CONCATENATE('Part I-Project Information'!F1704,", ", 'Part I-Project Information'!J1705," County")</f>
        <v>,  County</v>
      </c>
    </row>
    <row r="1681" spans="1:1" ht="16.5">
      <c r="A1681" s="1056" t="str">
        <f>'Pt IX B-Super Proj Concept Narr'!A4</f>
        <v>Part B - Community-Driven Housing Strategies</v>
      </c>
    </row>
    <row r="1682" spans="1:1">
      <c r="A1682" s="620"/>
    </row>
    <row r="1683" spans="1:1">
      <c r="A1683" s="1573" t="str">
        <f>'Pt IX B-Super Proj Concept Narr'!A6</f>
        <v>The City of Decatur and the Decatur Housing Authority (DHA) have an exceptional history in the development of affordable and workforce housing in Decatur spanning 75 years together.  In the last thirty years, DHA and the City partnered on 103 Urban Homestead units in Oakhurst, 80 townhomes in Swanton Hill, 66 single family homes in Rosewalk, 20 townhomes in Commerce Place, 7 sale townhomes in Commodore Square, 10 homes in Villages at Oakhurst, 90 condominiums at Talley St Lofts, and 191 affordable homes in Allen Wilson.  All these 567 new units of affordable and workforce housing were in Decatur, a city of only four square miles and less than 20,000 persons; thereby demonstrating the extraordinary partnership between the City and DHA in forming effective housing strategies.  Decatur has direct input in DHA’s revitalization efforts as each of the members of the Board of Commissioners (the governing board) is appointed by the Mayor and affirmed by the other City of Decatur Commissioners.  In order to form the new Decatur Community-Driven Housing Strategy that would address the revitalization of the Gateway community, it was necessary for the local government and DHA to gather information that would support and clarify the need to expand housing options while preserving the economic diversity in this evolving town within the larger metropolitan area of Atlanta.  It was known that housing costs were escalating to some extent and that diversity was changing within in the City, but the extent was unclear.  As a result, the City commissioned the Affordable Housing Study in May 2008.  This study gathered the critical data necessary to identify the needs of the community and helped to galvanize further action.  The Study clearly identified the need to address and preserve subsidized rental housing and to continue to sustain the presence of affordable rental housing in the community due a dwindling supply of workforce housing.  Recognizing that the preservation of housing and fostering of new development required a larger community effort, the City of Decatur completed a detailed and community-oriented engagement process to involve the residents in the formation of the new 2010 Strategic Plan to provide Decatur with a road map to implement strategies for the community to address affordable housing and diversity, along with other strategic issues, within the city.  A ground swell of support began for improvements, including enhancements to begin work in the Beacon School Complex and Ebster Park (across the West Trinity Place from the Gateway/Trinity Walk I).  In order to support the revitalization needs of the Beacon School Complex and Ebster Park, while supporting the overall development of housing in the area including the development of the Gateway/Trinity Walk community, it was necessary to develop financing and development approaches that would support revitalization.  On November 5, 2012, two years in advance of the 2014 QAP requirements, the City of Decatur adopted the Beacon Urban Redevelopment District under the Urban Redevelopment Act (O.C.G.A. 36-61-1 et. seq.)  The Beacon Urban Redevelopment District consists of approximately 34 acres of institutional, residential, and commercial properties located in Decatur, Georgia 30030, in DeKalb County.  As DCA is aware, the Urban Redevelopment Act is designed to support local comprehensive planning, revitalize faltering commercial corridors, recruit and nurture small businesses, rehabilitate older homes and neighborhoods, ensure architecturally compatible infill development, and generate new adaptive reuses for old industrial and agricultural facilities.  The Act offers solid support for innovative and thoughtfully crafted development strategies needed to solve the problems of these designated target areas.  The City and DHA focused on the key aspects of the Beacon Urban Redevelopment Area and determined the necessary comprehensive community-driven housing strategy that would support housing efforts, including Gateway, and enhance this new Urban Redevelop District (URD).  The main focus of the URD was the development of necessary storm water infrastructure and municipal facilities.  The URD contains an 83,000 square foot multi-use municipal building (Beacon Complex) owned by the City of Decatur and about 1,700 linear feet of public and private storm drainage facilities.  Other properties in the Redevelopment Area include the Calloway property, an 85,000 square foot governmental building which has been purchased by the Decatur Urban Redevelopment Agency from DeKalb County and will be redeveloped with a commercial office, retail and residential development, the completed Allen Wilson property, a three acre property owned by the DHA to be redeveloped with a mid-rise residential building, and a 1,700 linear foot storm drainage system that will be replaced.  The Gateway community, being renamed Trinity Walk, is included in the boundaries of the URD and is listed specifically by address.  The Beacon Complex Project (across the street from Gateway/Trinity Walk) includes the repurposing and adaptive re-use of two existing historical buildings and one new construction building.  The adaptive re-use of the historic Beacon Elementary and Trinity High School buildings originally constructed in 1955 will include the Police and Municipal Court Facility, Active Living Building, and City Schools of Decatur Administrative Building totaling 84,377 square feet.  This also includes civil infrastructure construction to support site redevelopment and the construction of a plaza to connect the three buildings.  The Active Living Building will have a large multi-purpose space with moveable partitions, rehearsal studio, quiet room, offices, gymnasium, and history museum space to support artists and interested citizens in the discovery of artistic venture in this non-profit wing of the building.  Much of the existing gym, library, and school building would become a “living museum” honoring alumni of the Herring Street, Trinity High, and Beacon Schools.  
An outdoor lawn and plaza area would be available for performances, movies and other community events.  As a part of the revitalization of the Beacon Complex, the adjacent Ebster City Park and pool was rehabilitated.  Ebster Park includes basketball courts, a playground, a small pavilion with picnic tables and grills.  The community swimming pool and bath house features umbrellas and places to relax in the summer.  During the summer, Day Camps are offered to the youth of Decatur.  In addition, the City of Decatur has also designed and developed an innovative 2-acre storm water retention facility under the Ebster Soccer Field at a cost of $10 million.  This facility will serve as a regional storm water facility that will prevent flooding downtown and in other areas in the URD.  Because the facility must be sized to receive storm water that is generated by existing developed properties near the Beacon site, the City also anticipates the opportunity to offer capacity in the facility to developers of Trinity Walk, Trinity Triangle, the Callaway property, and other developed properties that may undergo redevelopment.  Fees from the sale of detention capacity in the vault would be used to offset the cost of the facility.  The overall development investment by the City of Decatur for this major revitalization is $38.3 million.  The URD is the culmination of the Decatur Community-Driven Housing Strategy as it has provided the necessary infrastructure, municipal services, economic development focus, and housing to support the revitalization of the Gateway/Trinity I community.  The Trinity Walk I revitalization will strategically impact five of the 38 acres in the Beacon URD as follows:
• Replace the declining properties of Gateway and Oakview  with vibrant new construction housing.
• Maintain affordability for the 111 units under the federal Section 8 housing subsidy, as well as adding 10 affordable units under the Low Income Housing Tax Credit program.
• Minimize relocation requirements for families.
• Develop amenities on-site that serve families’ needs.
• Create one consolidated community that is sustainable, energy efficient, and meets quality urban design principles.
These positive impacts are in line with the Affordable Housing Study from May 2008, the City of Decatur’s Strategic Plan 2010, and the Beacon Complex Urban Redevelopment District.</v>
      </c>
    </row>
    <row r="1684" spans="1:1">
      <c r="A1684" s="1573"/>
    </row>
    <row r="1685" spans="1:1">
      <c r="A1685" s="1573"/>
    </row>
    <row r="1686" spans="1:1">
      <c r="A1686" s="1573"/>
    </row>
    <row r="1687" spans="1:1">
      <c r="A1687" s="1573"/>
    </row>
    <row r="1688" spans="1:1">
      <c r="A1688" s="1573"/>
    </row>
    <row r="1689" spans="1:1">
      <c r="A1689" s="1573"/>
    </row>
    <row r="1690" spans="1:1">
      <c r="A1690" s="1573"/>
    </row>
    <row r="1691" spans="1:1">
      <c r="A1691" s="1573"/>
    </row>
    <row r="1692" spans="1:1">
      <c r="A1692" s="1573"/>
    </row>
    <row r="1693" spans="1:1">
      <c r="A1693" s="1573"/>
    </row>
    <row r="1694" spans="1:1">
      <c r="A1694" s="1573"/>
    </row>
    <row r="1695" spans="1:1">
      <c r="A1695" s="1573"/>
    </row>
    <row r="1696" spans="1:1">
      <c r="A1696" s="1573"/>
    </row>
    <row r="1697" spans="1:1">
      <c r="A1697" s="1573"/>
    </row>
    <row r="1698" spans="1:1">
      <c r="A1698" s="1573"/>
    </row>
    <row r="1699" spans="1:1">
      <c r="A1699" s="1573"/>
    </row>
    <row r="1700" spans="1:1">
      <c r="A1700" s="1573"/>
    </row>
    <row r="1701" spans="1:1">
      <c r="A1701" s="1573"/>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topLeftCell="A5" zoomScale="75" zoomScaleNormal="75" workbookViewId="0">
      <selection activeCell="A5" sqref="A1:XFD1048576"/>
    </sheetView>
  </sheetViews>
  <sheetFormatPr defaultRowHeight="12.75"/>
  <cols>
    <col min="1" max="1" width="144.85546875" style="31" customWidth="1"/>
    <col min="2" max="16384" width="9.140625" style="31"/>
  </cols>
  <sheetData>
    <row r="1" spans="1:6" ht="15.75">
      <c r="A1" s="1935" t="s">
        <v>1039</v>
      </c>
    </row>
    <row r="2" spans="1:6" ht="16.5">
      <c r="A2" s="1936" t="str">
        <f>'Part I-Project Information'!F23</f>
        <v>Trinity Walk Phase I</v>
      </c>
    </row>
    <row r="3" spans="1:6" ht="16.5">
      <c r="A3" s="1936" t="str">
        <f>CONCATENATE('Part I-Project Information'!F27,", ", 'Part I-Project Information'!J28," County")</f>
        <v>Decatur, DeKalb County</v>
      </c>
    </row>
    <row r="4" spans="1:6" ht="12" customHeight="1"/>
    <row r="5" spans="1:6" ht="111" customHeight="1">
      <c r="A5" s="1937" t="s">
        <v>3828</v>
      </c>
      <c r="B5" s="1181" t="s">
        <v>2925</v>
      </c>
      <c r="C5" s="1181"/>
      <c r="D5" s="1181"/>
      <c r="E5" s="1181"/>
      <c r="F5" s="1181"/>
    </row>
    <row r="6" spans="1:6" ht="6.6" customHeight="1">
      <c r="A6" s="1937"/>
      <c r="B6" s="1181"/>
      <c r="C6" s="1181"/>
      <c r="D6" s="1181"/>
      <c r="E6" s="1181"/>
      <c r="F6" s="1181"/>
    </row>
    <row r="7" spans="1:6" ht="93" customHeight="1">
      <c r="A7" s="1937"/>
    </row>
    <row r="8" spans="1:6" ht="6.6" customHeight="1">
      <c r="A8" s="1937"/>
    </row>
    <row r="9" spans="1:6" ht="93" customHeight="1">
      <c r="A9" s="1937"/>
    </row>
    <row r="10" spans="1:6" ht="6.6" customHeight="1">
      <c r="A10" s="1937"/>
    </row>
    <row r="11" spans="1:6" ht="93" customHeight="1">
      <c r="A11" s="1937"/>
    </row>
    <row r="12" spans="1:6" ht="6.6" customHeight="1">
      <c r="A12" s="1937"/>
    </row>
    <row r="13" spans="1:6" ht="93" customHeight="1">
      <c r="A13" s="1937"/>
    </row>
    <row r="14" spans="1:6" ht="6.6" customHeight="1">
      <c r="A14" s="1937"/>
    </row>
    <row r="15" spans="1:6" ht="93" customHeight="1">
      <c r="A15" s="1937"/>
    </row>
    <row r="16" spans="1:6" ht="6.6" customHeight="1">
      <c r="A16" s="1937"/>
    </row>
    <row r="17" spans="1:1" ht="93" customHeight="1">
      <c r="A17" s="1937"/>
    </row>
    <row r="18" spans="1:1" ht="6.6" customHeight="1">
      <c r="A18" s="1937"/>
    </row>
    <row r="19" spans="1:1" ht="93" customHeight="1">
      <c r="A19" s="1937"/>
    </row>
    <row r="20" spans="1:1" ht="6.6" customHeight="1">
      <c r="A20" s="1937"/>
    </row>
    <row r="21" spans="1:1" ht="378.75" customHeight="1">
      <c r="A21" s="1937"/>
    </row>
    <row r="22" spans="1:1" ht="6.6" customHeight="1">
      <c r="A22" s="1937"/>
    </row>
    <row r="23" spans="1:1" ht="409.6" customHeight="1">
      <c r="A23" s="1937"/>
    </row>
  </sheetData>
  <sheetProtection password="B3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- 2014-055 Trinity Walk Phase I, Decatur, DeKalb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2520</v>
      </c>
      <c r="F3" s="364"/>
      <c r="G3" s="331" t="s">
        <v>465</v>
      </c>
      <c r="L3" s="363"/>
      <c r="O3" s="1189" t="s">
        <v>2894</v>
      </c>
      <c r="P3" s="1189"/>
    </row>
    <row r="4" spans="1:16" s="362" customFormat="1" ht="12" customHeight="1" thickBot="1">
      <c r="A4" s="617"/>
      <c r="B4" s="365"/>
      <c r="C4" s="733"/>
      <c r="D4" s="213" t="s">
        <v>3586</v>
      </c>
      <c r="F4" s="366"/>
      <c r="G4" s="331" t="s">
        <v>466</v>
      </c>
      <c r="H4" s="1138"/>
      <c r="I4" s="1138"/>
      <c r="J4" s="1138"/>
      <c r="O4" s="1938" t="s">
        <v>3872</v>
      </c>
      <c r="P4" s="1939"/>
    </row>
    <row r="5" spans="1:16" s="362" customFormat="1" ht="9" customHeight="1">
      <c r="A5" s="617"/>
      <c r="B5" s="365"/>
      <c r="C5" s="365"/>
      <c r="D5" s="365"/>
      <c r="E5" s="1138"/>
      <c r="H5" s="1138"/>
      <c r="I5" s="1138"/>
      <c r="J5" s="1138"/>
      <c r="K5" s="329"/>
      <c r="M5" s="1138"/>
    </row>
    <row r="6" spans="1:16" s="362" customFormat="1" ht="13.15" customHeight="1">
      <c r="A6" s="365" t="s">
        <v>657</v>
      </c>
      <c r="B6" s="365" t="s">
        <v>2533</v>
      </c>
      <c r="D6" s="332"/>
      <c r="E6" s="367"/>
      <c r="F6" s="368" t="s">
        <v>1836</v>
      </c>
      <c r="J6" s="1197">
        <f>'Part IV-Uses of Funds'!J173</f>
        <v>720460.924</v>
      </c>
      <c r="K6" s="1198"/>
      <c r="M6" s="1138"/>
    </row>
    <row r="7" spans="1:16" s="1" customFormat="1" ht="13.15" customHeight="1">
      <c r="A7" s="5"/>
      <c r="B7" s="5"/>
      <c r="D7" s="31"/>
      <c r="E7" s="449"/>
      <c r="F7" s="362" t="s">
        <v>1369</v>
      </c>
      <c r="J7" s="1199">
        <f>'Part III-Sources of Funds'!P4</f>
        <v>0</v>
      </c>
      <c r="K7" s="1200"/>
      <c r="L7" s="362"/>
      <c r="M7" s="1138"/>
      <c r="N7" s="362"/>
      <c r="O7" s="362"/>
      <c r="P7" s="362"/>
    </row>
    <row r="8" spans="1:16" s="362" customFormat="1" ht="6" customHeight="1">
      <c r="A8" s="365"/>
      <c r="B8" s="365"/>
      <c r="D8" s="332"/>
      <c r="E8" s="367"/>
      <c r="F8" s="367"/>
      <c r="I8" s="369"/>
      <c r="N8" s="370"/>
    </row>
    <row r="9" spans="1:16" s="362" customFormat="1" ht="13.15" customHeight="1">
      <c r="A9" s="369" t="s">
        <v>790</v>
      </c>
      <c r="B9" s="365" t="s">
        <v>2179</v>
      </c>
      <c r="F9" s="1940" t="s">
        <v>3704</v>
      </c>
      <c r="G9" s="1941"/>
      <c r="H9" s="1942"/>
      <c r="I9" s="401"/>
      <c r="J9" s="657" t="s">
        <v>3221</v>
      </c>
      <c r="K9" s="374"/>
      <c r="L9" s="1138"/>
      <c r="O9" s="1943" t="s">
        <v>3830</v>
      </c>
      <c r="P9" s="1944"/>
    </row>
    <row r="10" spans="1:16" s="362" customFormat="1" ht="12.75" customHeight="1">
      <c r="A10" s="617"/>
      <c r="H10" s="1138"/>
      <c r="J10" s="658" t="s">
        <v>3000</v>
      </c>
      <c r="K10" s="329"/>
      <c r="M10" s="1138"/>
      <c r="O10" s="1945" t="s">
        <v>3703</v>
      </c>
      <c r="P10" s="1946"/>
    </row>
    <row r="11" spans="1:16" s="362" customFormat="1" ht="7.15" customHeight="1">
      <c r="I11" s="332"/>
      <c r="J11" s="332"/>
      <c r="K11" s="332"/>
      <c r="L11" s="332"/>
      <c r="M11" s="332"/>
      <c r="N11" s="332"/>
      <c r="O11" s="332"/>
      <c r="P11" s="332"/>
    </row>
    <row r="12" spans="1:16" s="362" customFormat="1" ht="13.15" customHeight="1">
      <c r="A12" s="369" t="s">
        <v>792</v>
      </c>
      <c r="B12" s="365" t="s">
        <v>1571</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2452</v>
      </c>
      <c r="F14" s="1947" t="s">
        <v>3705</v>
      </c>
      <c r="G14" s="1948"/>
      <c r="H14" s="1948"/>
      <c r="I14" s="1948"/>
      <c r="J14" s="1948"/>
      <c r="K14" s="1948"/>
      <c r="L14" s="1949"/>
      <c r="M14" s="1132" t="s">
        <v>2116</v>
      </c>
      <c r="N14" s="1947" t="s">
        <v>3706</v>
      </c>
      <c r="O14" s="1948"/>
      <c r="P14" s="1949"/>
    </row>
    <row r="15" spans="1:16" s="362" customFormat="1" ht="13.15" customHeight="1">
      <c r="B15" s="368" t="s">
        <v>2117</v>
      </c>
      <c r="F15" s="1947" t="s">
        <v>3707</v>
      </c>
      <c r="G15" s="1948"/>
      <c r="H15" s="1948"/>
      <c r="I15" s="1948"/>
      <c r="J15" s="1948"/>
      <c r="K15" s="1948"/>
      <c r="L15" s="1949"/>
      <c r="M15" s="1132" t="s">
        <v>1842</v>
      </c>
      <c r="O15" s="1950">
        <v>4042702101</v>
      </c>
      <c r="P15" s="1951"/>
    </row>
    <row r="16" spans="1:16" s="362" customFormat="1" ht="13.15" customHeight="1">
      <c r="B16" s="368" t="s">
        <v>659</v>
      </c>
      <c r="F16" s="1952" t="s">
        <v>204</v>
      </c>
      <c r="G16" s="1953"/>
      <c r="H16" s="1954"/>
      <c r="M16" s="1132" t="s">
        <v>1926</v>
      </c>
      <c r="O16" s="1955">
        <v>4042702123</v>
      </c>
      <c r="P16" s="1956"/>
    </row>
    <row r="17" spans="1:16" s="362" customFormat="1" ht="13.15" customHeight="1">
      <c r="B17" s="368" t="s">
        <v>1923</v>
      </c>
      <c r="F17" s="1957" t="s">
        <v>902</v>
      </c>
      <c r="I17" s="1138" t="s">
        <v>2377</v>
      </c>
      <c r="J17" s="1958">
        <v>300302612</v>
      </c>
      <c r="K17" s="1959"/>
      <c r="M17" s="1132" t="s">
        <v>2115</v>
      </c>
      <c r="O17" s="1955">
        <v>4049155811</v>
      </c>
      <c r="P17" s="1956"/>
    </row>
    <row r="18" spans="1:16" s="362" customFormat="1" ht="13.15" customHeight="1">
      <c r="B18" s="368" t="s">
        <v>1841</v>
      </c>
      <c r="F18" s="1955">
        <v>4042702101</v>
      </c>
      <c r="G18" s="1960"/>
      <c r="H18" s="1956"/>
      <c r="I18" s="1135" t="s">
        <v>1840</v>
      </c>
      <c r="J18" s="1961"/>
      <c r="K18" s="1138" t="s">
        <v>2120</v>
      </c>
      <c r="L18" s="1947" t="s">
        <v>3708</v>
      </c>
      <c r="M18" s="1948"/>
      <c r="N18" s="1948"/>
      <c r="O18" s="1948"/>
      <c r="P18" s="1949"/>
    </row>
    <row r="19" spans="1:16" s="362" customFormat="1" ht="13.15" customHeight="1">
      <c r="A19" s="365"/>
      <c r="B19" s="355" t="s">
        <v>699</v>
      </c>
      <c r="D19" s="367"/>
      <c r="G19" s="367"/>
      <c r="H19" s="367"/>
      <c r="I19" s="371"/>
    </row>
    <row r="20" spans="1:16" s="362" customFormat="1" ht="6" customHeight="1">
      <c r="A20" s="617"/>
      <c r="B20" s="617"/>
      <c r="C20" s="372"/>
      <c r="D20" s="1142"/>
      <c r="E20" s="1142"/>
      <c r="F20" s="1142"/>
      <c r="H20" s="1138"/>
      <c r="I20" s="1142"/>
      <c r="J20" s="372"/>
      <c r="K20" s="1142"/>
      <c r="P20" s="373"/>
    </row>
    <row r="21" spans="1:16" s="362" customFormat="1" ht="13.15" customHeight="1">
      <c r="A21" s="369" t="s">
        <v>1916</v>
      </c>
      <c r="B21" s="365" t="s">
        <v>1572</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658</v>
      </c>
      <c r="D23" s="374"/>
      <c r="F23" s="1962" t="s">
        <v>3709</v>
      </c>
      <c r="G23" s="1963"/>
      <c r="H23" s="1963"/>
      <c r="I23" s="1963"/>
      <c r="J23" s="1963"/>
      <c r="K23" s="1963"/>
      <c r="L23" s="1964"/>
      <c r="M23" s="1132" t="s">
        <v>2334</v>
      </c>
      <c r="O23" s="1947" t="s">
        <v>3710</v>
      </c>
      <c r="P23" s="1949"/>
    </row>
    <row r="24" spans="1:16" s="362" customFormat="1" ht="13.15" customHeight="1">
      <c r="A24" s="375"/>
      <c r="B24" s="362" t="s">
        <v>2932</v>
      </c>
      <c r="D24" s="376"/>
      <c r="F24" s="1947" t="s">
        <v>3711</v>
      </c>
      <c r="G24" s="1948"/>
      <c r="H24" s="1948"/>
      <c r="I24" s="1948"/>
      <c r="J24" s="1948"/>
      <c r="K24" s="1948"/>
      <c r="L24" s="1949"/>
      <c r="M24" s="1132" t="s">
        <v>2189</v>
      </c>
      <c r="O24" s="1947" t="s">
        <v>3703</v>
      </c>
      <c r="P24" s="1949"/>
    </row>
    <row r="25" spans="1:16" s="362" customFormat="1" ht="13.15" customHeight="1">
      <c r="A25" s="375"/>
      <c r="B25" s="362" t="s">
        <v>3005</v>
      </c>
      <c r="D25" s="376"/>
      <c r="F25" s="1947" t="s">
        <v>3799</v>
      </c>
      <c r="G25" s="1948"/>
      <c r="H25" s="1948"/>
      <c r="I25" s="1948"/>
      <c r="J25" s="1948"/>
      <c r="K25" s="1948"/>
      <c r="L25" s="1949"/>
      <c r="M25" s="1132" t="s">
        <v>3006</v>
      </c>
      <c r="O25" s="1965"/>
      <c r="P25" s="1966"/>
    </row>
    <row r="26" spans="1:16" s="362" customFormat="1" ht="13.15" customHeight="1">
      <c r="A26" s="375"/>
      <c r="B26" s="362" t="s">
        <v>3234</v>
      </c>
      <c r="D26" s="376"/>
      <c r="F26" s="1947" t="s">
        <v>3800</v>
      </c>
      <c r="G26" s="1948"/>
      <c r="H26" s="1948"/>
      <c r="I26" s="1948"/>
      <c r="J26" s="1948"/>
      <c r="K26" s="1948"/>
      <c r="L26" s="1949"/>
      <c r="M26" s="1132" t="s">
        <v>2433</v>
      </c>
      <c r="O26" s="1967">
        <v>3.66</v>
      </c>
      <c r="P26" s="1968"/>
    </row>
    <row r="27" spans="1:16" s="362" customFormat="1" ht="13.15" customHeight="1">
      <c r="A27" s="617"/>
      <c r="B27" s="362" t="s">
        <v>659</v>
      </c>
      <c r="F27" s="1947" t="s">
        <v>204</v>
      </c>
      <c r="G27" s="1948"/>
      <c r="H27" s="1949"/>
      <c r="I27" s="380" t="s">
        <v>2933</v>
      </c>
      <c r="J27" s="1958">
        <v>300303022</v>
      </c>
      <c r="K27" s="1959"/>
      <c r="L27" s="441" t="str">
        <f>IF(AND(NOT(F23=""),NOT(F27="Select from list"),J27=""),"Enter Zip!","")</f>
        <v/>
      </c>
      <c r="M27" s="378" t="s">
        <v>3701</v>
      </c>
      <c r="O27" s="1969" t="s">
        <v>3801</v>
      </c>
      <c r="P27" s="1970"/>
    </row>
    <row r="28" spans="1:16" s="362" customFormat="1" ht="13.15" customHeight="1">
      <c r="A28" s="617"/>
      <c r="B28" s="1142" t="s">
        <v>3209</v>
      </c>
      <c r="D28" s="1142"/>
      <c r="F28" s="1971" t="s">
        <v>3712</v>
      </c>
      <c r="G28" s="1972"/>
      <c r="H28" s="1973"/>
      <c r="I28" s="377" t="s">
        <v>660</v>
      </c>
      <c r="J28" s="1974" t="str">
        <f>IF($F$27="","",VLOOKUP($F$27,$N$179:$O$809,2,FALSE))</f>
        <v>DeKalb</v>
      </c>
      <c r="K28" s="1975"/>
      <c r="M28" s="1132" t="s">
        <v>475</v>
      </c>
      <c r="N28" s="1976" t="s">
        <v>3703</v>
      </c>
      <c r="O28" s="370" t="s">
        <v>476</v>
      </c>
      <c r="P28" s="1976" t="s">
        <v>3703</v>
      </c>
    </row>
    <row r="29" spans="1:16" s="362" customFormat="1" ht="13.15" customHeight="1">
      <c r="A29" s="617"/>
      <c r="B29" s="365"/>
      <c r="C29" s="362" t="s">
        <v>1666</v>
      </c>
      <c r="F29" s="1977" t="s">
        <v>3703</v>
      </c>
      <c r="G29" s="1201" t="s">
        <v>3235</v>
      </c>
      <c r="H29" s="1202"/>
      <c r="I29" s="665" t="str">
        <f>IF($J$28="","",IF(VLOOKUP($J$28,C179:I338,7,FALSE)="Rural","Yes",IF(VLOOKUP($J$28,C179:I338,7,FALSE)="Urban","No","")))</f>
        <v>No</v>
      </c>
      <c r="J29" s="1135" t="s">
        <v>3259</v>
      </c>
      <c r="K29" s="1135" t="str">
        <f>IF(OR(F29="Yes",I29="Yes"),"Rural","Urban")</f>
        <v>Urban</v>
      </c>
      <c r="M29" s="1132" t="s">
        <v>2796</v>
      </c>
      <c r="N29" s="523" t="str">
        <f>VLOOKUP($J$28,$C$179:$F$338,4)</f>
        <v>MSA</v>
      </c>
      <c r="O29" s="1978" t="str">
        <f>IF($F$27="","",VLOOKUP($J$28,$C$179:$H$338,3,FALSE))</f>
        <v>Atlanta-Sandy Springs-Marietta</v>
      </c>
      <c r="P29" s="1979"/>
    </row>
    <row r="30" spans="1:16" s="362" customFormat="1" ht="3" customHeight="1">
      <c r="A30" s="617"/>
      <c r="B30" s="365"/>
      <c r="C30" s="365"/>
      <c r="I30" s="368"/>
      <c r="J30" s="1142"/>
      <c r="L30" s="1148"/>
      <c r="M30" s="1148"/>
      <c r="N30" s="1148"/>
      <c r="O30" s="1148"/>
      <c r="P30" s="1148"/>
    </row>
    <row r="31" spans="1:16" s="362" customFormat="1" ht="13.15" customHeight="1">
      <c r="A31" s="617"/>
      <c r="C31" s="362" t="s">
        <v>3017</v>
      </c>
      <c r="F31" s="1196" t="s">
        <v>3152</v>
      </c>
      <c r="G31" s="1196"/>
      <c r="H31" s="1195" t="s">
        <v>786</v>
      </c>
      <c r="I31" s="1195"/>
      <c r="J31" s="1195" t="s">
        <v>787</v>
      </c>
      <c r="K31" s="1195"/>
      <c r="L31" s="650" t="s">
        <v>2934</v>
      </c>
    </row>
    <row r="32" spans="1:16" s="362" customFormat="1" ht="13.15" customHeight="1">
      <c r="A32" s="617"/>
      <c r="B32" s="362" t="s">
        <v>3151</v>
      </c>
      <c r="D32" s="365"/>
      <c r="F32" s="1980">
        <v>4</v>
      </c>
      <c r="G32" s="1981"/>
      <c r="H32" s="1980">
        <v>42</v>
      </c>
      <c r="I32" s="1981"/>
      <c r="J32" s="1980">
        <v>85</v>
      </c>
      <c r="K32" s="1981"/>
      <c r="L32" s="646" t="s">
        <v>1364</v>
      </c>
      <c r="N32" s="1208" t="s">
        <v>1365</v>
      </c>
      <c r="O32" s="1208"/>
      <c r="P32" s="1208"/>
    </row>
    <row r="33" spans="1:17" s="362" customFormat="1" ht="12.75" customHeight="1">
      <c r="A33" s="617"/>
      <c r="B33" s="368" t="s">
        <v>788</v>
      </c>
      <c r="F33" s="1980"/>
      <c r="G33" s="1981"/>
      <c r="H33" s="1980"/>
      <c r="I33" s="1981"/>
      <c r="J33" s="1980"/>
      <c r="K33" s="1981"/>
      <c r="L33" s="646" t="s">
        <v>3150</v>
      </c>
      <c r="N33" s="1209" t="s">
        <v>3149</v>
      </c>
      <c r="O33" s="1209"/>
    </row>
    <row r="34" spans="1:17" s="362" customFormat="1" ht="3" customHeight="1">
      <c r="A34" s="617"/>
      <c r="I34" s="1148"/>
      <c r="J34" s="1148"/>
      <c r="K34" s="1148"/>
      <c r="L34" s="1142"/>
      <c r="M34" s="1142"/>
      <c r="N34" s="1142"/>
      <c r="O34" s="1142"/>
      <c r="P34" s="1142"/>
    </row>
    <row r="35" spans="1:17" s="362" customFormat="1" ht="13.15" customHeight="1">
      <c r="A35" s="617"/>
      <c r="B35" s="365" t="s">
        <v>678</v>
      </c>
      <c r="F35" s="1982" t="s">
        <v>3787</v>
      </c>
      <c r="G35" s="1983"/>
      <c r="H35" s="1983"/>
      <c r="I35" s="1983"/>
      <c r="J35" s="1984"/>
      <c r="K35" s="1985"/>
      <c r="M35" s="639" t="s">
        <v>2945</v>
      </c>
      <c r="N35" s="1971" t="s">
        <v>3790</v>
      </c>
      <c r="O35" s="1972"/>
      <c r="P35" s="1973"/>
    </row>
    <row r="36" spans="1:17" s="362" customFormat="1" ht="13.15" customHeight="1">
      <c r="A36" s="617"/>
      <c r="B36" s="362" t="s">
        <v>679</v>
      </c>
      <c r="F36" s="1986" t="s">
        <v>3788</v>
      </c>
      <c r="G36" s="1987"/>
      <c r="H36" s="1988"/>
      <c r="I36" s="1136" t="s">
        <v>2116</v>
      </c>
      <c r="J36" s="1971" t="s">
        <v>3789</v>
      </c>
      <c r="K36" s="1972"/>
      <c r="L36" s="1973"/>
      <c r="M36" s="368" t="s">
        <v>1924</v>
      </c>
      <c r="N36" s="1986" t="s">
        <v>3791</v>
      </c>
      <c r="O36" s="1987"/>
      <c r="P36" s="1988"/>
    </row>
    <row r="37" spans="1:17" s="362" customFormat="1" ht="13.15" customHeight="1">
      <c r="A37" s="617"/>
      <c r="B37" s="362" t="s">
        <v>2117</v>
      </c>
      <c r="F37" s="1986" t="s">
        <v>3792</v>
      </c>
      <c r="G37" s="1987"/>
      <c r="H37" s="1987"/>
      <c r="I37" s="1987"/>
      <c r="J37" s="1989"/>
      <c r="K37" s="1990"/>
      <c r="M37" s="1137" t="s">
        <v>659</v>
      </c>
      <c r="N37" s="1971" t="s">
        <v>204</v>
      </c>
      <c r="O37" s="1972"/>
      <c r="P37" s="1973"/>
    </row>
    <row r="38" spans="1:17" s="362" customFormat="1" ht="13.15" customHeight="1">
      <c r="A38" s="617"/>
      <c r="B38" s="1132" t="s">
        <v>2377</v>
      </c>
      <c r="F38" s="1991">
        <v>300300220</v>
      </c>
      <c r="G38" s="1992"/>
      <c r="H38" s="1135" t="s">
        <v>2118</v>
      </c>
      <c r="I38" s="1993">
        <v>4043704100</v>
      </c>
      <c r="J38" s="1994"/>
      <c r="K38" s="1995"/>
      <c r="M38" s="368" t="s">
        <v>1926</v>
      </c>
      <c r="N38" s="1996">
        <v>4043702678</v>
      </c>
      <c r="O38" s="1997"/>
    </row>
    <row r="39" spans="1:17" s="362" customFormat="1" ht="6" customHeight="1">
      <c r="A39" s="617"/>
      <c r="B39" s="617"/>
      <c r="C39" s="379"/>
      <c r="D39" s="380"/>
      <c r="E39" s="380"/>
      <c r="F39" s="1138"/>
      <c r="G39" s="1138"/>
      <c r="H39" s="1138"/>
      <c r="I39" s="1138"/>
      <c r="J39" s="380"/>
      <c r="K39" s="1138"/>
      <c r="L39" s="1138"/>
      <c r="N39" s="1142"/>
      <c r="O39" s="1142"/>
      <c r="P39" s="373"/>
    </row>
    <row r="40" spans="1:17" s="362" customFormat="1" ht="12" customHeight="1">
      <c r="A40" s="369" t="s">
        <v>1918</v>
      </c>
      <c r="B40" s="365" t="s">
        <v>1573</v>
      </c>
      <c r="F40" s="381"/>
      <c r="I40" s="1132"/>
      <c r="J40" s="1142"/>
      <c r="K40" s="1142"/>
      <c r="L40" s="1142"/>
      <c r="M40" s="1142"/>
      <c r="N40" s="1142"/>
      <c r="O40" s="1142"/>
      <c r="P40" s="1142"/>
    </row>
    <row r="41" spans="1:17" s="362" customFormat="1" ht="3" customHeight="1">
      <c r="A41" s="617"/>
      <c r="B41" s="365"/>
      <c r="C41" s="365"/>
      <c r="I41" s="1132"/>
      <c r="J41" s="1142"/>
      <c r="K41" s="1142"/>
      <c r="L41" s="1142"/>
      <c r="M41" s="1142"/>
      <c r="N41" s="1142"/>
      <c r="O41" s="1142"/>
      <c r="P41" s="1142"/>
      <c r="Q41" s="1142"/>
    </row>
    <row r="42" spans="1:17" s="362" customFormat="1" ht="13.15" customHeight="1">
      <c r="A42" s="617"/>
      <c r="B42" s="617" t="s">
        <v>2119</v>
      </c>
      <c r="C42" s="365" t="s">
        <v>767</v>
      </c>
      <c r="I42" s="1142"/>
      <c r="J42" s="1142"/>
      <c r="K42" s="647"/>
      <c r="L42" s="1142"/>
      <c r="M42" s="649"/>
      <c r="N42" s="649"/>
      <c r="O42" s="649"/>
      <c r="P42" s="649"/>
      <c r="Q42" s="1138"/>
    </row>
    <row r="43" spans="1:17" ht="13.15" customHeight="1">
      <c r="B43" s="617"/>
      <c r="C43" s="362" t="s">
        <v>2446</v>
      </c>
      <c r="D43" s="362"/>
      <c r="E43" s="362"/>
      <c r="F43" s="383">
        <f>'Part VI-Revenues &amp; Expenses'!$M$74</f>
        <v>69</v>
      </c>
      <c r="H43" s="368" t="s">
        <v>384</v>
      </c>
      <c r="J43" s="362"/>
      <c r="M43" s="383">
        <f>'Part VI-Revenues &amp; Expenses'!$M$81</f>
        <v>0</v>
      </c>
      <c r="Q43" s="1138"/>
    </row>
    <row r="44" spans="1:17" s="362" customFormat="1" ht="13.15" customHeight="1">
      <c r="A44" s="617"/>
      <c r="B44" s="617"/>
      <c r="C44" s="384" t="s">
        <v>365</v>
      </c>
      <c r="F44" s="383">
        <f>'Part VI-Revenues &amp; Expenses'!$M$80</f>
        <v>0</v>
      </c>
      <c r="H44" s="384" t="s">
        <v>385</v>
      </c>
      <c r="M44" s="383">
        <f>'Part VI-Revenues &amp; Expenses'!$M$82</f>
        <v>0</v>
      </c>
    </row>
    <row r="45" spans="1:17" s="362" customFormat="1" ht="13.15" customHeight="1">
      <c r="B45" s="617"/>
      <c r="C45" s="368" t="s">
        <v>364</v>
      </c>
      <c r="D45" s="1142"/>
      <c r="F45" s="383">
        <f>'Part VI-Revenues &amp; Expenses'!$M$77</f>
        <v>0</v>
      </c>
      <c r="G45" s="619" t="s">
        <v>3002</v>
      </c>
      <c r="H45" s="362" t="s">
        <v>366</v>
      </c>
      <c r="M45" s="1998"/>
      <c r="Q45" s="1138"/>
    </row>
    <row r="46" spans="1:17" s="362" customFormat="1" ht="3.6" customHeight="1">
      <c r="A46" s="617"/>
      <c r="P46" s="1142"/>
    </row>
    <row r="47" spans="1:17" s="362" customFormat="1" ht="12.75">
      <c r="A47" s="617"/>
      <c r="B47" s="617" t="s">
        <v>2122</v>
      </c>
      <c r="C47" s="365" t="s">
        <v>2447</v>
      </c>
      <c r="F47" s="1961"/>
      <c r="I47" s="1142"/>
      <c r="J47" s="1142"/>
      <c r="K47" s="1142"/>
      <c r="L47" s="1142"/>
      <c r="M47" s="649"/>
      <c r="N47" s="649"/>
      <c r="O47" s="649"/>
      <c r="P47" s="647"/>
      <c r="Q47" s="1142"/>
    </row>
    <row r="48" spans="1:17" s="362" customFormat="1" ht="3" customHeight="1">
      <c r="A48" s="617"/>
      <c r="I48" s="1142"/>
      <c r="J48" s="647"/>
      <c r="K48" s="648"/>
      <c r="L48" s="647"/>
      <c r="M48" s="648"/>
      <c r="N48" s="648"/>
      <c r="O48" s="648"/>
      <c r="P48" s="648"/>
      <c r="Q48" s="1142"/>
    </row>
    <row r="49" spans="1:19" s="362" customFormat="1" ht="13.15" customHeight="1">
      <c r="A49" s="617"/>
      <c r="B49" s="375" t="s">
        <v>799</v>
      </c>
      <c r="C49" s="374" t="s">
        <v>2426</v>
      </c>
      <c r="D49" s="1142"/>
      <c r="I49" s="1190" t="s">
        <v>1511</v>
      </c>
      <c r="J49" s="375" t="s">
        <v>2254</v>
      </c>
      <c r="K49" s="385" t="s">
        <v>2453</v>
      </c>
      <c r="M49" s="1142"/>
      <c r="N49" s="1142"/>
      <c r="O49" s="1142"/>
      <c r="P49" s="1138"/>
      <c r="Q49" s="1138"/>
      <c r="R49" s="1138"/>
      <c r="S49" s="1142"/>
    </row>
    <row r="50" spans="1:19" s="362" customFormat="1" ht="13.15" customHeight="1">
      <c r="A50" s="617"/>
      <c r="B50" s="1131"/>
      <c r="C50" s="372" t="s">
        <v>2427</v>
      </c>
      <c r="D50" s="1142"/>
      <c r="E50" s="1142"/>
      <c r="H50" s="386">
        <f>SUM(H51:H52)</f>
        <v>69</v>
      </c>
      <c r="I50" s="1191"/>
      <c r="J50" s="617"/>
      <c r="K50" s="372" t="s">
        <v>3224</v>
      </c>
      <c r="M50" s="1142"/>
      <c r="N50" s="1142"/>
      <c r="O50" s="1142"/>
      <c r="P50" s="386">
        <f>'Part VI-Revenues &amp; Expenses'!$M$96</f>
        <v>65565</v>
      </c>
    </row>
    <row r="51" spans="1:19" s="362" customFormat="1" ht="13.15" customHeight="1">
      <c r="A51" s="617"/>
      <c r="B51" s="382"/>
      <c r="D51" s="387" t="s">
        <v>404</v>
      </c>
      <c r="E51" s="1142"/>
      <c r="H51" s="386">
        <f>'Part VI-Revenues &amp; Expenses'!$M$57</f>
        <v>15</v>
      </c>
      <c r="I51" s="386">
        <f>'Part VI-Revenues &amp; Expenses'!$M$65</f>
        <v>15</v>
      </c>
      <c r="K51" s="372" t="s">
        <v>3225</v>
      </c>
      <c r="M51" s="1142"/>
      <c r="N51" s="1142"/>
      <c r="O51" s="1142"/>
      <c r="P51" s="386">
        <f>'Part VI-Revenues &amp; Expenses'!$M$97</f>
        <v>0</v>
      </c>
    </row>
    <row r="52" spans="1:19" s="362" customFormat="1" ht="13.15" customHeight="1">
      <c r="A52" s="617"/>
      <c r="D52" s="387" t="s">
        <v>1949</v>
      </c>
      <c r="E52" s="387"/>
      <c r="H52" s="386">
        <f>'Part VI-Revenues &amp; Expenses'!$M$56</f>
        <v>54</v>
      </c>
      <c r="I52" s="386">
        <f>'Part VI-Revenues &amp; Expenses'!$M$64</f>
        <v>54</v>
      </c>
      <c r="K52" s="372" t="s">
        <v>3226</v>
      </c>
      <c r="M52" s="1142"/>
      <c r="N52" s="1142"/>
      <c r="O52" s="1142"/>
      <c r="P52" s="386">
        <f>+P50+P51</f>
        <v>65565</v>
      </c>
    </row>
    <row r="53" spans="1:19" s="362" customFormat="1" ht="13.15" customHeight="1">
      <c r="A53" s="617"/>
      <c r="C53" s="372" t="s">
        <v>266</v>
      </c>
      <c r="D53" s="1142"/>
      <c r="E53" s="1142"/>
      <c r="H53" s="386">
        <f>'Part VI-Revenues &amp; Expenses'!$M$59</f>
        <v>0</v>
      </c>
      <c r="J53" s="617"/>
      <c r="K53" s="372" t="s">
        <v>3227</v>
      </c>
      <c r="M53" s="1142"/>
      <c r="N53" s="1142"/>
      <c r="O53" s="1142"/>
      <c r="P53" s="386">
        <f>'Part VI-Revenues &amp; Expenses'!$M$99</f>
        <v>0</v>
      </c>
    </row>
    <row r="54" spans="1:19" s="362" customFormat="1" ht="13.15" customHeight="1">
      <c r="A54" s="617"/>
      <c r="C54" s="372" t="s">
        <v>2572</v>
      </c>
      <c r="D54" s="1142"/>
      <c r="E54" s="1142"/>
      <c r="H54" s="386">
        <f>+H50+H53</f>
        <v>69</v>
      </c>
      <c r="J54" s="617"/>
      <c r="K54" s="372" t="s">
        <v>1513</v>
      </c>
      <c r="M54" s="1142"/>
      <c r="N54" s="1142"/>
      <c r="O54" s="1142"/>
      <c r="P54" s="386">
        <f>+P52+P53</f>
        <v>65565</v>
      </c>
    </row>
    <row r="55" spans="1:19" s="362" customFormat="1" ht="13.15" customHeight="1">
      <c r="A55" s="617"/>
      <c r="C55" s="372" t="s">
        <v>2573</v>
      </c>
      <c r="D55" s="1142"/>
      <c r="E55" s="1142"/>
      <c r="H55" s="386">
        <f>'Part VI-Revenues &amp; Expenses'!$M$61</f>
        <v>0</v>
      </c>
      <c r="J55" s="617"/>
    </row>
    <row r="56" spans="1:19" s="362" customFormat="1" ht="13.15" customHeight="1">
      <c r="A56" s="617"/>
      <c r="C56" s="372" t="s">
        <v>1917</v>
      </c>
      <c r="D56" s="1142"/>
      <c r="E56" s="1142"/>
      <c r="H56" s="386">
        <f>+H54+H55</f>
        <v>69</v>
      </c>
      <c r="J56" s="1142"/>
    </row>
    <row r="57" spans="1:19" s="362" customFormat="1" ht="3" customHeight="1">
      <c r="A57" s="617"/>
      <c r="I57" s="1138"/>
      <c r="L57" s="1138"/>
      <c r="M57" s="1138"/>
      <c r="N57" s="1142"/>
      <c r="P57" s="373"/>
    </row>
    <row r="58" spans="1:19" s="362" customFormat="1" ht="13.15" customHeight="1">
      <c r="A58" s="617"/>
      <c r="B58" s="617" t="s">
        <v>1857</v>
      </c>
      <c r="C58" s="374" t="s">
        <v>2448</v>
      </c>
      <c r="D58" s="387" t="s">
        <v>2133</v>
      </c>
      <c r="G58" s="1142"/>
      <c r="H58" s="1999">
        <v>4</v>
      </c>
      <c r="K58" s="372" t="s">
        <v>1192</v>
      </c>
      <c r="O58" s="1142"/>
      <c r="P58" s="1999">
        <v>3300</v>
      </c>
    </row>
    <row r="59" spans="1:19" s="362" customFormat="1" ht="13.15" customHeight="1">
      <c r="A59" s="617"/>
      <c r="B59" s="617"/>
      <c r="D59" s="1131" t="s">
        <v>2134</v>
      </c>
      <c r="H59" s="1999"/>
      <c r="I59" s="1142"/>
      <c r="K59" s="372" t="s">
        <v>265</v>
      </c>
      <c r="O59" s="1142"/>
      <c r="P59" s="386">
        <f>+P54+P58</f>
        <v>68865</v>
      </c>
    </row>
    <row r="60" spans="1:19" s="362" customFormat="1" ht="13.15" customHeight="1">
      <c r="A60" s="617"/>
      <c r="B60" s="617"/>
      <c r="D60" s="1131" t="s">
        <v>2135</v>
      </c>
      <c r="H60" s="386">
        <f>+H58+H59</f>
        <v>4</v>
      </c>
      <c r="I60" s="1142"/>
    </row>
    <row r="61" spans="1:19" s="362" customFormat="1" ht="3" customHeight="1">
      <c r="A61" s="617"/>
      <c r="B61" s="617"/>
      <c r="C61" s="1142"/>
      <c r="D61" s="1142"/>
      <c r="E61" s="1142"/>
      <c r="F61" s="1142"/>
      <c r="G61" s="1138"/>
      <c r="I61" s="372"/>
      <c r="J61" s="1142"/>
      <c r="P61" s="373"/>
    </row>
    <row r="62" spans="1:19" s="362" customFormat="1" ht="13.15" customHeight="1">
      <c r="A62" s="617"/>
      <c r="B62" s="617" t="s">
        <v>1858</v>
      </c>
      <c r="C62" s="374" t="s">
        <v>3393</v>
      </c>
      <c r="D62" s="1142"/>
      <c r="E62" s="1142"/>
      <c r="F62" s="1142"/>
      <c r="G62" s="1142"/>
      <c r="H62" s="1999">
        <v>73</v>
      </c>
      <c r="K62" s="362" t="s">
        <v>3400</v>
      </c>
    </row>
    <row r="63" spans="1:19" s="362" customFormat="1" ht="6.75" customHeight="1">
      <c r="A63" s="617"/>
      <c r="B63" s="617"/>
      <c r="C63" s="372"/>
      <c r="D63" s="1142"/>
      <c r="E63" s="1142"/>
      <c r="F63" s="1142"/>
      <c r="G63" s="1138"/>
      <c r="H63" s="1142"/>
      <c r="I63" s="372"/>
      <c r="J63" s="372"/>
      <c r="K63" s="1142"/>
      <c r="P63" s="373"/>
    </row>
    <row r="64" spans="1:19" s="362" customFormat="1" ht="13.15" customHeight="1">
      <c r="A64" s="617" t="s">
        <v>563</v>
      </c>
      <c r="B64" s="388" t="s">
        <v>1262</v>
      </c>
      <c r="D64" s="388"/>
      <c r="E64" s="388"/>
      <c r="F64" s="1142"/>
      <c r="G64" s="1138"/>
      <c r="H64" s="663"/>
      <c r="K64" s="1142"/>
      <c r="P64" s="373"/>
    </row>
    <row r="65" spans="1:16" s="362" customFormat="1" ht="3" customHeight="1">
      <c r="A65" s="617"/>
      <c r="C65" s="1133"/>
      <c r="D65" s="1133"/>
      <c r="E65" s="1133"/>
      <c r="F65" s="1142"/>
      <c r="G65" s="1138"/>
      <c r="K65" s="1142"/>
      <c r="P65" s="373"/>
    </row>
    <row r="66" spans="1:16" s="362" customFormat="1" ht="13.15" customHeight="1">
      <c r="A66" s="617"/>
      <c r="B66" s="617" t="s">
        <v>2119</v>
      </c>
      <c r="C66" s="329" t="s">
        <v>2924</v>
      </c>
      <c r="D66" s="1133"/>
      <c r="E66" s="1133"/>
      <c r="F66" s="1142"/>
      <c r="G66" s="1138"/>
      <c r="H66" s="2000" t="s">
        <v>3713</v>
      </c>
      <c r="I66" s="2001"/>
      <c r="K66" s="1188" t="s">
        <v>1896</v>
      </c>
      <c r="L66" s="1188"/>
      <c r="N66" s="1947"/>
      <c r="O66" s="1948"/>
      <c r="P66" s="1949"/>
    </row>
    <row r="67" spans="1:16" s="362" customFormat="1" ht="3" customHeight="1">
      <c r="A67" s="617"/>
      <c r="B67" s="617"/>
      <c r="D67" s="1131"/>
      <c r="E67" s="1131"/>
      <c r="F67" s="1131"/>
      <c r="G67" s="1131"/>
      <c r="I67" s="1138"/>
      <c r="K67" s="1132"/>
      <c r="L67" s="1132"/>
      <c r="M67" s="1138"/>
      <c r="N67" s="1142"/>
      <c r="P67" s="373"/>
    </row>
    <row r="68" spans="1:16" s="362" customFormat="1" ht="13.15" customHeight="1">
      <c r="A68" s="617"/>
      <c r="B68" s="617" t="s">
        <v>2122</v>
      </c>
      <c r="C68" s="374" t="s">
        <v>1503</v>
      </c>
      <c r="D68" s="1142"/>
      <c r="E68" s="387"/>
      <c r="F68" s="1131" t="s">
        <v>850</v>
      </c>
      <c r="H68" s="1999">
        <v>20</v>
      </c>
      <c r="K68" s="1188" t="s">
        <v>553</v>
      </c>
      <c r="L68" s="1188"/>
      <c r="P68" s="390">
        <f>IF('Part VI-Revenues &amp; Expenses'!$M$62=0,0,H68/'Part VI-Revenues &amp; Expenses'!$M$62)</f>
        <v>0.28985507246376813</v>
      </c>
    </row>
    <row r="69" spans="1:16" s="362" customFormat="1" ht="12.75" customHeight="1">
      <c r="A69" s="617"/>
      <c r="B69" s="617"/>
      <c r="D69" s="1131" t="s">
        <v>3391</v>
      </c>
      <c r="E69" s="1131"/>
      <c r="F69" s="1131" t="s">
        <v>850</v>
      </c>
      <c r="H69" s="1999">
        <v>20</v>
      </c>
      <c r="K69" s="1142" t="s">
        <v>3392</v>
      </c>
      <c r="L69" s="1142"/>
      <c r="P69" s="390">
        <f>IF(H68=0,0,H69/H68)</f>
        <v>1</v>
      </c>
    </row>
    <row r="70" spans="1:16" s="362" customFormat="1" ht="3" customHeight="1">
      <c r="A70" s="617"/>
      <c r="B70" s="617"/>
      <c r="D70" s="1131"/>
      <c r="E70" s="1131"/>
      <c r="F70" s="1131"/>
      <c r="I70" s="1138"/>
      <c r="K70" s="1132"/>
      <c r="L70" s="1132"/>
      <c r="M70" s="1138"/>
      <c r="P70" s="1138"/>
    </row>
    <row r="71" spans="1:16" s="362" customFormat="1" ht="13.15" customHeight="1">
      <c r="A71" s="617"/>
      <c r="B71" s="617" t="s">
        <v>799</v>
      </c>
      <c r="C71" s="374" t="s">
        <v>1973</v>
      </c>
      <c r="D71" s="387"/>
      <c r="E71" s="387"/>
      <c r="F71" s="1131" t="s">
        <v>850</v>
      </c>
      <c r="H71" s="1999">
        <v>2</v>
      </c>
      <c r="K71" s="1188" t="s">
        <v>553</v>
      </c>
      <c r="L71" s="1188"/>
      <c r="P71" s="390">
        <f>IF('Part VI-Revenues &amp; Expenses'!$M$62=0,0,H71/'Part VI-Revenues &amp; Expenses'!$M$62)</f>
        <v>2.8985507246376812E-2</v>
      </c>
    </row>
    <row r="72" spans="1:16" s="362" customFormat="1" ht="6.75" customHeight="1">
      <c r="A72" s="617"/>
      <c r="B72" s="617"/>
      <c r="D72" s="1131"/>
      <c r="E72" s="1131"/>
      <c r="F72" s="1131"/>
      <c r="G72" s="1131"/>
      <c r="I72" s="1138"/>
      <c r="J72" s="1138"/>
      <c r="K72" s="1138"/>
      <c r="L72" s="1138"/>
      <c r="M72" s="1138"/>
      <c r="N72" s="1142"/>
      <c r="P72" s="373"/>
    </row>
    <row r="73" spans="1:16" s="362" customFormat="1" ht="13.15" customHeight="1">
      <c r="A73" s="391" t="s">
        <v>823</v>
      </c>
      <c r="B73" s="1133" t="s">
        <v>2535</v>
      </c>
      <c r="D73" s="1131"/>
      <c r="E73" s="1131"/>
      <c r="F73" s="1131"/>
      <c r="G73" s="1131"/>
      <c r="H73" s="1131"/>
      <c r="I73" s="1138"/>
      <c r="M73" s="1138"/>
      <c r="N73" s="1142"/>
      <c r="P73" s="373"/>
    </row>
    <row r="74" spans="1:16" s="362" customFormat="1" ht="3" customHeight="1">
      <c r="A74" s="617"/>
      <c r="B74" s="617"/>
      <c r="C74" s="1133"/>
      <c r="D74" s="1131"/>
      <c r="E74" s="1131"/>
      <c r="F74" s="1131"/>
      <c r="L74" s="1138"/>
      <c r="M74" s="1138"/>
      <c r="N74" s="1142"/>
      <c r="P74" s="373"/>
    </row>
    <row r="75" spans="1:16" s="362" customFormat="1" ht="13.15" customHeight="1">
      <c r="A75" s="617"/>
      <c r="B75" s="617" t="s">
        <v>2119</v>
      </c>
      <c r="C75" s="329" t="s">
        <v>2534</v>
      </c>
      <c r="D75" s="1131"/>
      <c r="E75" s="1131"/>
      <c r="F75" s="1131"/>
      <c r="H75" s="2002" t="s">
        <v>924</v>
      </c>
      <c r="I75" s="2003"/>
      <c r="J75" s="2004"/>
      <c r="M75" s="1138"/>
      <c r="N75" s="1142"/>
      <c r="P75" s="373"/>
    </row>
    <row r="76" spans="1:16" s="362" customFormat="1" ht="3" customHeight="1">
      <c r="A76" s="617"/>
      <c r="B76" s="617"/>
      <c r="D76" s="1131"/>
      <c r="E76" s="1131"/>
      <c r="F76" s="1131"/>
      <c r="G76" s="1131"/>
      <c r="I76" s="1138"/>
      <c r="J76" s="1138"/>
      <c r="K76" s="1138"/>
      <c r="L76" s="1138"/>
      <c r="M76" s="1138"/>
      <c r="N76" s="1142"/>
      <c r="P76" s="373"/>
    </row>
    <row r="77" spans="1:16" s="362" customFormat="1" ht="13.15" customHeight="1">
      <c r="B77" s="617" t="s">
        <v>2122</v>
      </c>
      <c r="C77" s="365" t="s">
        <v>1640</v>
      </c>
      <c r="K77" s="368" t="s">
        <v>923</v>
      </c>
      <c r="N77" s="392"/>
      <c r="P77" s="1961"/>
    </row>
    <row r="78" spans="1:16" s="362" customFormat="1" ht="6.75" customHeight="1">
      <c r="A78" s="617"/>
      <c r="B78" s="617"/>
      <c r="C78" s="365"/>
      <c r="D78" s="1131"/>
      <c r="E78" s="1131"/>
      <c r="F78" s="1131"/>
      <c r="G78" s="1131"/>
      <c r="I78" s="1138"/>
      <c r="J78" s="1138"/>
      <c r="K78" s="1138"/>
      <c r="L78" s="1138"/>
      <c r="M78" s="1138"/>
      <c r="N78" s="1142"/>
      <c r="P78" s="373"/>
    </row>
    <row r="79" spans="1:16" s="362" customFormat="1" ht="13.15" customHeight="1">
      <c r="A79" s="391" t="s">
        <v>308</v>
      </c>
      <c r="B79" s="1133" t="s">
        <v>2180</v>
      </c>
      <c r="D79" s="1131"/>
    </row>
    <row r="80" spans="1:16" s="362" customFormat="1" ht="3" customHeight="1">
      <c r="A80" s="617"/>
      <c r="B80" s="617"/>
      <c r="D80" s="1131"/>
      <c r="N80" s="1142"/>
      <c r="P80" s="373"/>
    </row>
    <row r="81" spans="1:16" s="362" customFormat="1" ht="13.15" customHeight="1">
      <c r="A81" s="391"/>
      <c r="B81" s="617" t="s">
        <v>2119</v>
      </c>
      <c r="C81" s="365" t="s">
        <v>2951</v>
      </c>
      <c r="F81" s="387" t="s">
        <v>2784</v>
      </c>
      <c r="H81" s="1961" t="s">
        <v>3702</v>
      </c>
    </row>
    <row r="82" spans="1:16" s="362" customFormat="1" ht="3" customHeight="1">
      <c r="A82" s="617"/>
      <c r="B82" s="617"/>
      <c r="C82" s="1133"/>
      <c r="F82" s="1131"/>
      <c r="H82" s="1131"/>
      <c r="J82" s="1138"/>
      <c r="K82" s="1138"/>
      <c r="L82" s="1138"/>
      <c r="M82" s="1138"/>
      <c r="N82" s="1138"/>
      <c r="P82" s="373"/>
    </row>
    <row r="83" spans="1:16" s="362" customFormat="1" ht="13.15" customHeight="1">
      <c r="A83" s="391"/>
      <c r="B83" s="617" t="s">
        <v>2122</v>
      </c>
      <c r="C83" s="365" t="s">
        <v>2952</v>
      </c>
      <c r="F83" s="1132" t="s">
        <v>2883</v>
      </c>
      <c r="H83" s="1961" t="s">
        <v>3703</v>
      </c>
      <c r="I83" s="606" t="s">
        <v>2953</v>
      </c>
      <c r="J83" s="1138"/>
      <c r="K83" s="1138"/>
      <c r="L83" s="1138"/>
      <c r="M83" s="1138"/>
      <c r="N83" s="1138"/>
      <c r="O83" s="1138"/>
    </row>
    <row r="84" spans="1:16" s="362" customFormat="1" ht="6.75" customHeight="1">
      <c r="A84" s="617"/>
      <c r="B84" s="617"/>
      <c r="C84" s="365"/>
      <c r="D84" s="1131"/>
      <c r="E84" s="1131"/>
      <c r="F84" s="1131"/>
      <c r="G84" s="1131"/>
      <c r="I84" s="1138"/>
      <c r="J84" s="1138"/>
      <c r="K84" s="1138"/>
      <c r="L84" s="1138"/>
      <c r="M84" s="1138"/>
      <c r="N84" s="1142"/>
      <c r="P84" s="373"/>
    </row>
    <row r="85" spans="1:16" s="362" customFormat="1" ht="13.15" customHeight="1">
      <c r="A85" s="391" t="s">
        <v>445</v>
      </c>
      <c r="B85" s="1133" t="s">
        <v>3237</v>
      </c>
      <c r="D85" s="1131"/>
      <c r="H85" s="1971" t="s">
        <v>3294</v>
      </c>
      <c r="I85" s="1973"/>
      <c r="J85" s="1138"/>
    </row>
    <row r="86" spans="1:16" s="362" customFormat="1" ht="6.75" customHeight="1">
      <c r="A86" s="617"/>
      <c r="D86" s="380"/>
      <c r="E86" s="1142"/>
      <c r="I86" s="380"/>
      <c r="J86" s="372"/>
      <c r="K86" s="1142"/>
      <c r="P86" s="373"/>
    </row>
    <row r="87" spans="1:16" s="362" customFormat="1" ht="13.15" customHeight="1">
      <c r="A87" s="391" t="s">
        <v>381</v>
      </c>
      <c r="B87" s="385" t="s">
        <v>1260</v>
      </c>
      <c r="D87" s="1142"/>
      <c r="E87" s="1142"/>
      <c r="F87" s="1142"/>
      <c r="G87" s="1142"/>
      <c r="H87" s="1142"/>
      <c r="I87" s="380"/>
      <c r="J87" s="372"/>
      <c r="K87" s="1142"/>
      <c r="P87" s="373"/>
    </row>
    <row r="88" spans="1:16" s="362" customFormat="1" ht="3" customHeight="1">
      <c r="A88" s="391"/>
      <c r="B88" s="617"/>
      <c r="C88" s="385"/>
      <c r="D88" s="1142"/>
      <c r="E88" s="1142"/>
      <c r="F88" s="1142"/>
      <c r="G88" s="1142"/>
      <c r="H88" s="1142"/>
      <c r="I88" s="380"/>
      <c r="J88" s="372"/>
      <c r="K88" s="1142"/>
    </row>
    <row r="89" spans="1:16" s="362" customFormat="1" ht="13.15" customHeight="1">
      <c r="A89" s="617"/>
      <c r="B89" s="617"/>
      <c r="C89" s="372" t="s">
        <v>585</v>
      </c>
      <c r="D89" s="1142"/>
      <c r="E89" s="1947"/>
      <c r="F89" s="1948"/>
      <c r="G89" s="1948"/>
      <c r="H89" s="1948"/>
      <c r="I89" s="1948"/>
      <c r="J89" s="1948"/>
      <c r="K89" s="1948"/>
      <c r="L89" s="1949"/>
      <c r="M89" s="1187" t="s">
        <v>586</v>
      </c>
      <c r="N89" s="1187"/>
      <c r="O89" s="2005"/>
      <c r="P89" s="2006"/>
    </row>
    <row r="90" spans="1:16" s="362" customFormat="1" ht="13.15" customHeight="1">
      <c r="C90" s="368" t="s">
        <v>1083</v>
      </c>
      <c r="D90" s="376"/>
      <c r="E90" s="1947"/>
      <c r="F90" s="1948"/>
      <c r="G90" s="1948"/>
      <c r="H90" s="1948"/>
      <c r="I90" s="1948"/>
      <c r="J90" s="1948"/>
      <c r="K90" s="1948"/>
      <c r="L90" s="1949"/>
      <c r="M90" s="1187" t="s">
        <v>862</v>
      </c>
      <c r="N90" s="1187"/>
      <c r="O90" s="1962"/>
      <c r="P90" s="1964"/>
    </row>
    <row r="91" spans="1:16" s="362" customFormat="1" ht="13.15" customHeight="1">
      <c r="C91" s="368" t="s">
        <v>659</v>
      </c>
      <c r="E91" s="1947"/>
      <c r="F91" s="2007"/>
      <c r="G91" s="2008"/>
      <c r="H91" s="1135" t="s">
        <v>1923</v>
      </c>
      <c r="I91" s="1961"/>
      <c r="J91" s="393" t="s">
        <v>2377</v>
      </c>
      <c r="K91" s="1958"/>
      <c r="L91" s="2008"/>
      <c r="M91" s="332"/>
      <c r="N91" s="332"/>
      <c r="O91" s="332"/>
      <c r="P91" s="332"/>
    </row>
    <row r="92" spans="1:16" s="362" customFormat="1" ht="13.15" customHeight="1">
      <c r="C92" s="362" t="s">
        <v>2336</v>
      </c>
      <c r="E92" s="1947"/>
      <c r="F92" s="2007"/>
      <c r="G92" s="2008"/>
      <c r="H92" s="1138" t="s">
        <v>2116</v>
      </c>
      <c r="I92" s="1947"/>
      <c r="J92" s="2007"/>
      <c r="K92" s="2008"/>
      <c r="L92" s="1152" t="s">
        <v>2120</v>
      </c>
      <c r="M92" s="1947"/>
      <c r="N92" s="2007"/>
      <c r="O92" s="2007"/>
      <c r="P92" s="2008"/>
    </row>
    <row r="93" spans="1:16" s="362" customFormat="1" ht="13.15" customHeight="1">
      <c r="C93" s="368" t="s">
        <v>2335</v>
      </c>
      <c r="E93" s="1955"/>
      <c r="F93" s="1960"/>
      <c r="G93" s="1956"/>
      <c r="H93" s="1138" t="s">
        <v>1926</v>
      </c>
      <c r="I93" s="1993"/>
      <c r="J93" s="2008"/>
      <c r="K93" s="393" t="s">
        <v>1927</v>
      </c>
      <c r="L93" s="1993"/>
      <c r="M93" s="2008"/>
      <c r="N93" s="393" t="s">
        <v>2115</v>
      </c>
      <c r="O93" s="1993"/>
      <c r="P93" s="2008"/>
    </row>
    <row r="94" spans="1:16" s="362" customFormat="1" ht="3" customHeight="1">
      <c r="A94" s="617"/>
      <c r="B94" s="617"/>
      <c r="G94" s="380"/>
      <c r="H94" s="1138"/>
      <c r="I94" s="1138"/>
      <c r="M94" s="373"/>
    </row>
    <row r="95" spans="1:16" s="362" customFormat="1" ht="13.15" customHeight="1">
      <c r="A95" s="391" t="s">
        <v>382</v>
      </c>
      <c r="B95" s="1133" t="s">
        <v>1782</v>
      </c>
      <c r="D95" s="380"/>
      <c r="E95" s="380"/>
      <c r="F95" s="1138"/>
      <c r="G95" s="1138"/>
      <c r="H95" s="1138"/>
      <c r="I95" s="1138"/>
      <c r="J95" s="380"/>
      <c r="K95" s="1138"/>
      <c r="L95" s="1138"/>
      <c r="N95" s="1142"/>
      <c r="O95" s="1142"/>
      <c r="P95" s="373"/>
    </row>
    <row r="96" spans="1:16" s="362" customFormat="1" ht="3.6" customHeight="1">
      <c r="A96" s="391"/>
      <c r="B96" s="1133"/>
      <c r="D96" s="380"/>
      <c r="E96" s="380"/>
      <c r="F96" s="1138"/>
      <c r="G96" s="1138"/>
      <c r="H96" s="1138"/>
      <c r="I96" s="1138"/>
      <c r="J96" s="380"/>
      <c r="K96" s="1138"/>
      <c r="L96" s="1138"/>
      <c r="N96" s="1142"/>
      <c r="O96" s="1142"/>
      <c r="P96" s="373"/>
    </row>
    <row r="97" spans="1:16" s="362" customFormat="1" ht="13.15" customHeight="1">
      <c r="B97" s="387" t="s">
        <v>2293</v>
      </c>
      <c r="D97" s="394"/>
      <c r="E97" s="394"/>
      <c r="F97" s="394"/>
      <c r="G97" s="394"/>
      <c r="H97" s="394"/>
      <c r="I97" s="394"/>
      <c r="J97" s="394"/>
      <c r="K97" s="394"/>
      <c r="L97" s="394"/>
      <c r="M97" s="394"/>
      <c r="N97" s="394"/>
      <c r="O97" s="394"/>
      <c r="P97" s="394"/>
    </row>
    <row r="98" spans="1:16" s="362" customFormat="1" ht="4.9000000000000004" customHeight="1">
      <c r="A98" s="617"/>
      <c r="B98" s="617"/>
      <c r="C98" s="395"/>
      <c r="D98" s="395"/>
      <c r="E98" s="395"/>
      <c r="F98" s="395"/>
      <c r="G98" s="395"/>
      <c r="H98" s="395"/>
      <c r="I98" s="395"/>
      <c r="J98" s="395"/>
      <c r="K98" s="395"/>
      <c r="L98" s="395"/>
      <c r="M98" s="395"/>
      <c r="N98" s="395"/>
      <c r="O98" s="395"/>
      <c r="P98" s="395"/>
    </row>
    <row r="99" spans="1:16" s="362" customFormat="1" ht="13.15" customHeight="1">
      <c r="A99" s="617"/>
      <c r="B99" s="617" t="s">
        <v>2119</v>
      </c>
      <c r="C99" s="1133" t="s">
        <v>1504</v>
      </c>
      <c r="D99" s="1131"/>
      <c r="E99" s="1131"/>
      <c r="F99" s="1138"/>
      <c r="G99" s="1138"/>
      <c r="H99" s="2009">
        <v>1</v>
      </c>
      <c r="N99" s="1142"/>
      <c r="O99" s="1142"/>
    </row>
    <row r="100" spans="1:16" s="362" customFormat="1" ht="3.6" customHeight="1">
      <c r="A100" s="617"/>
      <c r="B100" s="617"/>
      <c r="C100" s="395"/>
      <c r="D100" s="395"/>
      <c r="E100" s="395"/>
      <c r="F100" s="395"/>
      <c r="G100" s="395"/>
      <c r="H100" s="395"/>
      <c r="J100" s="395"/>
      <c r="M100" s="395"/>
      <c r="N100" s="395"/>
      <c r="O100" s="395"/>
    </row>
    <row r="101" spans="1:16" s="362" customFormat="1" ht="13.15" customHeight="1">
      <c r="A101" s="617"/>
      <c r="B101" s="617" t="s">
        <v>2122</v>
      </c>
      <c r="C101" s="1133" t="s">
        <v>435</v>
      </c>
      <c r="D101" s="1131"/>
      <c r="E101" s="1131"/>
      <c r="F101" s="1138"/>
      <c r="G101" s="1138"/>
      <c r="H101" s="2010">
        <v>720461</v>
      </c>
      <c r="J101" s="380"/>
      <c r="K101" s="1132"/>
      <c r="N101" s="1142"/>
    </row>
    <row r="102" spans="1:16" s="362" customFormat="1" ht="3.6" customHeight="1">
      <c r="A102" s="617"/>
      <c r="B102" s="617"/>
      <c r="C102" s="395"/>
      <c r="D102" s="395"/>
      <c r="E102" s="395"/>
      <c r="F102" s="395"/>
      <c r="G102" s="395"/>
      <c r="H102" s="395"/>
      <c r="I102" s="395"/>
      <c r="J102" s="395"/>
      <c r="K102" s="395"/>
      <c r="M102" s="395"/>
      <c r="N102" s="395"/>
      <c r="O102" s="395"/>
      <c r="P102" s="395"/>
    </row>
    <row r="103" spans="1:16" s="362" customFormat="1" ht="13.15" customHeight="1">
      <c r="B103" s="617" t="s">
        <v>799</v>
      </c>
      <c r="C103" s="1133" t="s">
        <v>318</v>
      </c>
      <c r="D103" s="1131"/>
      <c r="E103" s="1131"/>
      <c r="F103" s="1138"/>
      <c r="G103" s="1138"/>
      <c r="H103" s="1138"/>
      <c r="I103" s="1138"/>
      <c r="J103" s="380"/>
      <c r="K103" s="1138"/>
      <c r="L103" s="1138"/>
      <c r="N103" s="1142"/>
      <c r="O103" s="1142"/>
    </row>
    <row r="104" spans="1:16" s="362" customFormat="1" ht="13.15" customHeight="1">
      <c r="B104" s="617"/>
      <c r="C104" s="1131" t="s">
        <v>2275</v>
      </c>
      <c r="D104" s="1131"/>
      <c r="F104" s="1131" t="s">
        <v>1202</v>
      </c>
      <c r="G104" s="1138"/>
      <c r="H104" s="1138"/>
      <c r="I104" s="1138"/>
      <c r="J104" s="1131" t="s">
        <v>2275</v>
      </c>
      <c r="K104" s="1131"/>
      <c r="M104" s="1131" t="s">
        <v>1202</v>
      </c>
      <c r="N104" s="1138"/>
      <c r="O104" s="1138"/>
      <c r="P104" s="1138"/>
    </row>
    <row r="105" spans="1:16" s="362" customFormat="1" ht="13.15" customHeight="1">
      <c r="A105" s="617"/>
      <c r="B105" s="617"/>
      <c r="C105" s="2011" t="s">
        <v>3802</v>
      </c>
      <c r="D105" s="2012"/>
      <c r="E105" s="2012"/>
      <c r="F105" s="2012" t="s">
        <v>3709</v>
      </c>
      <c r="G105" s="2012"/>
      <c r="H105" s="2012"/>
      <c r="I105" s="2013"/>
      <c r="J105" s="2011">
        <v>6</v>
      </c>
      <c r="K105" s="2012"/>
      <c r="L105" s="2012"/>
      <c r="M105" s="2012"/>
      <c r="N105" s="2012"/>
      <c r="O105" s="2012"/>
      <c r="P105" s="2013"/>
    </row>
    <row r="106" spans="1:16" s="362" customFormat="1" ht="13.15" customHeight="1">
      <c r="A106" s="617"/>
      <c r="B106" s="617"/>
      <c r="C106" s="2014">
        <v>2</v>
      </c>
      <c r="D106" s="2015"/>
      <c r="E106" s="2015"/>
      <c r="F106" s="2015"/>
      <c r="G106" s="2015"/>
      <c r="H106" s="2015"/>
      <c r="I106" s="2016"/>
      <c r="J106" s="2014">
        <v>7</v>
      </c>
      <c r="K106" s="2015"/>
      <c r="L106" s="2015"/>
      <c r="M106" s="2015"/>
      <c r="N106" s="2015"/>
      <c r="O106" s="2015"/>
      <c r="P106" s="2016"/>
    </row>
    <row r="107" spans="1:16" s="362" customFormat="1" ht="13.15" customHeight="1">
      <c r="A107" s="617"/>
      <c r="B107" s="617"/>
      <c r="C107" s="2014">
        <v>3</v>
      </c>
      <c r="D107" s="2015"/>
      <c r="E107" s="2015"/>
      <c r="F107" s="2015"/>
      <c r="G107" s="2015"/>
      <c r="H107" s="2015"/>
      <c r="I107" s="2016"/>
      <c r="J107" s="2014">
        <v>8</v>
      </c>
      <c r="K107" s="2015"/>
      <c r="L107" s="2015"/>
      <c r="M107" s="2015"/>
      <c r="N107" s="2015"/>
      <c r="O107" s="2015"/>
      <c r="P107" s="2016"/>
    </row>
    <row r="108" spans="1:16" s="362" customFormat="1" ht="13.15" customHeight="1">
      <c r="A108" s="617"/>
      <c r="B108" s="617"/>
      <c r="C108" s="2014">
        <v>4</v>
      </c>
      <c r="D108" s="2015"/>
      <c r="E108" s="2015"/>
      <c r="F108" s="2015"/>
      <c r="G108" s="2015"/>
      <c r="H108" s="2015"/>
      <c r="I108" s="2016"/>
      <c r="J108" s="2014">
        <v>9</v>
      </c>
      <c r="K108" s="2015"/>
      <c r="L108" s="2015"/>
      <c r="M108" s="2015"/>
      <c r="N108" s="2015"/>
      <c r="O108" s="2015"/>
      <c r="P108" s="2016"/>
    </row>
    <row r="109" spans="1:16" s="362" customFormat="1" ht="13.15" customHeight="1">
      <c r="A109" s="617"/>
      <c r="B109" s="617"/>
      <c r="C109" s="2017">
        <v>5</v>
      </c>
      <c r="D109" s="2018"/>
      <c r="E109" s="2018"/>
      <c r="F109" s="2018"/>
      <c r="G109" s="2018"/>
      <c r="H109" s="2018"/>
      <c r="I109" s="2019"/>
      <c r="J109" s="2017">
        <v>10</v>
      </c>
      <c r="K109" s="2018"/>
      <c r="L109" s="2018"/>
      <c r="M109" s="2018"/>
      <c r="N109" s="2018"/>
      <c r="O109" s="2018"/>
      <c r="P109" s="2019"/>
    </row>
    <row r="110" spans="1:16" s="362" customFormat="1" ht="4.9000000000000004" customHeight="1">
      <c r="A110" s="617"/>
      <c r="B110" s="617"/>
      <c r="C110" s="395"/>
      <c r="D110" s="395"/>
      <c r="E110" s="395"/>
      <c r="F110" s="395"/>
      <c r="G110" s="395"/>
      <c r="H110" s="395"/>
      <c r="I110" s="395"/>
      <c r="J110" s="395"/>
      <c r="K110" s="395"/>
      <c r="L110" s="395"/>
      <c r="M110" s="395"/>
      <c r="N110" s="395"/>
      <c r="O110" s="395"/>
      <c r="P110" s="395"/>
    </row>
    <row r="111" spans="1:16" s="362" customFormat="1" ht="13.15" customHeight="1">
      <c r="A111" s="617"/>
      <c r="B111" s="617" t="s">
        <v>2254</v>
      </c>
      <c r="C111" s="1210" t="s">
        <v>1977</v>
      </c>
      <c r="D111" s="1210"/>
      <c r="E111" s="1210"/>
      <c r="F111" s="1210"/>
      <c r="G111" s="1210"/>
      <c r="H111" s="1210"/>
      <c r="I111" s="1210"/>
      <c r="J111" s="1210"/>
      <c r="K111" s="1210"/>
      <c r="L111" s="1210"/>
      <c r="M111" s="1210"/>
      <c r="N111" s="1210"/>
      <c r="O111" s="1210"/>
      <c r="P111" s="1210"/>
    </row>
    <row r="112" spans="1:16" s="362" customFormat="1" ht="13.15" customHeight="1">
      <c r="A112" s="617"/>
      <c r="B112" s="617"/>
      <c r="C112" s="1210"/>
      <c r="D112" s="1210"/>
      <c r="E112" s="1210"/>
      <c r="F112" s="1210"/>
      <c r="G112" s="1210"/>
      <c r="H112" s="1210"/>
      <c r="I112" s="1210"/>
      <c r="J112" s="1210"/>
      <c r="K112" s="1210"/>
      <c r="L112" s="1210"/>
      <c r="M112" s="1210"/>
      <c r="N112" s="1210"/>
      <c r="O112" s="1210"/>
      <c r="P112" s="1210"/>
    </row>
    <row r="113" spans="1:16" s="362" customFormat="1" ht="13.15" customHeight="1">
      <c r="B113" s="617"/>
      <c r="C113" s="1131" t="s">
        <v>2275</v>
      </c>
      <c r="D113" s="1131"/>
      <c r="F113" s="1131" t="s">
        <v>1202</v>
      </c>
      <c r="G113" s="1138"/>
      <c r="H113" s="1138"/>
      <c r="I113" s="1138"/>
      <c r="J113" s="1131" t="s">
        <v>2275</v>
      </c>
      <c r="K113" s="1131"/>
      <c r="M113" s="1131" t="s">
        <v>1202</v>
      </c>
      <c r="N113" s="1138"/>
      <c r="O113" s="1138"/>
      <c r="P113" s="1138"/>
    </row>
    <row r="114" spans="1:16" s="362" customFormat="1" ht="13.15" customHeight="1">
      <c r="A114" s="617"/>
      <c r="B114" s="617"/>
      <c r="C114" s="2011">
        <v>1</v>
      </c>
      <c r="D114" s="2012"/>
      <c r="E114" s="2012"/>
      <c r="F114" s="2012"/>
      <c r="G114" s="2012"/>
      <c r="H114" s="2012"/>
      <c r="I114" s="2013"/>
      <c r="J114" s="2011">
        <v>6</v>
      </c>
      <c r="K114" s="2012"/>
      <c r="L114" s="2012"/>
      <c r="M114" s="2012"/>
      <c r="N114" s="2012"/>
      <c r="O114" s="2012"/>
      <c r="P114" s="2013"/>
    </row>
    <row r="115" spans="1:16" s="362" customFormat="1" ht="13.15" customHeight="1">
      <c r="A115" s="617"/>
      <c r="B115" s="617"/>
      <c r="C115" s="2014">
        <v>2</v>
      </c>
      <c r="D115" s="2015"/>
      <c r="E115" s="2015"/>
      <c r="F115" s="2015"/>
      <c r="G115" s="2015"/>
      <c r="H115" s="2015"/>
      <c r="I115" s="2016"/>
      <c r="J115" s="2014">
        <v>7</v>
      </c>
      <c r="K115" s="2015"/>
      <c r="L115" s="2015"/>
      <c r="M115" s="2015"/>
      <c r="N115" s="2015"/>
      <c r="O115" s="2015"/>
      <c r="P115" s="2016"/>
    </row>
    <row r="116" spans="1:16" s="362" customFormat="1" ht="13.15" customHeight="1">
      <c r="A116" s="617"/>
      <c r="B116" s="617"/>
      <c r="C116" s="2014">
        <v>3</v>
      </c>
      <c r="D116" s="2015"/>
      <c r="E116" s="2015"/>
      <c r="F116" s="2015"/>
      <c r="G116" s="2015"/>
      <c r="H116" s="2015"/>
      <c r="I116" s="2016"/>
      <c r="J116" s="2014">
        <v>8</v>
      </c>
      <c r="K116" s="2015"/>
      <c r="L116" s="2015"/>
      <c r="M116" s="2015"/>
      <c r="N116" s="2015"/>
      <c r="O116" s="2015"/>
      <c r="P116" s="2016"/>
    </row>
    <row r="117" spans="1:16" s="362" customFormat="1" ht="13.15" customHeight="1">
      <c r="A117" s="617"/>
      <c r="B117" s="617"/>
      <c r="C117" s="2014">
        <v>4</v>
      </c>
      <c r="D117" s="2015"/>
      <c r="E117" s="2015"/>
      <c r="F117" s="2015"/>
      <c r="G117" s="2015"/>
      <c r="H117" s="2015"/>
      <c r="I117" s="2016"/>
      <c r="J117" s="2014">
        <v>9</v>
      </c>
      <c r="K117" s="2015"/>
      <c r="L117" s="2015"/>
      <c r="M117" s="2015"/>
      <c r="N117" s="2015"/>
      <c r="O117" s="2015"/>
      <c r="P117" s="2016"/>
    </row>
    <row r="118" spans="1:16" s="362" customFormat="1" ht="13.15" customHeight="1">
      <c r="A118" s="617"/>
      <c r="B118" s="617"/>
      <c r="C118" s="2017">
        <v>5</v>
      </c>
      <c r="D118" s="2018"/>
      <c r="E118" s="2018"/>
      <c r="F118" s="2018"/>
      <c r="G118" s="2018"/>
      <c r="H118" s="2018"/>
      <c r="I118" s="2019"/>
      <c r="J118" s="2017">
        <v>10</v>
      </c>
      <c r="K118" s="2018"/>
      <c r="L118" s="2018"/>
      <c r="M118" s="2018"/>
      <c r="N118" s="2018"/>
      <c r="O118" s="2018"/>
      <c r="P118" s="2019"/>
    </row>
    <row r="119" spans="1:16" s="362" customFormat="1" ht="6.6" customHeight="1">
      <c r="A119" s="617"/>
      <c r="B119" s="617"/>
      <c r="C119" s="1131"/>
      <c r="D119" s="1131"/>
      <c r="E119" s="1131"/>
      <c r="F119" s="1138"/>
      <c r="G119" s="1138"/>
      <c r="H119" s="1138"/>
      <c r="I119" s="1138"/>
      <c r="J119" s="380"/>
      <c r="K119" s="1138"/>
      <c r="L119" s="1138"/>
      <c r="N119" s="1142"/>
      <c r="O119" s="1142"/>
      <c r="P119" s="373"/>
    </row>
    <row r="120" spans="1:16" s="362" customFormat="1" ht="13.15" customHeight="1">
      <c r="A120" s="391" t="s">
        <v>383</v>
      </c>
      <c r="B120" s="388" t="s">
        <v>2584</v>
      </c>
      <c r="D120" s="388"/>
      <c r="E120" s="388"/>
      <c r="F120" s="388"/>
      <c r="H120" s="1961" t="s">
        <v>3702</v>
      </c>
      <c r="M120" s="1138"/>
      <c r="N120" s="1142"/>
      <c r="O120" s="1142"/>
      <c r="P120" s="373"/>
    </row>
    <row r="121" spans="1:16" s="362" customFormat="1" ht="3" customHeight="1">
      <c r="A121" s="391"/>
      <c r="B121" s="617"/>
      <c r="C121" s="1133"/>
      <c r="D121" s="1133"/>
      <c r="E121" s="1133"/>
      <c r="F121" s="1133"/>
      <c r="G121" s="1138"/>
      <c r="M121" s="1138"/>
      <c r="N121" s="1142"/>
      <c r="O121" s="1142"/>
    </row>
    <row r="122" spans="1:16" s="362" customFormat="1" ht="13.15" customHeight="1">
      <c r="A122" s="617"/>
      <c r="B122" s="617" t="s">
        <v>2119</v>
      </c>
      <c r="C122" s="369" t="s">
        <v>1832</v>
      </c>
      <c r="H122" s="1961"/>
      <c r="M122" s="1138"/>
      <c r="N122" s="1142"/>
      <c r="O122" s="1142"/>
      <c r="P122" s="373"/>
    </row>
    <row r="123" spans="1:16" s="362" customFormat="1" ht="13.15" customHeight="1">
      <c r="A123" s="617"/>
      <c r="B123" s="617"/>
      <c r="C123" s="1131" t="s">
        <v>2586</v>
      </c>
      <c r="D123" s="1131"/>
      <c r="E123" s="1131"/>
      <c r="F123" s="1138"/>
      <c r="H123" s="2020"/>
      <c r="N123" s="1142"/>
      <c r="O123" s="1142"/>
      <c r="P123" s="373"/>
    </row>
    <row r="124" spans="1:16" s="362" customFormat="1" ht="13.15" customHeight="1">
      <c r="A124" s="617"/>
      <c r="B124" s="617"/>
      <c r="C124" s="396" t="s">
        <v>1831</v>
      </c>
      <c r="D124" s="368"/>
      <c r="H124" s="1947"/>
      <c r="I124" s="1949"/>
      <c r="P124" s="373"/>
    </row>
    <row r="125" spans="1:16" s="362" customFormat="1" ht="13.15" customHeight="1">
      <c r="A125" s="617"/>
      <c r="B125" s="617"/>
      <c r="C125" s="1131" t="s">
        <v>2587</v>
      </c>
      <c r="D125" s="1131"/>
      <c r="E125" s="1131"/>
      <c r="F125" s="1138"/>
      <c r="H125" s="2020"/>
      <c r="K125" s="332" t="s">
        <v>2395</v>
      </c>
      <c r="O125" s="1947" t="s">
        <v>514</v>
      </c>
      <c r="P125" s="1949"/>
    </row>
    <row r="126" spans="1:16" s="362" customFormat="1" ht="13.15" customHeight="1">
      <c r="A126" s="617"/>
      <c r="B126" s="617"/>
      <c r="C126" s="1131" t="s">
        <v>2585</v>
      </c>
      <c r="F126" s="1138"/>
      <c r="H126" s="2009"/>
      <c r="K126" s="332" t="s">
        <v>2396</v>
      </c>
      <c r="O126" s="1947" t="s">
        <v>514</v>
      </c>
      <c r="P126" s="1949"/>
    </row>
    <row r="127" spans="1:16" s="362" customFormat="1" ht="13.15" customHeight="1">
      <c r="A127" s="617"/>
      <c r="B127" s="617"/>
      <c r="C127" s="1131" t="s">
        <v>2307</v>
      </c>
      <c r="D127" s="1131"/>
      <c r="E127" s="1131"/>
      <c r="F127" s="1138"/>
      <c r="H127" s="2005"/>
      <c r="I127" s="2006"/>
      <c r="N127" s="1142"/>
      <c r="O127" s="1142"/>
      <c r="P127" s="373"/>
    </row>
    <row r="128" spans="1:16" s="362" customFormat="1" ht="3" customHeight="1">
      <c r="A128" s="617"/>
      <c r="B128" s="617"/>
      <c r="C128" s="1131"/>
      <c r="D128" s="1131"/>
      <c r="E128" s="1131"/>
      <c r="F128" s="1138"/>
      <c r="N128" s="1142"/>
      <c r="O128" s="1142"/>
      <c r="P128" s="373"/>
    </row>
    <row r="129" spans="1:16" s="362" customFormat="1" ht="13.15" customHeight="1">
      <c r="A129" s="617"/>
      <c r="B129" s="617" t="s">
        <v>2122</v>
      </c>
      <c r="C129" s="1133" t="s">
        <v>2660</v>
      </c>
      <c r="D129" s="1131"/>
      <c r="E129" s="1131"/>
      <c r="F129" s="1138"/>
      <c r="H129" s="2009" t="s">
        <v>3702</v>
      </c>
      <c r="N129" s="1142"/>
      <c r="O129" s="1142"/>
      <c r="P129" s="373"/>
    </row>
    <row r="130" spans="1:16" s="362" customFormat="1" ht="3" customHeight="1">
      <c r="A130" s="617"/>
      <c r="B130" s="617"/>
      <c r="C130" s="1131"/>
      <c r="D130" s="1131"/>
      <c r="E130" s="1131"/>
      <c r="F130" s="1138"/>
      <c r="G130" s="1138"/>
      <c r="M130" s="1138"/>
      <c r="N130" s="1142"/>
      <c r="O130" s="1142"/>
      <c r="P130" s="373"/>
    </row>
    <row r="131" spans="1:16" s="362" customFormat="1" ht="13.15" customHeight="1">
      <c r="A131" s="617"/>
      <c r="B131" s="617" t="s">
        <v>799</v>
      </c>
      <c r="C131" s="1133" t="s">
        <v>2935</v>
      </c>
      <c r="D131" s="1131"/>
      <c r="E131" s="1131"/>
      <c r="F131" s="1138"/>
      <c r="G131" s="1138"/>
      <c r="N131" s="1142"/>
      <c r="O131" s="1142"/>
      <c r="P131" s="373"/>
    </row>
    <row r="132" spans="1:16" s="362" customFormat="1" ht="13.15" customHeight="1">
      <c r="A132" s="617"/>
      <c r="B132" s="617"/>
      <c r="C132" s="1131" t="s">
        <v>768</v>
      </c>
      <c r="D132" s="1131"/>
      <c r="E132" s="1131"/>
      <c r="F132" s="1138"/>
      <c r="G132" s="1138"/>
      <c r="H132" s="2009" t="s">
        <v>3702</v>
      </c>
      <c r="K132" s="1131" t="s">
        <v>1641</v>
      </c>
      <c r="L132" s="1131"/>
      <c r="M132" s="1138"/>
      <c r="N132" s="1138"/>
      <c r="O132" s="2009" t="s">
        <v>3703</v>
      </c>
      <c r="P132" s="373"/>
    </row>
    <row r="133" spans="1:16" s="362" customFormat="1" ht="6" customHeight="1">
      <c r="A133" s="617"/>
      <c r="B133" s="617"/>
      <c r="C133" s="1131"/>
      <c r="D133" s="1131"/>
      <c r="E133" s="1131"/>
      <c r="F133" s="1138"/>
      <c r="G133" s="1138"/>
      <c r="H133" s="1138"/>
      <c r="I133" s="1138"/>
      <c r="J133" s="380"/>
      <c r="K133" s="1138"/>
      <c r="L133" s="1138"/>
      <c r="N133" s="1142"/>
      <c r="O133" s="1142"/>
      <c r="P133" s="373"/>
    </row>
    <row r="134" spans="1:16" s="362" customFormat="1" ht="13.15" customHeight="1">
      <c r="A134" s="391" t="s">
        <v>1847</v>
      </c>
      <c r="B134" s="388" t="s">
        <v>1261</v>
      </c>
      <c r="D134" s="388"/>
      <c r="E134" s="388"/>
      <c r="F134" s="388"/>
      <c r="G134" s="1138"/>
      <c r="H134" s="1138"/>
      <c r="I134" s="1138"/>
      <c r="J134" s="380"/>
      <c r="K134" s="1138"/>
      <c r="L134" s="1138"/>
      <c r="N134" s="1142"/>
      <c r="O134" s="1142"/>
      <c r="P134" s="373"/>
    </row>
    <row r="135" spans="1:16" s="362" customFormat="1" ht="1.9" customHeight="1">
      <c r="A135" s="391"/>
      <c r="B135" s="617"/>
      <c r="C135" s="1133"/>
      <c r="D135" s="1133"/>
      <c r="E135" s="1133"/>
      <c r="F135" s="1133"/>
      <c r="G135" s="1138"/>
      <c r="H135" s="1138"/>
      <c r="I135" s="1138"/>
      <c r="J135" s="380"/>
      <c r="K135" s="1138"/>
      <c r="L135" s="1138"/>
      <c r="N135" s="1142"/>
      <c r="O135" s="1142"/>
    </row>
    <row r="136" spans="1:16" s="362" customFormat="1" ht="13.15" customHeight="1">
      <c r="A136" s="617"/>
      <c r="B136" s="617" t="s">
        <v>2119</v>
      </c>
      <c r="C136" s="379" t="s">
        <v>1950</v>
      </c>
      <c r="F136" s="1138"/>
      <c r="G136" s="1138"/>
      <c r="H136" s="1138"/>
      <c r="I136" s="1138"/>
      <c r="J136" s="380"/>
      <c r="K136" s="1138"/>
      <c r="L136" s="1138"/>
      <c r="N136" s="1142"/>
      <c r="O136" s="1142"/>
      <c r="P136" s="373"/>
    </row>
    <row r="137" spans="1:16" s="362" customFormat="1" ht="12.6" customHeight="1">
      <c r="A137" s="617"/>
      <c r="B137" s="617"/>
      <c r="C137" s="387" t="s">
        <v>1633</v>
      </c>
      <c r="D137" s="380"/>
      <c r="E137" s="380"/>
      <c r="F137" s="1138"/>
      <c r="G137" s="1138"/>
      <c r="H137" s="1138"/>
      <c r="I137" s="1138"/>
      <c r="K137" s="2009" t="s">
        <v>3703</v>
      </c>
      <c r="N137" s="1142"/>
      <c r="O137" s="1142"/>
      <c r="P137" s="373"/>
    </row>
    <row r="138" spans="1:16" s="362" customFormat="1" ht="12.6" customHeight="1">
      <c r="A138" s="617"/>
      <c r="B138" s="617"/>
      <c r="C138" s="362" t="s">
        <v>656</v>
      </c>
      <c r="K138" s="1999"/>
      <c r="L138" s="368" t="s">
        <v>1919</v>
      </c>
      <c r="P138" s="397">
        <f>IF('Part VI-Revenues &amp; Expenses'!$M$60=0,0,K138/'Part VI-Revenues &amp; Expenses'!$M$60)</f>
        <v>0</v>
      </c>
    </row>
    <row r="139" spans="1:16" s="362" customFormat="1" ht="12.6" customHeight="1">
      <c r="A139" s="617"/>
      <c r="B139" s="617"/>
      <c r="C139" s="362" t="s">
        <v>2308</v>
      </c>
      <c r="K139" s="1999"/>
      <c r="L139" s="368" t="s">
        <v>1919</v>
      </c>
      <c r="P139" s="397">
        <f>IF('Part VI-Revenues &amp; Expenses'!$M$60=0,0,K139/'Part VI-Revenues &amp; Expenses'!$M$60)</f>
        <v>0</v>
      </c>
    </row>
    <row r="140" spans="1:16" s="362" customFormat="1" ht="12.6" customHeight="1">
      <c r="A140" s="617"/>
      <c r="B140" s="617"/>
      <c r="C140" s="362" t="s">
        <v>1920</v>
      </c>
      <c r="E140" s="1947"/>
      <c r="F140" s="1948"/>
      <c r="G140" s="1948"/>
      <c r="H140" s="1948"/>
      <c r="I140" s="1948"/>
      <c r="J140" s="1948"/>
      <c r="K140" s="1949"/>
      <c r="L140" s="398" t="s">
        <v>1921</v>
      </c>
      <c r="M140" s="1947"/>
      <c r="N140" s="1948"/>
      <c r="O140" s="1948"/>
      <c r="P140" s="1949"/>
    </row>
    <row r="141" spans="1:16" s="362" customFormat="1" ht="12.6" customHeight="1">
      <c r="A141" s="617"/>
      <c r="B141" s="617"/>
      <c r="C141" s="368" t="s">
        <v>1922</v>
      </c>
      <c r="D141" s="376"/>
      <c r="E141" s="1947"/>
      <c r="F141" s="1948"/>
      <c r="G141" s="1948"/>
      <c r="H141" s="1948"/>
      <c r="I141" s="1948"/>
      <c r="J141" s="1948"/>
      <c r="K141" s="2021"/>
      <c r="L141" s="1132" t="s">
        <v>1924</v>
      </c>
      <c r="M141" s="1962"/>
      <c r="N141" s="1963"/>
      <c r="O141" s="1963"/>
      <c r="P141" s="1964"/>
    </row>
    <row r="142" spans="1:16" s="362" customFormat="1" ht="12.6" customHeight="1">
      <c r="A142" s="617"/>
      <c r="B142" s="617"/>
      <c r="C142" s="368" t="s">
        <v>659</v>
      </c>
      <c r="E142" s="1947"/>
      <c r="F142" s="1948"/>
      <c r="G142" s="1948"/>
      <c r="H142" s="1949"/>
      <c r="I142" s="393" t="s">
        <v>2377</v>
      </c>
      <c r="J142" s="1958"/>
      <c r="K142" s="1959"/>
      <c r="L142" s="398" t="s">
        <v>1927</v>
      </c>
      <c r="M142" s="1955"/>
      <c r="N142" s="1960"/>
      <c r="O142" s="1956"/>
    </row>
    <row r="143" spans="1:16" s="362" customFormat="1" ht="12.6" customHeight="1">
      <c r="A143" s="617"/>
      <c r="B143" s="617"/>
      <c r="C143" s="368" t="s">
        <v>1925</v>
      </c>
      <c r="E143" s="1955"/>
      <c r="F143" s="1960"/>
      <c r="G143" s="1956"/>
      <c r="H143" s="399" t="s">
        <v>1926</v>
      </c>
      <c r="I143" s="1955"/>
      <c r="J143" s="1960"/>
      <c r="K143" s="1956"/>
      <c r="L143" s="1137" t="s">
        <v>2115</v>
      </c>
      <c r="M143" s="1955"/>
      <c r="N143" s="1960"/>
      <c r="O143" s="1956"/>
    </row>
    <row r="144" spans="1:16" s="362" customFormat="1" ht="6" customHeight="1">
      <c r="A144" s="617"/>
      <c r="B144" s="617"/>
      <c r="C144" s="368"/>
      <c r="E144" s="400"/>
      <c r="F144" s="400"/>
      <c r="G144" s="400"/>
      <c r="H144" s="1138"/>
      <c r="I144" s="400"/>
      <c r="J144" s="400"/>
      <c r="K144" s="1138"/>
      <c r="L144" s="400"/>
      <c r="M144" s="400"/>
      <c r="N144" s="1138"/>
      <c r="O144" s="400"/>
      <c r="P144" s="400"/>
    </row>
    <row r="145" spans="1:16" s="362" customFormat="1" ht="12.6" customHeight="1">
      <c r="A145" s="617"/>
      <c r="B145" s="617" t="s">
        <v>2122</v>
      </c>
      <c r="C145" s="1133" t="s">
        <v>2943</v>
      </c>
      <c r="D145" s="1133"/>
      <c r="E145" s="1133"/>
      <c r="F145" s="1133"/>
      <c r="G145" s="1133"/>
      <c r="I145" s="2009" t="s">
        <v>3702</v>
      </c>
      <c r="J145" s="1185" t="s">
        <v>812</v>
      </c>
      <c r="K145" s="1186"/>
      <c r="L145" s="2009">
        <v>2016</v>
      </c>
      <c r="M145" s="1182" t="s">
        <v>2477</v>
      </c>
      <c r="N145" s="1183"/>
      <c r="O145" s="1184"/>
      <c r="P145" s="2020">
        <v>2</v>
      </c>
    </row>
    <row r="146" spans="1:16" s="362" customFormat="1" ht="6" customHeight="1">
      <c r="A146" s="617"/>
      <c r="B146" s="617"/>
      <c r="C146" s="1133"/>
      <c r="D146" s="1133"/>
      <c r="E146" s="365"/>
      <c r="F146" s="1133"/>
      <c r="G146" s="1133"/>
      <c r="J146" s="372"/>
      <c r="K146" s="401"/>
      <c r="M146" s="1142"/>
      <c r="O146" s="1138"/>
      <c r="P146" s="373"/>
    </row>
    <row r="147" spans="1:16" s="362" customFormat="1" ht="12.6" customHeight="1">
      <c r="A147" s="617"/>
      <c r="B147" s="617"/>
      <c r="C147" s="1133" t="s">
        <v>2944</v>
      </c>
      <c r="D147" s="1133"/>
      <c r="E147" s="1133"/>
      <c r="F147" s="1133"/>
      <c r="G147" s="1133"/>
      <c r="I147" s="2009"/>
      <c r="J147" s="1185" t="s">
        <v>812</v>
      </c>
      <c r="K147" s="1186"/>
      <c r="L147" s="2009"/>
      <c r="M147" s="1182" t="s">
        <v>2477</v>
      </c>
      <c r="N147" s="1183"/>
      <c r="O147" s="1184"/>
      <c r="P147" s="2020"/>
    </row>
    <row r="148" spans="1:16" s="362" customFormat="1" ht="6" customHeight="1">
      <c r="A148" s="617"/>
      <c r="B148" s="617"/>
      <c r="C148" s="1133"/>
      <c r="D148" s="1133"/>
      <c r="E148" s="365"/>
      <c r="F148" s="1133"/>
      <c r="G148" s="1133"/>
      <c r="J148" s="372"/>
      <c r="K148" s="401"/>
      <c r="M148" s="1142"/>
      <c r="O148" s="1138"/>
      <c r="P148" s="373"/>
    </row>
    <row r="149" spans="1:16" s="362" customFormat="1" ht="12.6" customHeight="1">
      <c r="A149" s="617"/>
      <c r="B149" s="617" t="s">
        <v>799</v>
      </c>
      <c r="C149" s="1133" t="s">
        <v>1880</v>
      </c>
      <c r="D149" s="1133"/>
      <c r="E149" s="1133"/>
      <c r="F149" s="1133"/>
      <c r="G149" s="1133"/>
      <c r="I149" s="2009" t="s">
        <v>3703</v>
      </c>
      <c r="L149" s="332"/>
      <c r="M149" s="332"/>
      <c r="P149" s="373"/>
    </row>
    <row r="150" spans="1:16" s="362" customFormat="1" ht="6" customHeight="1">
      <c r="A150" s="617"/>
      <c r="B150" s="617"/>
      <c r="C150" s="368"/>
      <c r="E150" s="400"/>
      <c r="F150" s="400"/>
      <c r="G150" s="400"/>
      <c r="I150" s="400"/>
      <c r="J150" s="400"/>
      <c r="K150" s="1138"/>
      <c r="L150" s="400"/>
      <c r="M150" s="400"/>
      <c r="N150" s="1138"/>
      <c r="O150" s="400"/>
      <c r="P150" s="400"/>
    </row>
    <row r="151" spans="1:16" s="362" customFormat="1" ht="12.6" customHeight="1">
      <c r="A151" s="617"/>
      <c r="B151" s="617" t="s">
        <v>2254</v>
      </c>
      <c r="C151" s="1207" t="s">
        <v>2114</v>
      </c>
      <c r="D151" s="1207"/>
      <c r="E151" s="1207"/>
      <c r="F151" s="1207"/>
      <c r="G151" s="1133"/>
      <c r="I151" s="2009" t="s">
        <v>3702</v>
      </c>
      <c r="J151" s="403" t="s">
        <v>3136</v>
      </c>
      <c r="L151" s="1206" t="s">
        <v>1574</v>
      </c>
      <c r="M151" s="1206"/>
      <c r="N151" s="1133"/>
      <c r="O151" s="1133"/>
      <c r="P151" s="2022">
        <v>112</v>
      </c>
    </row>
    <row r="152" spans="1:16" s="362" customFormat="1" ht="12.6" customHeight="1">
      <c r="B152" s="617"/>
      <c r="L152" s="1188" t="s">
        <v>851</v>
      </c>
      <c r="M152" s="1188"/>
      <c r="N152" s="1133"/>
      <c r="O152" s="1133"/>
      <c r="P152" s="2022">
        <v>109</v>
      </c>
    </row>
    <row r="153" spans="1:16" s="362" customFormat="1" ht="12.6" customHeight="1">
      <c r="A153" s="617"/>
      <c r="B153" s="617"/>
      <c r="L153" s="1188" t="s">
        <v>1915</v>
      </c>
      <c r="M153" s="1188"/>
      <c r="N153" s="1133"/>
      <c r="O153" s="1133"/>
      <c r="P153" s="402">
        <f>IF(P151="","",P152/P151)</f>
        <v>0.9732142857142857</v>
      </c>
    </row>
    <row r="154" spans="1:16" s="362" customFormat="1" ht="13.15" customHeight="1">
      <c r="A154" s="617"/>
      <c r="B154" s="617" t="s">
        <v>1857</v>
      </c>
      <c r="C154" s="329" t="s">
        <v>1718</v>
      </c>
      <c r="D154" s="1131"/>
      <c r="E154" s="1131"/>
      <c r="F154" s="1131"/>
      <c r="G154" s="1131"/>
      <c r="H154" s="1138"/>
      <c r="J154" s="372"/>
      <c r="K154" s="380"/>
      <c r="M154" s="1142"/>
      <c r="O154" s="1138"/>
      <c r="P154" s="373"/>
    </row>
    <row r="155" spans="1:16" s="362" customFormat="1" ht="12.6" customHeight="1">
      <c r="A155" s="617"/>
      <c r="B155" s="617"/>
      <c r="C155" s="1142" t="s">
        <v>2357</v>
      </c>
      <c r="D155" s="374"/>
      <c r="E155" s="1142"/>
      <c r="F155" s="1142"/>
      <c r="I155" s="2009" t="s">
        <v>3702</v>
      </c>
      <c r="L155" s="1142" t="s">
        <v>1719</v>
      </c>
      <c r="M155" s="1142"/>
      <c r="N155" s="1142"/>
      <c r="P155" s="2009" t="s">
        <v>3703</v>
      </c>
    </row>
    <row r="156" spans="1:16" s="362" customFormat="1" ht="12.6" customHeight="1">
      <c r="A156" s="617"/>
      <c r="B156" s="617"/>
      <c r="C156" s="1142" t="s">
        <v>2359</v>
      </c>
      <c r="I156" s="2009" t="s">
        <v>3703</v>
      </c>
      <c r="L156" s="1142" t="s">
        <v>3408</v>
      </c>
      <c r="M156" s="1142"/>
      <c r="N156" s="1142"/>
      <c r="P156" s="2009" t="s">
        <v>3703</v>
      </c>
    </row>
    <row r="157" spans="1:16" s="362" customFormat="1" ht="12.6" customHeight="1">
      <c r="A157" s="617"/>
      <c r="C157" s="1142" t="s">
        <v>2978</v>
      </c>
      <c r="I157" s="2009" t="s">
        <v>3702</v>
      </c>
      <c r="L157" s="1142" t="s">
        <v>2921</v>
      </c>
      <c r="N157" s="2023"/>
      <c r="O157" s="2024"/>
      <c r="P157" s="2009" t="s">
        <v>3703</v>
      </c>
    </row>
    <row r="158" spans="1:16" s="362" customFormat="1" ht="12.6" customHeight="1">
      <c r="A158" s="617"/>
      <c r="B158" s="617"/>
      <c r="C158" s="1142" t="s">
        <v>1368</v>
      </c>
      <c r="D158" s="404"/>
      <c r="I158" s="2009" t="s">
        <v>3703</v>
      </c>
      <c r="K158" s="374"/>
    </row>
    <row r="159" spans="1:16" s="362" customFormat="1" ht="12.6" customHeight="1">
      <c r="A159" s="617"/>
      <c r="B159" s="365"/>
      <c r="C159" s="1142" t="s">
        <v>1934</v>
      </c>
      <c r="I159" s="2009" t="s">
        <v>3703</v>
      </c>
      <c r="J159" s="403" t="s">
        <v>3137</v>
      </c>
      <c r="O159" s="2025"/>
      <c r="P159" s="2026"/>
    </row>
    <row r="160" spans="1:16" s="362" customFormat="1" ht="12.6" customHeight="1">
      <c r="A160" s="617"/>
      <c r="B160" s="617"/>
      <c r="C160" s="1142" t="s">
        <v>3578</v>
      </c>
      <c r="I160" s="2009" t="s">
        <v>3703</v>
      </c>
      <c r="J160" s="403" t="s">
        <v>3137</v>
      </c>
      <c r="O160" s="2025"/>
      <c r="P160" s="2026"/>
    </row>
    <row r="161" spans="1:21" s="362" customFormat="1" ht="12.6" customHeight="1">
      <c r="A161" s="617"/>
      <c r="B161" s="617"/>
      <c r="C161" s="1142" t="s">
        <v>3579</v>
      </c>
      <c r="I161" s="2009" t="s">
        <v>3703</v>
      </c>
      <c r="J161" s="403" t="s">
        <v>3137</v>
      </c>
      <c r="O161" s="2025"/>
      <c r="P161" s="2026"/>
    </row>
    <row r="162" spans="1:21" s="362" customFormat="1" ht="3" customHeight="1">
      <c r="A162" s="617"/>
      <c r="B162" s="617"/>
      <c r="P162" s="372"/>
    </row>
    <row r="163" spans="1:21" s="362" customFormat="1" ht="13.15" customHeight="1">
      <c r="B163" s="617" t="s">
        <v>1858</v>
      </c>
      <c r="C163" s="369" t="s">
        <v>789</v>
      </c>
    </row>
    <row r="164" spans="1:21" s="362" customFormat="1" ht="12.6" customHeight="1">
      <c r="A164" s="617"/>
      <c r="B164" s="617"/>
      <c r="C164" s="368" t="s">
        <v>680</v>
      </c>
      <c r="D164" s="1131"/>
      <c r="E164" s="1131"/>
      <c r="F164" s="1138"/>
      <c r="G164" s="1138"/>
      <c r="H164" s="2005"/>
      <c r="I164" s="2006"/>
      <c r="N164" s="1142"/>
      <c r="O164" s="1142"/>
      <c r="P164" s="373"/>
    </row>
    <row r="165" spans="1:21" s="362" customFormat="1" ht="12.6" customHeight="1">
      <c r="A165" s="617"/>
      <c r="B165" s="617"/>
      <c r="C165" s="368" t="s">
        <v>291</v>
      </c>
      <c r="D165" s="1131"/>
      <c r="E165" s="1131"/>
      <c r="F165" s="1138"/>
      <c r="G165" s="1138"/>
      <c r="H165" s="2005"/>
      <c r="I165" s="2006"/>
      <c r="N165" s="1142"/>
      <c r="O165" s="1142"/>
      <c r="P165" s="373"/>
    </row>
    <row r="166" spans="1:21" s="362" customFormat="1" ht="12.6" customHeight="1">
      <c r="A166" s="617"/>
      <c r="B166" s="617"/>
      <c r="C166" s="368" t="s">
        <v>2446</v>
      </c>
      <c r="D166" s="1131"/>
      <c r="E166" s="1131"/>
      <c r="F166" s="1138"/>
      <c r="G166" s="1138"/>
      <c r="H166" s="2005"/>
      <c r="I166" s="2006"/>
      <c r="N166" s="1142"/>
      <c r="O166" s="1142"/>
      <c r="P166" s="373"/>
    </row>
    <row r="167" spans="1:21" s="362" customFormat="1" ht="6" customHeight="1">
      <c r="B167" s="365"/>
      <c r="C167" s="1142"/>
      <c r="H167" s="1142"/>
      <c r="L167" s="382"/>
      <c r="M167" s="382"/>
      <c r="N167" s="382"/>
      <c r="O167" s="382"/>
      <c r="P167" s="370"/>
    </row>
    <row r="168" spans="1:21" ht="12" customHeight="1">
      <c r="A168" s="391" t="s">
        <v>3236</v>
      </c>
      <c r="C168" s="391" t="s">
        <v>608</v>
      </c>
      <c r="K168" s="391" t="s">
        <v>2401</v>
      </c>
      <c r="L168" s="391" t="s">
        <v>82</v>
      </c>
    </row>
    <row r="169" spans="1:21" ht="106.5" customHeight="1">
      <c r="A169" s="1793" t="s">
        <v>3803</v>
      </c>
      <c r="B169" s="1794"/>
      <c r="C169" s="1794"/>
      <c r="D169" s="1794"/>
      <c r="E169" s="1794"/>
      <c r="F169" s="1794"/>
      <c r="G169" s="1794"/>
      <c r="H169" s="1794"/>
      <c r="I169" s="1794"/>
      <c r="J169" s="1795"/>
      <c r="K169" s="1796"/>
      <c r="L169" s="1797"/>
      <c r="M169" s="1797"/>
      <c r="N169" s="1797"/>
      <c r="O169" s="1797"/>
      <c r="P169" s="1798"/>
      <c r="Q169" s="1181" t="s">
        <v>2925</v>
      </c>
      <c r="R169" s="1181"/>
      <c r="S169" s="1181"/>
      <c r="T169" s="1181"/>
      <c r="U169" s="1181"/>
    </row>
    <row r="170" spans="1:21" ht="12" customHeight="1">
      <c r="Q170" s="1181"/>
      <c r="R170" s="1181"/>
      <c r="S170" s="1181"/>
      <c r="T170" s="1181"/>
      <c r="U170" s="1181"/>
    </row>
    <row r="177" spans="2:44" s="635" customFormat="1" ht="12" customHeight="1">
      <c r="B177" s="634"/>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5" customFormat="1" ht="22.9" customHeight="1">
      <c r="B178" s="734" t="s">
        <v>1923</v>
      </c>
      <c r="C178" s="734" t="s">
        <v>1284</v>
      </c>
      <c r="D178" s="734" t="s">
        <v>1285</v>
      </c>
      <c r="E178" s="735" t="s">
        <v>1286</v>
      </c>
      <c r="F178" s="735" t="s">
        <v>1219</v>
      </c>
      <c r="G178" s="734" t="s">
        <v>444</v>
      </c>
      <c r="H178" s="736" t="s">
        <v>1227</v>
      </c>
      <c r="I178" s="736" t="s">
        <v>3211</v>
      </c>
      <c r="J178" s="734" t="s">
        <v>2563</v>
      </c>
      <c r="K178" s="734"/>
      <c r="L178" s="725"/>
      <c r="M178" s="726"/>
      <c r="N178" s="737" t="s">
        <v>659</v>
      </c>
      <c r="O178" s="716" t="s">
        <v>660</v>
      </c>
      <c r="P178" s="473"/>
      <c r="Q178" s="382"/>
      <c r="T178" s="717"/>
      <c r="U178" s="716"/>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5" customFormat="1" ht="12" customHeight="1">
      <c r="B179" s="703" t="s">
        <v>892</v>
      </c>
      <c r="C179" s="703" t="s">
        <v>1287</v>
      </c>
      <c r="D179" s="703" t="s">
        <v>1288</v>
      </c>
      <c r="E179" s="738" t="s">
        <v>1289</v>
      </c>
      <c r="F179" s="738" t="s">
        <v>2797</v>
      </c>
      <c r="G179" s="739" t="s">
        <v>1228</v>
      </c>
      <c r="H179" s="740" t="s">
        <v>442</v>
      </c>
      <c r="I179" s="2027" t="s">
        <v>2783</v>
      </c>
      <c r="J179" s="727" t="s">
        <v>1628</v>
      </c>
      <c r="K179" s="728"/>
      <c r="L179" s="725"/>
      <c r="M179" s="726"/>
      <c r="N179" s="1179" t="s">
        <v>2564</v>
      </c>
      <c r="O179" s="1179" t="s">
        <v>2086</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5" customFormat="1" ht="12" customHeight="1">
      <c r="B180" s="703" t="s">
        <v>893</v>
      </c>
      <c r="C180" s="703" t="s">
        <v>1901</v>
      </c>
      <c r="D180" s="703" t="s">
        <v>1288</v>
      </c>
      <c r="E180" s="738" t="s">
        <v>1902</v>
      </c>
      <c r="F180" s="738" t="s">
        <v>2797</v>
      </c>
      <c r="G180" s="739" t="s">
        <v>1229</v>
      </c>
      <c r="H180" s="740" t="s">
        <v>442</v>
      </c>
      <c r="I180" s="2027" t="s">
        <v>2783</v>
      </c>
      <c r="J180" s="727" t="s">
        <v>1630</v>
      </c>
      <c r="K180" s="728"/>
      <c r="L180" s="725"/>
      <c r="M180" s="726"/>
      <c r="N180" s="1179" t="s">
        <v>1629</v>
      </c>
      <c r="O180" s="1179" t="s">
        <v>2656</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5" customFormat="1" ht="12" customHeight="1">
      <c r="B181" s="703" t="s">
        <v>894</v>
      </c>
      <c r="C181" s="703" t="s">
        <v>1903</v>
      </c>
      <c r="D181" s="703" t="s">
        <v>1288</v>
      </c>
      <c r="E181" s="738" t="s">
        <v>1904</v>
      </c>
      <c r="F181" s="738" t="s">
        <v>2797</v>
      </c>
      <c r="G181" s="739" t="s">
        <v>1230</v>
      </c>
      <c r="H181" s="740" t="s">
        <v>442</v>
      </c>
      <c r="I181" s="2027" t="s">
        <v>2783</v>
      </c>
      <c r="J181" s="727" t="s">
        <v>486</v>
      </c>
      <c r="K181" s="728"/>
      <c r="L181" s="725"/>
      <c r="M181" s="726"/>
      <c r="N181" s="1179" t="s">
        <v>1001</v>
      </c>
      <c r="O181" s="1179" t="s">
        <v>1400</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5" customFormat="1" ht="12" customHeight="1">
      <c r="B182" s="703" t="s">
        <v>895</v>
      </c>
      <c r="C182" s="703" t="s">
        <v>1905</v>
      </c>
      <c r="D182" s="703" t="s">
        <v>1288</v>
      </c>
      <c r="E182" s="741" t="s">
        <v>1906</v>
      </c>
      <c r="F182" s="741" t="s">
        <v>2798</v>
      </c>
      <c r="G182" s="739" t="s">
        <v>1231</v>
      </c>
      <c r="H182" s="740" t="s">
        <v>443</v>
      </c>
      <c r="I182" s="2028" t="s">
        <v>2783</v>
      </c>
      <c r="J182" s="727" t="s">
        <v>2219</v>
      </c>
      <c r="K182" s="728"/>
      <c r="L182" s="725"/>
      <c r="M182" s="726"/>
      <c r="N182" s="1179" t="s">
        <v>487</v>
      </c>
      <c r="O182" s="1179" t="s">
        <v>2704</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5" customFormat="1" ht="12" customHeight="1">
      <c r="B183" s="703" t="s">
        <v>896</v>
      </c>
      <c r="C183" s="703" t="s">
        <v>1907</v>
      </c>
      <c r="D183" s="703" t="s">
        <v>1421</v>
      </c>
      <c r="E183" s="741" t="s">
        <v>163</v>
      </c>
      <c r="F183" s="741" t="s">
        <v>2797</v>
      </c>
      <c r="G183" s="739" t="s">
        <v>1232</v>
      </c>
      <c r="H183" s="740" t="s">
        <v>442</v>
      </c>
      <c r="I183" s="2027" t="s">
        <v>2783</v>
      </c>
      <c r="J183" s="727" t="s">
        <v>2221</v>
      </c>
      <c r="K183" s="728"/>
      <c r="L183" s="725"/>
      <c r="M183" s="726"/>
      <c r="N183" s="1179" t="s">
        <v>2220</v>
      </c>
      <c r="O183" s="1179" t="s">
        <v>350</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5" customFormat="1" ht="12" customHeight="1">
      <c r="B184" s="703" t="s">
        <v>897</v>
      </c>
      <c r="C184" s="703" t="s">
        <v>1396</v>
      </c>
      <c r="D184" s="703" t="s">
        <v>1397</v>
      </c>
      <c r="E184" s="738" t="s">
        <v>1398</v>
      </c>
      <c r="F184" s="738" t="s">
        <v>2797</v>
      </c>
      <c r="G184" s="739" t="s">
        <v>1951</v>
      </c>
      <c r="H184" s="740" t="s">
        <v>442</v>
      </c>
      <c r="I184" s="2027" t="s">
        <v>2783</v>
      </c>
      <c r="J184" s="727" t="s">
        <v>2223</v>
      </c>
      <c r="K184" s="728"/>
      <c r="L184" s="725"/>
      <c r="M184" s="726"/>
      <c r="N184" s="1179" t="s">
        <v>2222</v>
      </c>
      <c r="O184" s="1179" t="s">
        <v>191</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5" customFormat="1" ht="12" customHeight="1">
      <c r="B185" s="703" t="s">
        <v>898</v>
      </c>
      <c r="C185" s="703" t="s">
        <v>1399</v>
      </c>
      <c r="D185" s="703" t="s">
        <v>1421</v>
      </c>
      <c r="E185" s="741" t="s">
        <v>815</v>
      </c>
      <c r="F185" s="741" t="s">
        <v>2798</v>
      </c>
      <c r="G185" s="739" t="s">
        <v>2760</v>
      </c>
      <c r="H185" s="740" t="s">
        <v>443</v>
      </c>
      <c r="I185" s="2027" t="s">
        <v>1268</v>
      </c>
      <c r="J185" s="727" t="s">
        <v>2225</v>
      </c>
      <c r="K185" s="728"/>
      <c r="L185" s="725"/>
      <c r="M185" s="726"/>
      <c r="N185" s="1179" t="s">
        <v>2224</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5" customFormat="1" ht="12" customHeight="1">
      <c r="B186" s="703" t="s">
        <v>899</v>
      </c>
      <c r="C186" s="703" t="s">
        <v>1400</v>
      </c>
      <c r="D186" s="703" t="s">
        <v>1397</v>
      </c>
      <c r="E186" s="741" t="s">
        <v>815</v>
      </c>
      <c r="F186" s="741" t="s">
        <v>2798</v>
      </c>
      <c r="G186" s="739" t="s">
        <v>2760</v>
      </c>
      <c r="H186" s="740" t="s">
        <v>443</v>
      </c>
      <c r="I186" s="2027" t="s">
        <v>1268</v>
      </c>
      <c r="J186" s="727" t="s">
        <v>2227</v>
      </c>
      <c r="K186" s="728"/>
      <c r="L186" s="725"/>
      <c r="M186" s="726"/>
      <c r="N186" s="1179" t="s">
        <v>2226</v>
      </c>
      <c r="O186" s="1179" t="s">
        <v>1403</v>
      </c>
      <c r="P186" s="348"/>
      <c r="Q186" s="2029"/>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5" customFormat="1" ht="12" customHeight="1">
      <c r="B187" s="703" t="s">
        <v>900</v>
      </c>
      <c r="C187" s="703" t="s">
        <v>1401</v>
      </c>
      <c r="D187" s="703" t="s">
        <v>1288</v>
      </c>
      <c r="E187" s="738" t="s">
        <v>1402</v>
      </c>
      <c r="F187" s="738" t="s">
        <v>2797</v>
      </c>
      <c r="G187" s="739" t="s">
        <v>2761</v>
      </c>
      <c r="H187" s="740" t="s">
        <v>442</v>
      </c>
      <c r="I187" s="2027" t="s">
        <v>2783</v>
      </c>
      <c r="J187" s="727" t="s">
        <v>2098</v>
      </c>
      <c r="K187" s="705"/>
      <c r="L187" s="725"/>
      <c r="M187" s="726"/>
      <c r="N187" s="1179" t="s">
        <v>1906</v>
      </c>
      <c r="O187" s="1179" t="s">
        <v>1012</v>
      </c>
      <c r="P187" s="348"/>
      <c r="Q187" s="2029"/>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5" customFormat="1" ht="12" customHeight="1">
      <c r="B188" s="703" t="s">
        <v>901</v>
      </c>
      <c r="C188" s="703" t="s">
        <v>1403</v>
      </c>
      <c r="D188" s="703" t="s">
        <v>1288</v>
      </c>
      <c r="E188" s="738" t="s">
        <v>1404</v>
      </c>
      <c r="F188" s="738" t="s">
        <v>2797</v>
      </c>
      <c r="G188" s="739" t="s">
        <v>2762</v>
      </c>
      <c r="H188" s="740" t="s">
        <v>442</v>
      </c>
      <c r="I188" s="2027" t="s">
        <v>2783</v>
      </c>
      <c r="J188" s="727" t="s">
        <v>187</v>
      </c>
      <c r="K188" s="705"/>
      <c r="L188" s="703"/>
      <c r="M188" s="726"/>
      <c r="N188" s="1179" t="s">
        <v>2099</v>
      </c>
      <c r="O188" s="1179" t="s">
        <v>450</v>
      </c>
      <c r="P188" s="348"/>
      <c r="Q188" s="2029"/>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5" customFormat="1" ht="12" customHeight="1">
      <c r="B189" s="703" t="s">
        <v>902</v>
      </c>
      <c r="C189" s="703" t="s">
        <v>1405</v>
      </c>
      <c r="D189" s="703" t="s">
        <v>1421</v>
      </c>
      <c r="E189" s="741" t="s">
        <v>1406</v>
      </c>
      <c r="F189" s="741" t="s">
        <v>2798</v>
      </c>
      <c r="G189" s="739" t="s">
        <v>2763</v>
      </c>
      <c r="H189" s="740" t="s">
        <v>443</v>
      </c>
      <c r="I189" s="2027" t="s">
        <v>1268</v>
      </c>
      <c r="J189" s="727" t="s">
        <v>189</v>
      </c>
      <c r="K189" s="705"/>
      <c r="L189" s="725"/>
      <c r="M189" s="726"/>
      <c r="N189" s="1179" t="s">
        <v>188</v>
      </c>
      <c r="O189" s="1179" t="s">
        <v>1552</v>
      </c>
      <c r="P189" s="348"/>
      <c r="Q189" s="2029"/>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5" customFormat="1" ht="12" customHeight="1">
      <c r="B190" s="703" t="s">
        <v>903</v>
      </c>
      <c r="C190" s="703" t="s">
        <v>1407</v>
      </c>
      <c r="D190" s="703" t="s">
        <v>1288</v>
      </c>
      <c r="E190" s="741" t="s">
        <v>1408</v>
      </c>
      <c r="F190" s="741" t="s">
        <v>2797</v>
      </c>
      <c r="G190" s="739" t="s">
        <v>2764</v>
      </c>
      <c r="H190" s="740" t="s">
        <v>442</v>
      </c>
      <c r="I190" s="2027" t="s">
        <v>2783</v>
      </c>
      <c r="J190" s="727" t="s">
        <v>467</v>
      </c>
      <c r="K190" s="728"/>
      <c r="L190" s="725"/>
      <c r="M190" s="726"/>
      <c r="N190" s="1179" t="s">
        <v>190</v>
      </c>
      <c r="O190" s="1179" t="s">
        <v>2560</v>
      </c>
      <c r="P190" s="348"/>
      <c r="Q190" s="2029"/>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5" customFormat="1" ht="12" customHeight="1">
      <c r="B191" s="703" t="s">
        <v>904</v>
      </c>
      <c r="C191" s="703" t="s">
        <v>1409</v>
      </c>
      <c r="D191" s="703" t="s">
        <v>1288</v>
      </c>
      <c r="E191" s="738" t="s">
        <v>12</v>
      </c>
      <c r="F191" s="738" t="s">
        <v>2798</v>
      </c>
      <c r="G191" s="739" t="s">
        <v>2765</v>
      </c>
      <c r="H191" s="740" t="s">
        <v>443</v>
      </c>
      <c r="I191" s="2028" t="s">
        <v>2783</v>
      </c>
      <c r="J191" s="727" t="s">
        <v>469</v>
      </c>
      <c r="K191" s="728"/>
      <c r="L191" s="725"/>
      <c r="M191" s="726"/>
      <c r="N191" s="1179" t="s">
        <v>468</v>
      </c>
      <c r="O191" s="1179" t="s">
        <v>1903</v>
      </c>
      <c r="P191" s="348"/>
      <c r="Q191" s="2029"/>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5" customFormat="1" ht="12" customHeight="1">
      <c r="B192" s="703" t="s">
        <v>905</v>
      </c>
      <c r="C192" s="703" t="s">
        <v>1410</v>
      </c>
      <c r="D192" s="703" t="s">
        <v>1288</v>
      </c>
      <c r="E192" s="738" t="s">
        <v>1815</v>
      </c>
      <c r="F192" s="738" t="s">
        <v>2798</v>
      </c>
      <c r="G192" s="739" t="s">
        <v>2766</v>
      </c>
      <c r="H192" s="740" t="s">
        <v>443</v>
      </c>
      <c r="I192" s="2028" t="s">
        <v>2783</v>
      </c>
      <c r="J192" s="727" t="s">
        <v>471</v>
      </c>
      <c r="K192" s="728"/>
      <c r="L192" s="725"/>
      <c r="M192" s="726"/>
      <c r="N192" s="1179" t="s">
        <v>470</v>
      </c>
      <c r="O192" s="1179" t="s">
        <v>1283</v>
      </c>
      <c r="P192" s="348"/>
      <c r="Q192" s="2029"/>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5" customFormat="1" ht="12" customHeight="1">
      <c r="B193" s="703" t="s">
        <v>906</v>
      </c>
      <c r="C193" s="703" t="s">
        <v>1411</v>
      </c>
      <c r="D193" s="703" t="s">
        <v>1288</v>
      </c>
      <c r="E193" s="741" t="s">
        <v>1412</v>
      </c>
      <c r="F193" s="741" t="s">
        <v>2798</v>
      </c>
      <c r="G193" s="739" t="s">
        <v>1559</v>
      </c>
      <c r="H193" s="740" t="s">
        <v>443</v>
      </c>
      <c r="I193" s="2028" t="s">
        <v>2783</v>
      </c>
      <c r="J193" s="727" t="s">
        <v>473</v>
      </c>
      <c r="K193" s="728"/>
      <c r="L193" s="725"/>
      <c r="M193" s="726"/>
      <c r="N193" s="1179" t="s">
        <v>472</v>
      </c>
      <c r="O193" s="1179" t="s">
        <v>191</v>
      </c>
      <c r="P193" s="348"/>
      <c r="Q193" s="2029"/>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5" customFormat="1" ht="12" customHeight="1">
      <c r="B194" s="703" t="s">
        <v>907</v>
      </c>
      <c r="C194" s="703" t="s">
        <v>1413</v>
      </c>
      <c r="D194" s="703" t="s">
        <v>1288</v>
      </c>
      <c r="E194" s="741" t="s">
        <v>1414</v>
      </c>
      <c r="F194" s="741" t="s">
        <v>2797</v>
      </c>
      <c r="G194" s="739" t="s">
        <v>2781</v>
      </c>
      <c r="H194" s="740" t="s">
        <v>442</v>
      </c>
      <c r="I194" s="2027" t="s">
        <v>2783</v>
      </c>
      <c r="J194" s="727" t="s">
        <v>2412</v>
      </c>
      <c r="K194" s="728"/>
      <c r="L194" s="725"/>
      <c r="M194" s="726"/>
      <c r="N194" s="1179" t="s">
        <v>474</v>
      </c>
      <c r="O194" s="1179" t="s">
        <v>125</v>
      </c>
      <c r="P194" s="348"/>
      <c r="Q194" s="2029"/>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5" customFormat="1" ht="12" customHeight="1">
      <c r="B195" s="703" t="s">
        <v>908</v>
      </c>
      <c r="C195" s="703" t="s">
        <v>1415</v>
      </c>
      <c r="D195" s="703" t="s">
        <v>1421</v>
      </c>
      <c r="E195" s="741" t="s">
        <v>816</v>
      </c>
      <c r="F195" s="741" t="s">
        <v>2798</v>
      </c>
      <c r="G195" s="739" t="s">
        <v>2782</v>
      </c>
      <c r="H195" s="740" t="s">
        <v>443</v>
      </c>
      <c r="I195" s="2028" t="s">
        <v>2783</v>
      </c>
      <c r="J195" s="727" t="s">
        <v>2414</v>
      </c>
      <c r="K195" s="728"/>
      <c r="L195" s="725"/>
      <c r="M195" s="726"/>
      <c r="N195" s="1179" t="s">
        <v>2413</v>
      </c>
      <c r="O195" s="1179" t="s">
        <v>2657</v>
      </c>
      <c r="P195" s="348"/>
      <c r="Q195" s="2029"/>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5" customFormat="1" ht="12" customHeight="1">
      <c r="B196" s="703" t="s">
        <v>909</v>
      </c>
      <c r="C196" s="703" t="s">
        <v>1417</v>
      </c>
      <c r="D196" s="703" t="s">
        <v>1421</v>
      </c>
      <c r="E196" s="741" t="s">
        <v>1099</v>
      </c>
      <c r="F196" s="741" t="s">
        <v>2798</v>
      </c>
      <c r="G196" s="739" t="s">
        <v>1337</v>
      </c>
      <c r="H196" s="740" t="s">
        <v>443</v>
      </c>
      <c r="I196" s="2028" t="s">
        <v>2783</v>
      </c>
      <c r="J196" s="727" t="s">
        <v>387</v>
      </c>
      <c r="K196" s="728"/>
      <c r="L196" s="725"/>
      <c r="M196" s="726"/>
      <c r="N196" s="1179" t="s">
        <v>1978</v>
      </c>
      <c r="O196" s="1179" t="s">
        <v>2319</v>
      </c>
      <c r="P196" s="348"/>
      <c r="Q196" s="2029"/>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5" customFormat="1" ht="12" customHeight="1">
      <c r="B197" s="703" t="s">
        <v>910</v>
      </c>
      <c r="C197" s="703" t="s">
        <v>1418</v>
      </c>
      <c r="D197" s="703" t="s">
        <v>1288</v>
      </c>
      <c r="E197" s="738" t="s">
        <v>1419</v>
      </c>
      <c r="F197" s="738" t="s">
        <v>2797</v>
      </c>
      <c r="G197" s="739" t="s">
        <v>1338</v>
      </c>
      <c r="H197" s="740" t="s">
        <v>442</v>
      </c>
      <c r="I197" s="2027" t="s">
        <v>2783</v>
      </c>
      <c r="J197" s="727" t="s">
        <v>389</v>
      </c>
      <c r="K197" s="728"/>
      <c r="L197" s="725"/>
      <c r="M197" s="726"/>
      <c r="N197" s="1179" t="s">
        <v>388</v>
      </c>
      <c r="O197" s="1179" t="s">
        <v>2319</v>
      </c>
      <c r="P197" s="348"/>
      <c r="Q197" s="2029"/>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5" customFormat="1" ht="12" customHeight="1">
      <c r="B198" s="703" t="s">
        <v>911</v>
      </c>
      <c r="C198" s="703" t="s">
        <v>1420</v>
      </c>
      <c r="D198" s="703" t="s">
        <v>1288</v>
      </c>
      <c r="E198" s="741" t="s">
        <v>780</v>
      </c>
      <c r="F198" s="741" t="s">
        <v>2797</v>
      </c>
      <c r="G198" s="739" t="s">
        <v>1339</v>
      </c>
      <c r="H198" s="740" t="s">
        <v>442</v>
      </c>
      <c r="I198" s="2027" t="s">
        <v>2783</v>
      </c>
      <c r="J198" s="727" t="s">
        <v>2729</v>
      </c>
      <c r="K198" s="728"/>
      <c r="L198" s="725"/>
      <c r="M198" s="726"/>
      <c r="N198" s="1179" t="s">
        <v>1287</v>
      </c>
      <c r="O198" s="1179" t="s">
        <v>2703</v>
      </c>
      <c r="P198" s="348"/>
      <c r="Q198" s="2029"/>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5" customFormat="1" ht="12" customHeight="1">
      <c r="B199" s="703" t="s">
        <v>912</v>
      </c>
      <c r="C199" s="703" t="s">
        <v>781</v>
      </c>
      <c r="D199" s="703" t="s">
        <v>1288</v>
      </c>
      <c r="E199" s="738" t="s">
        <v>782</v>
      </c>
      <c r="F199" s="738" t="s">
        <v>2797</v>
      </c>
      <c r="G199" s="739" t="s">
        <v>1830</v>
      </c>
      <c r="H199" s="740" t="s">
        <v>442</v>
      </c>
      <c r="I199" s="2027" t="s">
        <v>2783</v>
      </c>
      <c r="J199" s="727" t="s">
        <v>2731</v>
      </c>
      <c r="K199" s="728"/>
      <c r="L199" s="725"/>
      <c r="M199" s="726"/>
      <c r="N199" s="1179" t="s">
        <v>2730</v>
      </c>
      <c r="O199" s="1179" t="s">
        <v>2708</v>
      </c>
      <c r="P199" s="348"/>
      <c r="Q199" s="2029"/>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5" customFormat="1" ht="12" customHeight="1">
      <c r="B200" s="703" t="s">
        <v>913</v>
      </c>
      <c r="C200" s="703" t="s">
        <v>783</v>
      </c>
      <c r="D200" s="703" t="s">
        <v>1421</v>
      </c>
      <c r="E200" s="741" t="s">
        <v>815</v>
      </c>
      <c r="F200" s="741" t="s">
        <v>2798</v>
      </c>
      <c r="G200" s="739" t="s">
        <v>2760</v>
      </c>
      <c r="H200" s="740" t="s">
        <v>443</v>
      </c>
      <c r="I200" s="2027" t="s">
        <v>1268</v>
      </c>
      <c r="J200" s="727" t="s">
        <v>2733</v>
      </c>
      <c r="K200" s="728"/>
      <c r="L200" s="725"/>
      <c r="M200" s="726"/>
      <c r="N200" s="1179" t="s">
        <v>2732</v>
      </c>
      <c r="O200" s="1179" t="s">
        <v>1162</v>
      </c>
      <c r="P200" s="348"/>
      <c r="Q200" s="2029"/>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5" customFormat="1" ht="12" customHeight="1">
      <c r="B201" s="703" t="s">
        <v>914</v>
      </c>
      <c r="C201" s="703" t="s">
        <v>1626</v>
      </c>
      <c r="D201" s="703" t="s">
        <v>1397</v>
      </c>
      <c r="E201" s="741" t="s">
        <v>1627</v>
      </c>
      <c r="F201" s="741" t="s">
        <v>2798</v>
      </c>
      <c r="G201" s="739" t="s">
        <v>1799</v>
      </c>
      <c r="H201" s="740" t="s">
        <v>443</v>
      </c>
      <c r="I201" s="2028" t="s">
        <v>2783</v>
      </c>
      <c r="J201" s="727" t="s">
        <v>2735</v>
      </c>
      <c r="K201" s="728"/>
      <c r="L201" s="725"/>
      <c r="M201" s="726"/>
      <c r="N201" s="1179" t="s">
        <v>2734</v>
      </c>
      <c r="O201" s="1179" t="s">
        <v>341</v>
      </c>
      <c r="P201" s="348"/>
      <c r="Q201" s="2029"/>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5" customFormat="1" ht="12" customHeight="1">
      <c r="B202" s="703" t="s">
        <v>915</v>
      </c>
      <c r="C202" s="703" t="s">
        <v>164</v>
      </c>
      <c r="D202" s="703" t="s">
        <v>1288</v>
      </c>
      <c r="E202" s="738" t="s">
        <v>165</v>
      </c>
      <c r="F202" s="738" t="s">
        <v>2797</v>
      </c>
      <c r="G202" s="739" t="s">
        <v>1800</v>
      </c>
      <c r="H202" s="740" t="s">
        <v>442</v>
      </c>
      <c r="I202" s="2027" t="s">
        <v>2783</v>
      </c>
      <c r="J202" s="727" t="s">
        <v>2737</v>
      </c>
      <c r="K202" s="728"/>
      <c r="L202" s="725"/>
      <c r="M202" s="726"/>
      <c r="N202" s="1179" t="s">
        <v>2736</v>
      </c>
      <c r="O202" s="1179" t="s">
        <v>2654</v>
      </c>
      <c r="P202" s="348"/>
      <c r="Q202" s="2029"/>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5" customFormat="1" ht="12" customHeight="1">
      <c r="B203" s="703" t="s">
        <v>916</v>
      </c>
      <c r="C203" s="703" t="s">
        <v>166</v>
      </c>
      <c r="D203" s="703" t="s">
        <v>1288</v>
      </c>
      <c r="E203" s="741" t="s">
        <v>1412</v>
      </c>
      <c r="F203" s="741" t="s">
        <v>2798</v>
      </c>
      <c r="G203" s="739" t="s">
        <v>1559</v>
      </c>
      <c r="H203" s="740" t="s">
        <v>443</v>
      </c>
      <c r="I203" s="2027" t="s">
        <v>1268</v>
      </c>
      <c r="J203" s="727" t="s">
        <v>2739</v>
      </c>
      <c r="K203" s="728"/>
      <c r="L203" s="725"/>
      <c r="M203" s="726"/>
      <c r="N203" s="1179" t="s">
        <v>2738</v>
      </c>
      <c r="O203" s="1179" t="s">
        <v>1418</v>
      </c>
      <c r="P203" s="348"/>
      <c r="Q203" s="2029"/>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5" customFormat="1" ht="12" customHeight="1">
      <c r="B204" s="703" t="s">
        <v>1428</v>
      </c>
      <c r="C204" s="703" t="s">
        <v>167</v>
      </c>
      <c r="D204" s="703" t="s">
        <v>1421</v>
      </c>
      <c r="E204" s="741" t="s">
        <v>168</v>
      </c>
      <c r="F204" s="741" t="s">
        <v>2798</v>
      </c>
      <c r="G204" s="739" t="s">
        <v>1801</v>
      </c>
      <c r="H204" s="740" t="s">
        <v>443</v>
      </c>
      <c r="I204" s="2028" t="s">
        <v>2783</v>
      </c>
      <c r="J204" s="727" t="s">
        <v>2740</v>
      </c>
      <c r="K204" s="728"/>
      <c r="L204" s="725"/>
      <c r="M204" s="726"/>
      <c r="N204" s="1179" t="s">
        <v>2741</v>
      </c>
      <c r="O204" s="1179" t="s">
        <v>2775</v>
      </c>
      <c r="P204" s="348"/>
      <c r="Q204" s="2029"/>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5" customFormat="1" ht="12" customHeight="1">
      <c r="B205" s="703" t="s">
        <v>1429</v>
      </c>
      <c r="C205" s="703" t="s">
        <v>169</v>
      </c>
      <c r="D205" s="703" t="s">
        <v>1397</v>
      </c>
      <c r="E205" s="738" t="s">
        <v>170</v>
      </c>
      <c r="F205" s="738" t="s">
        <v>2797</v>
      </c>
      <c r="G205" s="739" t="s">
        <v>1802</v>
      </c>
      <c r="H205" s="740" t="s">
        <v>442</v>
      </c>
      <c r="I205" s="2027" t="s">
        <v>2783</v>
      </c>
      <c r="J205" s="727" t="s">
        <v>2742</v>
      </c>
      <c r="K205" s="728"/>
      <c r="L205" s="725"/>
      <c r="M205" s="726"/>
      <c r="N205" s="1179" t="s">
        <v>2743</v>
      </c>
      <c r="O205" s="1179" t="s">
        <v>2052</v>
      </c>
      <c r="P205" s="2030"/>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5" customFormat="1" ht="12" customHeight="1">
      <c r="B206" s="703" t="s">
        <v>1430</v>
      </c>
      <c r="C206" s="703" t="s">
        <v>171</v>
      </c>
      <c r="D206" s="703" t="s">
        <v>1397</v>
      </c>
      <c r="E206" s="741" t="s">
        <v>815</v>
      </c>
      <c r="F206" s="741" t="s">
        <v>2798</v>
      </c>
      <c r="G206" s="739" t="s">
        <v>2760</v>
      </c>
      <c r="H206" s="740" t="s">
        <v>443</v>
      </c>
      <c r="I206" s="2027" t="s">
        <v>1268</v>
      </c>
      <c r="J206" s="727" t="s">
        <v>436</v>
      </c>
      <c r="K206" s="728"/>
      <c r="L206" s="725"/>
      <c r="M206" s="726"/>
      <c r="N206" s="1179" t="s">
        <v>173</v>
      </c>
      <c r="O206" s="1179" t="s">
        <v>172</v>
      </c>
      <c r="P206" s="348"/>
      <c r="Q206" s="2029"/>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5" customFormat="1" ht="12" customHeight="1">
      <c r="B207" s="703" t="s">
        <v>1431</v>
      </c>
      <c r="C207" s="703" t="s">
        <v>172</v>
      </c>
      <c r="D207" s="703" t="s">
        <v>1421</v>
      </c>
      <c r="E207" s="738" t="s">
        <v>2182</v>
      </c>
      <c r="F207" s="738" t="s">
        <v>2798</v>
      </c>
      <c r="G207" s="739" t="s">
        <v>661</v>
      </c>
      <c r="H207" s="740" t="s">
        <v>443</v>
      </c>
      <c r="I207" s="2028" t="s">
        <v>1268</v>
      </c>
      <c r="J207" s="727" t="s">
        <v>437</v>
      </c>
      <c r="K207" s="728"/>
      <c r="L207" s="703"/>
      <c r="M207" s="726"/>
      <c r="N207" s="1179" t="s">
        <v>1282</v>
      </c>
      <c r="O207" s="1179" t="s">
        <v>1283</v>
      </c>
      <c r="P207" s="348"/>
      <c r="Q207" s="2029"/>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5" customFormat="1" ht="12" customHeight="1">
      <c r="B208" s="703" t="s">
        <v>1432</v>
      </c>
      <c r="C208" s="703" t="s">
        <v>2651</v>
      </c>
      <c r="D208" s="703" t="s">
        <v>1288</v>
      </c>
      <c r="E208" s="738" t="s">
        <v>2652</v>
      </c>
      <c r="F208" s="738" t="s">
        <v>2797</v>
      </c>
      <c r="G208" s="739" t="s">
        <v>662</v>
      </c>
      <c r="H208" s="740" t="s">
        <v>442</v>
      </c>
      <c r="I208" s="2028" t="s">
        <v>2783</v>
      </c>
      <c r="J208" s="727" t="s">
        <v>830</v>
      </c>
      <c r="K208" s="705"/>
      <c r="L208" s="725"/>
      <c r="M208" s="726"/>
      <c r="N208" s="1179" t="s">
        <v>831</v>
      </c>
      <c r="O208" s="1179" t="s">
        <v>204</v>
      </c>
      <c r="P208" s="348"/>
      <c r="Q208" s="2029"/>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5" customFormat="1" ht="12" customHeight="1">
      <c r="B209" s="703" t="s">
        <v>1433</v>
      </c>
      <c r="C209" s="703" t="s">
        <v>2653</v>
      </c>
      <c r="D209" s="703" t="s">
        <v>1421</v>
      </c>
      <c r="E209" s="741" t="s">
        <v>815</v>
      </c>
      <c r="F209" s="741" t="s">
        <v>2798</v>
      </c>
      <c r="G209" s="739" t="s">
        <v>2760</v>
      </c>
      <c r="H209" s="740" t="s">
        <v>443</v>
      </c>
      <c r="I209" s="2027" t="s">
        <v>1268</v>
      </c>
      <c r="J209" s="727" t="s">
        <v>832</v>
      </c>
      <c r="K209" s="705"/>
      <c r="L209" s="725"/>
      <c r="M209" s="726"/>
      <c r="N209" s="1179" t="s">
        <v>2210</v>
      </c>
      <c r="O209" s="1179" t="s">
        <v>1399</v>
      </c>
      <c r="P209" s="2030"/>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5" customFormat="1" ht="12" customHeight="1">
      <c r="B210" s="703" t="s">
        <v>1434</v>
      </c>
      <c r="C210" s="703" t="s">
        <v>2654</v>
      </c>
      <c r="D210" s="703" t="s">
        <v>1288</v>
      </c>
      <c r="E210" s="738" t="s">
        <v>2655</v>
      </c>
      <c r="F210" s="738" t="s">
        <v>2797</v>
      </c>
      <c r="G210" s="739" t="s">
        <v>663</v>
      </c>
      <c r="H210" s="740" t="s">
        <v>442</v>
      </c>
      <c r="I210" s="2028" t="s">
        <v>2783</v>
      </c>
      <c r="J210" s="727" t="s">
        <v>2211</v>
      </c>
      <c r="K210" s="705"/>
      <c r="L210" s="725"/>
      <c r="M210" s="726"/>
      <c r="N210" s="1179" t="s">
        <v>1416</v>
      </c>
      <c r="O210" s="1179" t="s">
        <v>1174</v>
      </c>
      <c r="P210" s="348"/>
      <c r="Q210" s="2029"/>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5" customFormat="1" ht="12" customHeight="1">
      <c r="B211" s="703" t="s">
        <v>1435</v>
      </c>
      <c r="C211" s="703" t="s">
        <v>2656</v>
      </c>
      <c r="D211" s="703" t="s">
        <v>1397</v>
      </c>
      <c r="E211" s="741" t="s">
        <v>815</v>
      </c>
      <c r="F211" s="741" t="s">
        <v>2798</v>
      </c>
      <c r="G211" s="739" t="s">
        <v>2760</v>
      </c>
      <c r="H211" s="740" t="s">
        <v>443</v>
      </c>
      <c r="I211" s="2027" t="s">
        <v>1268</v>
      </c>
      <c r="J211" s="727" t="s">
        <v>2212</v>
      </c>
      <c r="K211" s="705"/>
      <c r="L211" s="725"/>
      <c r="M211" s="726"/>
      <c r="N211" s="1179" t="s">
        <v>2213</v>
      </c>
      <c r="O211" s="1179" t="s">
        <v>2656</v>
      </c>
      <c r="P211" s="348"/>
      <c r="Q211" s="2029"/>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5" customFormat="1" ht="12" customHeight="1">
      <c r="B212" s="703" t="s">
        <v>1436</v>
      </c>
      <c r="C212" s="703" t="s">
        <v>2657</v>
      </c>
      <c r="D212" s="703" t="s">
        <v>1288</v>
      </c>
      <c r="E212" s="738" t="s">
        <v>2658</v>
      </c>
      <c r="F212" s="738" t="s">
        <v>2797</v>
      </c>
      <c r="G212" s="739" t="s">
        <v>664</v>
      </c>
      <c r="H212" s="740" t="s">
        <v>442</v>
      </c>
      <c r="I212" s="2028" t="s">
        <v>2783</v>
      </c>
      <c r="J212" s="727" t="s">
        <v>2214</v>
      </c>
      <c r="K212" s="705"/>
      <c r="L212" s="725"/>
      <c r="M212" s="726"/>
      <c r="N212" s="1179" t="s">
        <v>2136</v>
      </c>
      <c r="O212" s="1179" t="s">
        <v>2315</v>
      </c>
      <c r="P212" s="348"/>
      <c r="Q212" s="2029"/>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5" customFormat="1" ht="12" customHeight="1">
      <c r="B213" s="703" t="s">
        <v>1437</v>
      </c>
      <c r="C213" s="703" t="s">
        <v>2659</v>
      </c>
      <c r="D213" s="703" t="s">
        <v>1288</v>
      </c>
      <c r="E213" s="738" t="s">
        <v>2702</v>
      </c>
      <c r="F213" s="738" t="s">
        <v>2797</v>
      </c>
      <c r="G213" s="739" t="s">
        <v>665</v>
      </c>
      <c r="H213" s="740" t="s">
        <v>442</v>
      </c>
      <c r="I213" s="2028" t="s">
        <v>2783</v>
      </c>
      <c r="J213" s="727" t="s">
        <v>2245</v>
      </c>
      <c r="K213" s="705"/>
      <c r="L213" s="725"/>
      <c r="M213" s="726"/>
      <c r="N213" s="1179" t="s">
        <v>2215</v>
      </c>
      <c r="O213" s="1179" t="s">
        <v>346</v>
      </c>
      <c r="P213" s="348"/>
      <c r="Q213" s="2029"/>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5" customFormat="1" ht="12" customHeight="1">
      <c r="B214" s="703" t="s">
        <v>1438</v>
      </c>
      <c r="C214" s="703" t="s">
        <v>2703</v>
      </c>
      <c r="D214" s="703" t="s">
        <v>1421</v>
      </c>
      <c r="E214" s="741" t="s">
        <v>816</v>
      </c>
      <c r="F214" s="741" t="s">
        <v>2798</v>
      </c>
      <c r="G214" s="739" t="s">
        <v>2782</v>
      </c>
      <c r="H214" s="740" t="s">
        <v>443</v>
      </c>
      <c r="I214" s="2028" t="s">
        <v>2783</v>
      </c>
      <c r="J214" s="727" t="s">
        <v>2247</v>
      </c>
      <c r="K214" s="705"/>
      <c r="L214" s="725"/>
      <c r="M214" s="726"/>
      <c r="N214" s="1179" t="s">
        <v>2246</v>
      </c>
      <c r="O214" s="1179" t="s">
        <v>669</v>
      </c>
      <c r="P214" s="348"/>
      <c r="Q214" s="2029"/>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5" customFormat="1" ht="12" customHeight="1">
      <c r="B215" s="703" t="s">
        <v>1439</v>
      </c>
      <c r="C215" s="703" t="s">
        <v>2704</v>
      </c>
      <c r="D215" s="703" t="s">
        <v>1288</v>
      </c>
      <c r="E215" s="738" t="s">
        <v>2705</v>
      </c>
      <c r="F215" s="738" t="s">
        <v>2797</v>
      </c>
      <c r="G215" s="739" t="s">
        <v>666</v>
      </c>
      <c r="H215" s="740" t="s">
        <v>442</v>
      </c>
      <c r="I215" s="2028" t="s">
        <v>2783</v>
      </c>
      <c r="J215" s="727" t="s">
        <v>2249</v>
      </c>
      <c r="K215" s="705"/>
      <c r="L215" s="725"/>
      <c r="M215" s="726"/>
      <c r="N215" s="1179" t="s">
        <v>2248</v>
      </c>
      <c r="O215" s="1179" t="s">
        <v>1744</v>
      </c>
      <c r="P215" s="348"/>
      <c r="Q215" s="2029"/>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5" customFormat="1" ht="12" customHeight="1">
      <c r="B216" s="703" t="s">
        <v>1440</v>
      </c>
      <c r="C216" s="703" t="s">
        <v>2706</v>
      </c>
      <c r="D216" s="703" t="s">
        <v>1421</v>
      </c>
      <c r="E216" s="741" t="s">
        <v>815</v>
      </c>
      <c r="F216" s="741" t="s">
        <v>2798</v>
      </c>
      <c r="G216" s="739" t="s">
        <v>2760</v>
      </c>
      <c r="H216" s="740" t="s">
        <v>443</v>
      </c>
      <c r="I216" s="2027" t="s">
        <v>1268</v>
      </c>
      <c r="J216" s="727" t="s">
        <v>2251</v>
      </c>
      <c r="K216" s="705"/>
      <c r="L216" s="725"/>
      <c r="M216" s="726"/>
      <c r="N216" s="1179" t="s">
        <v>2250</v>
      </c>
      <c r="O216" s="1179" t="s">
        <v>204</v>
      </c>
      <c r="P216" s="348"/>
      <c r="Q216" s="2029"/>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5" customFormat="1" ht="12" customHeight="1">
      <c r="B217" s="703" t="s">
        <v>1441</v>
      </c>
      <c r="C217" s="703" t="s">
        <v>2707</v>
      </c>
      <c r="D217" s="703" t="s">
        <v>1421</v>
      </c>
      <c r="E217" s="741" t="s">
        <v>1406</v>
      </c>
      <c r="F217" s="741" t="s">
        <v>2798</v>
      </c>
      <c r="G217" s="739" t="s">
        <v>2763</v>
      </c>
      <c r="H217" s="740" t="s">
        <v>443</v>
      </c>
      <c r="I217" s="2028" t="s">
        <v>2783</v>
      </c>
      <c r="J217" s="727" t="s">
        <v>2723</v>
      </c>
      <c r="K217" s="705"/>
      <c r="L217" s="725"/>
      <c r="M217" s="726"/>
      <c r="N217" s="1179" t="s">
        <v>1907</v>
      </c>
      <c r="O217" s="1179" t="s">
        <v>125</v>
      </c>
      <c r="P217" s="348"/>
      <c r="Q217" s="2029"/>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5" customFormat="1" ht="12" customHeight="1">
      <c r="B218" s="703" t="s">
        <v>1442</v>
      </c>
      <c r="C218" s="703" t="s">
        <v>2708</v>
      </c>
      <c r="D218" s="703" t="s">
        <v>1288</v>
      </c>
      <c r="E218" s="738" t="s">
        <v>201</v>
      </c>
      <c r="F218" s="738" t="s">
        <v>2797</v>
      </c>
      <c r="G218" s="739" t="s">
        <v>667</v>
      </c>
      <c r="H218" s="740" t="s">
        <v>442</v>
      </c>
      <c r="I218" s="2028" t="s">
        <v>2783</v>
      </c>
      <c r="J218" s="727" t="s">
        <v>1066</v>
      </c>
      <c r="K218" s="705"/>
      <c r="L218" s="725"/>
      <c r="M218" s="726"/>
      <c r="N218" s="1179" t="s">
        <v>2724</v>
      </c>
      <c r="O218" s="1179" t="s">
        <v>171</v>
      </c>
      <c r="P218" s="348"/>
      <c r="Q218" s="2029"/>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5" customFormat="1" ht="12" customHeight="1">
      <c r="B219" s="703" t="s">
        <v>1443</v>
      </c>
      <c r="C219" s="703" t="s">
        <v>202</v>
      </c>
      <c r="D219" s="703" t="s">
        <v>1397</v>
      </c>
      <c r="E219" s="741" t="s">
        <v>1627</v>
      </c>
      <c r="F219" s="741" t="s">
        <v>2798</v>
      </c>
      <c r="G219" s="739" t="s">
        <v>1799</v>
      </c>
      <c r="H219" s="740" t="s">
        <v>443</v>
      </c>
      <c r="I219" s="2028" t="s">
        <v>2783</v>
      </c>
      <c r="J219" s="727" t="s">
        <v>2139</v>
      </c>
      <c r="K219" s="705"/>
      <c r="L219" s="725"/>
      <c r="M219" s="726"/>
      <c r="N219" s="1179" t="s">
        <v>1067</v>
      </c>
      <c r="O219" s="1179" t="s">
        <v>450</v>
      </c>
      <c r="P219" s="348"/>
      <c r="Q219" s="2029"/>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5" customFormat="1" ht="12" customHeight="1">
      <c r="B220" s="703" t="s">
        <v>1444</v>
      </c>
      <c r="C220" s="703" t="s">
        <v>203</v>
      </c>
      <c r="D220" s="703" t="s">
        <v>1397</v>
      </c>
      <c r="E220" s="741" t="s">
        <v>815</v>
      </c>
      <c r="F220" s="741" t="s">
        <v>2798</v>
      </c>
      <c r="G220" s="739" t="s">
        <v>2760</v>
      </c>
      <c r="H220" s="740" t="s">
        <v>443</v>
      </c>
      <c r="I220" s="2027" t="s">
        <v>1268</v>
      </c>
      <c r="J220" s="727" t="s">
        <v>16</v>
      </c>
      <c r="K220" s="705"/>
      <c r="L220" s="725"/>
      <c r="M220" s="726"/>
      <c r="N220" s="1179" t="s">
        <v>1400</v>
      </c>
      <c r="O220" s="1179" t="s">
        <v>346</v>
      </c>
      <c r="P220" s="348"/>
      <c r="Q220" s="2029"/>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5" customFormat="1" ht="12" customHeight="1">
      <c r="B221" s="703" t="s">
        <v>1445</v>
      </c>
      <c r="C221" s="703" t="s">
        <v>204</v>
      </c>
      <c r="D221" s="703" t="s">
        <v>1288</v>
      </c>
      <c r="E221" s="738" t="s">
        <v>205</v>
      </c>
      <c r="F221" s="738" t="s">
        <v>2797</v>
      </c>
      <c r="G221" s="739" t="s">
        <v>668</v>
      </c>
      <c r="H221" s="740" t="s">
        <v>442</v>
      </c>
      <c r="I221" s="2028" t="s">
        <v>2783</v>
      </c>
      <c r="J221" s="727" t="s">
        <v>2385</v>
      </c>
      <c r="K221" s="705"/>
      <c r="L221" s="725"/>
      <c r="M221" s="726"/>
      <c r="N221" s="1179" t="s">
        <v>17</v>
      </c>
      <c r="O221" s="1179" t="s">
        <v>1779</v>
      </c>
      <c r="P221" s="348"/>
      <c r="Q221" s="2029"/>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5" customFormat="1" ht="12" customHeight="1">
      <c r="B222" s="703" t="s">
        <v>1446</v>
      </c>
      <c r="C222" s="703" t="s">
        <v>206</v>
      </c>
      <c r="D222" s="703" t="s">
        <v>1421</v>
      </c>
      <c r="E222" s="741" t="s">
        <v>815</v>
      </c>
      <c r="F222" s="741" t="s">
        <v>2798</v>
      </c>
      <c r="G222" s="739" t="s">
        <v>2760</v>
      </c>
      <c r="H222" s="740" t="s">
        <v>443</v>
      </c>
      <c r="I222" s="2027" t="s">
        <v>1268</v>
      </c>
      <c r="J222" s="727" t="s">
        <v>2387</v>
      </c>
      <c r="K222" s="705"/>
      <c r="L222" s="725"/>
      <c r="M222" s="726"/>
      <c r="N222" s="1179" t="s">
        <v>2386</v>
      </c>
      <c r="O222" s="1179" t="s">
        <v>1287</v>
      </c>
      <c r="P222" s="348"/>
      <c r="Q222" s="2029"/>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5" customFormat="1" ht="12" customHeight="1">
      <c r="B223" s="703" t="s">
        <v>1447</v>
      </c>
      <c r="C223" s="703" t="s">
        <v>207</v>
      </c>
      <c r="D223" s="703" t="s">
        <v>1288</v>
      </c>
      <c r="E223" s="738" t="s">
        <v>1009</v>
      </c>
      <c r="F223" s="738" t="s">
        <v>2797</v>
      </c>
      <c r="G223" s="739" t="s">
        <v>2094</v>
      </c>
      <c r="H223" s="740" t="s">
        <v>442</v>
      </c>
      <c r="I223" s="2028" t="s">
        <v>2783</v>
      </c>
      <c r="J223" s="727" t="s">
        <v>2389</v>
      </c>
      <c r="K223" s="705"/>
      <c r="L223" s="725"/>
      <c r="M223" s="726"/>
      <c r="N223" s="703" t="s">
        <v>2388</v>
      </c>
      <c r="O223" s="703" t="s">
        <v>2394</v>
      </c>
      <c r="P223" s="2031"/>
      <c r="Q223" s="2029"/>
      <c r="R223" s="703"/>
      <c r="S223" s="703"/>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5" customFormat="1" ht="12" customHeight="1">
      <c r="B224" s="703" t="s">
        <v>1448</v>
      </c>
      <c r="C224" s="703" t="s">
        <v>1010</v>
      </c>
      <c r="D224" s="703" t="s">
        <v>1288</v>
      </c>
      <c r="E224" s="738" t="s">
        <v>1011</v>
      </c>
      <c r="F224" s="738" t="s">
        <v>2797</v>
      </c>
      <c r="G224" s="739" t="s">
        <v>2095</v>
      </c>
      <c r="H224" s="740" t="s">
        <v>442</v>
      </c>
      <c r="I224" s="2028" t="s">
        <v>2783</v>
      </c>
      <c r="J224" s="727" t="s">
        <v>2419</v>
      </c>
      <c r="K224" s="705"/>
      <c r="L224" s="725"/>
      <c r="M224" s="726"/>
      <c r="N224" s="1179" t="s">
        <v>2745</v>
      </c>
      <c r="O224" s="1179" t="s">
        <v>669</v>
      </c>
      <c r="P224" s="348"/>
      <c r="Q224" s="2029"/>
      <c r="R224" s="703"/>
      <c r="S224" s="703"/>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5" customFormat="1" ht="12" customHeight="1">
      <c r="B225" s="703" t="s">
        <v>1449</v>
      </c>
      <c r="C225" s="703" t="s">
        <v>1012</v>
      </c>
      <c r="D225" s="703" t="s">
        <v>1288</v>
      </c>
      <c r="E225" s="741" t="s">
        <v>1906</v>
      </c>
      <c r="F225" s="741" t="s">
        <v>2798</v>
      </c>
      <c r="G225" s="739" t="s">
        <v>1231</v>
      </c>
      <c r="H225" s="740" t="s">
        <v>443</v>
      </c>
      <c r="I225" s="2028" t="s">
        <v>1268</v>
      </c>
      <c r="J225" s="727" t="s">
        <v>1897</v>
      </c>
      <c r="K225" s="705"/>
      <c r="L225" s="725"/>
      <c r="M225" s="726"/>
      <c r="N225" s="1179" t="s">
        <v>2390</v>
      </c>
      <c r="O225" s="1179" t="s">
        <v>124</v>
      </c>
      <c r="P225" s="348"/>
      <c r="Q225" s="2029"/>
      <c r="R225" s="703"/>
      <c r="S225" s="703"/>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5" customFormat="1" ht="12" customHeight="1">
      <c r="B226" s="703" t="s">
        <v>1450</v>
      </c>
      <c r="C226" s="703" t="s">
        <v>928</v>
      </c>
      <c r="D226" s="703" t="s">
        <v>1421</v>
      </c>
      <c r="E226" s="741" t="s">
        <v>815</v>
      </c>
      <c r="F226" s="741" t="s">
        <v>2798</v>
      </c>
      <c r="G226" s="739" t="s">
        <v>2760</v>
      </c>
      <c r="H226" s="740" t="s">
        <v>443</v>
      </c>
      <c r="I226" s="2027" t="s">
        <v>1268</v>
      </c>
      <c r="J226" s="727" t="s">
        <v>1899</v>
      </c>
      <c r="K226" s="705"/>
      <c r="L226" s="725"/>
      <c r="M226" s="726"/>
      <c r="N226" s="1179" t="s">
        <v>1872</v>
      </c>
      <c r="O226" s="1179" t="s">
        <v>2659</v>
      </c>
      <c r="P226" s="348"/>
      <c r="Q226" s="2029"/>
      <c r="R226" s="703"/>
      <c r="S226" s="703"/>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5" customFormat="1" ht="12" customHeight="1">
      <c r="B227" s="703" t="s">
        <v>1451</v>
      </c>
      <c r="C227" s="703" t="s">
        <v>929</v>
      </c>
      <c r="D227" s="703" t="s">
        <v>1288</v>
      </c>
      <c r="E227" s="738" t="s">
        <v>930</v>
      </c>
      <c r="F227" s="738" t="s">
        <v>2797</v>
      </c>
      <c r="G227" s="739" t="s">
        <v>2096</v>
      </c>
      <c r="H227" s="740" t="s">
        <v>442</v>
      </c>
      <c r="I227" s="2028" t="s">
        <v>2783</v>
      </c>
      <c r="J227" s="727" t="s">
        <v>2299</v>
      </c>
      <c r="K227" s="705"/>
      <c r="L227" s="725"/>
      <c r="M227" s="726"/>
      <c r="N227" s="1179" t="s">
        <v>1898</v>
      </c>
      <c r="O227" s="1179" t="s">
        <v>1399</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5" customFormat="1" ht="12" customHeight="1">
      <c r="B228" s="703" t="s">
        <v>1452</v>
      </c>
      <c r="C228" s="703" t="s">
        <v>931</v>
      </c>
      <c r="D228" s="703" t="s">
        <v>1288</v>
      </c>
      <c r="E228" s="738" t="s">
        <v>1815</v>
      </c>
      <c r="F228" s="738" t="s">
        <v>2798</v>
      </c>
      <c r="G228" s="739" t="s">
        <v>2766</v>
      </c>
      <c r="H228" s="740" t="s">
        <v>443</v>
      </c>
      <c r="I228" s="2028" t="s">
        <v>2783</v>
      </c>
      <c r="J228" s="727" t="s">
        <v>2300</v>
      </c>
      <c r="K228" s="705"/>
      <c r="L228" s="725"/>
      <c r="M228" s="726"/>
      <c r="N228" s="1179" t="s">
        <v>1900</v>
      </c>
      <c r="O228" s="1179" t="s">
        <v>2145</v>
      </c>
      <c r="P228" s="2030"/>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5" customFormat="1" ht="12" customHeight="1">
      <c r="B229" s="703" t="s">
        <v>1453</v>
      </c>
      <c r="C229" s="703" t="s">
        <v>932</v>
      </c>
      <c r="D229" s="703" t="s">
        <v>1288</v>
      </c>
      <c r="E229" s="741" t="s">
        <v>1412</v>
      </c>
      <c r="F229" s="741" t="s">
        <v>2798</v>
      </c>
      <c r="G229" s="739" t="s">
        <v>1559</v>
      </c>
      <c r="H229" s="740" t="s">
        <v>443</v>
      </c>
      <c r="I229" s="2028" t="s">
        <v>2783</v>
      </c>
      <c r="J229" s="727" t="s">
        <v>2610</v>
      </c>
      <c r="K229" s="728"/>
      <c r="L229" s="725"/>
      <c r="M229" s="726"/>
      <c r="N229" s="1179" t="s">
        <v>879</v>
      </c>
      <c r="O229" s="1179" t="s">
        <v>2772</v>
      </c>
      <c r="P229" s="348"/>
      <c r="Q229" s="2029"/>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5" customFormat="1" ht="12" customHeight="1">
      <c r="B230" s="742"/>
      <c r="C230" s="703" t="s">
        <v>933</v>
      </c>
      <c r="D230" s="703" t="s">
        <v>1421</v>
      </c>
      <c r="E230" s="738" t="s">
        <v>934</v>
      </c>
      <c r="F230" s="738" t="s">
        <v>2797</v>
      </c>
      <c r="G230" s="739" t="s">
        <v>1422</v>
      </c>
      <c r="H230" s="740" t="s">
        <v>442</v>
      </c>
      <c r="I230" s="2028" t="s">
        <v>2783</v>
      </c>
      <c r="J230" s="727" t="s">
        <v>2612</v>
      </c>
      <c r="K230" s="728"/>
      <c r="L230" s="725"/>
      <c r="M230" s="726"/>
      <c r="N230" s="1179" t="s">
        <v>2301</v>
      </c>
      <c r="O230" s="1179" t="s">
        <v>2774</v>
      </c>
      <c r="P230" s="348"/>
      <c r="Q230" s="2029"/>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5" customFormat="1" ht="12" customHeight="1">
      <c r="B231" s="742"/>
      <c r="C231" s="703" t="s">
        <v>2392</v>
      </c>
      <c r="D231" s="703" t="s">
        <v>1288</v>
      </c>
      <c r="E231" s="738" t="s">
        <v>2393</v>
      </c>
      <c r="F231" s="738" t="s">
        <v>2797</v>
      </c>
      <c r="G231" s="739" t="s">
        <v>1423</v>
      </c>
      <c r="H231" s="740" t="s">
        <v>442</v>
      </c>
      <c r="I231" s="2028" t="s">
        <v>2783</v>
      </c>
      <c r="J231" s="727" t="s">
        <v>2614</v>
      </c>
      <c r="K231" s="728"/>
      <c r="L231" s="725"/>
      <c r="M231" s="726"/>
      <c r="N231" s="703" t="s">
        <v>2611</v>
      </c>
      <c r="O231" s="703" t="s">
        <v>1159</v>
      </c>
      <c r="P231" s="2031"/>
      <c r="Q231" s="2029"/>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5" customFormat="1" ht="12" customHeight="1">
      <c r="B232" s="742"/>
      <c r="C232" s="703" t="s">
        <v>2394</v>
      </c>
      <c r="D232" s="703" t="s">
        <v>1288</v>
      </c>
      <c r="E232" s="738" t="s">
        <v>700</v>
      </c>
      <c r="F232" s="738" t="s">
        <v>2797</v>
      </c>
      <c r="G232" s="739" t="s">
        <v>1424</v>
      </c>
      <c r="H232" s="740" t="s">
        <v>442</v>
      </c>
      <c r="I232" s="2028" t="s">
        <v>2783</v>
      </c>
      <c r="J232" s="727" t="s">
        <v>2616</v>
      </c>
      <c r="K232" s="728"/>
      <c r="L232" s="725"/>
      <c r="M232" s="726"/>
      <c r="N232" s="1179" t="s">
        <v>2746</v>
      </c>
      <c r="O232" s="1179" t="s">
        <v>337</v>
      </c>
      <c r="P232" s="348"/>
      <c r="Q232" s="2029"/>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5" customFormat="1" ht="12" customHeight="1">
      <c r="B233" s="742"/>
      <c r="C233" s="703" t="s">
        <v>701</v>
      </c>
      <c r="D233" s="703" t="s">
        <v>1397</v>
      </c>
      <c r="E233" s="738" t="s">
        <v>702</v>
      </c>
      <c r="F233" s="738" t="s">
        <v>2797</v>
      </c>
      <c r="G233" s="739" t="s">
        <v>1425</v>
      </c>
      <c r="H233" s="740" t="s">
        <v>442</v>
      </c>
      <c r="I233" s="2028" t="s">
        <v>2783</v>
      </c>
      <c r="J233" s="727" t="s">
        <v>2617</v>
      </c>
      <c r="K233" s="728"/>
      <c r="L233" s="725"/>
      <c r="M233" s="726"/>
      <c r="N233" s="1179" t="s">
        <v>2613</v>
      </c>
      <c r="O233" s="1179" t="s">
        <v>2055</v>
      </c>
      <c r="P233" s="348"/>
      <c r="Q233" s="2029"/>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5" customFormat="1" ht="12" customHeight="1">
      <c r="B234" s="742"/>
      <c r="C234" s="703" t="s">
        <v>703</v>
      </c>
      <c r="D234" s="703" t="s">
        <v>1421</v>
      </c>
      <c r="E234" s="741" t="s">
        <v>815</v>
      </c>
      <c r="F234" s="741" t="s">
        <v>2798</v>
      </c>
      <c r="G234" s="739" t="s">
        <v>2760</v>
      </c>
      <c r="H234" s="740" t="s">
        <v>443</v>
      </c>
      <c r="I234" s="2027" t="s">
        <v>1268</v>
      </c>
      <c r="J234" s="727" t="s">
        <v>2378</v>
      </c>
      <c r="K234" s="728"/>
      <c r="L234" s="725"/>
      <c r="M234" s="726"/>
      <c r="N234" s="1179" t="s">
        <v>2615</v>
      </c>
      <c r="O234" s="1179" t="s">
        <v>929</v>
      </c>
      <c r="P234" s="348"/>
      <c r="Q234" s="2029"/>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5" customFormat="1" ht="12" customHeight="1">
      <c r="B235" s="742"/>
      <c r="C235" s="703" t="s">
        <v>704</v>
      </c>
      <c r="D235" s="703" t="s">
        <v>1397</v>
      </c>
      <c r="E235" s="741" t="s">
        <v>2418</v>
      </c>
      <c r="F235" s="741" t="s">
        <v>2798</v>
      </c>
      <c r="G235" s="739" t="s">
        <v>1426</v>
      </c>
      <c r="H235" s="740" t="s">
        <v>443</v>
      </c>
      <c r="I235" s="2028" t="s">
        <v>1268</v>
      </c>
      <c r="J235" s="727" t="s">
        <v>756</v>
      </c>
      <c r="K235" s="728"/>
      <c r="L235" s="725"/>
      <c r="M235" s="726"/>
      <c r="N235" s="1179" t="s">
        <v>2618</v>
      </c>
      <c r="O235" s="1179" t="s">
        <v>166</v>
      </c>
      <c r="P235" s="348"/>
      <c r="Q235" s="2029"/>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5" customFormat="1" ht="12" customHeight="1">
      <c r="B236" s="742"/>
      <c r="C236" s="703" t="s">
        <v>705</v>
      </c>
      <c r="D236" s="703" t="s">
        <v>1397</v>
      </c>
      <c r="E236" s="741" t="s">
        <v>815</v>
      </c>
      <c r="F236" s="741" t="s">
        <v>2798</v>
      </c>
      <c r="G236" s="739" t="s">
        <v>2760</v>
      </c>
      <c r="H236" s="740" t="s">
        <v>443</v>
      </c>
      <c r="I236" s="2027" t="s">
        <v>1268</v>
      </c>
      <c r="J236" s="727" t="s">
        <v>758</v>
      </c>
      <c r="K236" s="728"/>
      <c r="L236" s="725"/>
      <c r="M236" s="726"/>
      <c r="N236" s="1179" t="s">
        <v>2379</v>
      </c>
      <c r="O236" s="1179" t="s">
        <v>701</v>
      </c>
      <c r="P236" s="348"/>
      <c r="Q236" s="2029"/>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5" customFormat="1" ht="12" customHeight="1">
      <c r="B237" s="742"/>
      <c r="C237" s="703" t="s">
        <v>706</v>
      </c>
      <c r="D237" s="703" t="s">
        <v>1397</v>
      </c>
      <c r="E237" s="741" t="s">
        <v>707</v>
      </c>
      <c r="F237" s="741" t="s">
        <v>2797</v>
      </c>
      <c r="G237" s="739" t="s">
        <v>1427</v>
      </c>
      <c r="H237" s="740" t="s">
        <v>442</v>
      </c>
      <c r="I237" s="2028" t="s">
        <v>2783</v>
      </c>
      <c r="J237" s="727" t="s">
        <v>760</v>
      </c>
      <c r="K237" s="728"/>
      <c r="L237" s="725"/>
      <c r="M237" s="726"/>
      <c r="N237" s="1179" t="s">
        <v>757</v>
      </c>
      <c r="O237" s="1179" t="s">
        <v>2651</v>
      </c>
      <c r="P237" s="348"/>
      <c r="Q237" s="2029"/>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5" customFormat="1" ht="12" customHeight="1">
      <c r="B238" s="742"/>
      <c r="C238" s="703" t="s">
        <v>1283</v>
      </c>
      <c r="D238" s="703" t="s">
        <v>1421</v>
      </c>
      <c r="E238" s="741" t="s">
        <v>815</v>
      </c>
      <c r="F238" s="741" t="s">
        <v>2798</v>
      </c>
      <c r="G238" s="739" t="s">
        <v>2760</v>
      </c>
      <c r="H238" s="740" t="s">
        <v>443</v>
      </c>
      <c r="I238" s="2027" t="s">
        <v>1268</v>
      </c>
      <c r="J238" s="727" t="s">
        <v>762</v>
      </c>
      <c r="K238" s="728"/>
      <c r="L238" s="725"/>
      <c r="M238" s="726"/>
      <c r="N238" s="1179" t="s">
        <v>759</v>
      </c>
      <c r="O238" s="1179" t="s">
        <v>1174</v>
      </c>
      <c r="P238" s="348"/>
      <c r="Q238" s="2029"/>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5" customFormat="1" ht="12" customHeight="1">
      <c r="B239" s="742"/>
      <c r="C239" s="703" t="s">
        <v>708</v>
      </c>
      <c r="D239" s="703" t="s">
        <v>1397</v>
      </c>
      <c r="E239" s="738" t="s">
        <v>709</v>
      </c>
      <c r="F239" s="738" t="s">
        <v>2797</v>
      </c>
      <c r="G239" s="739" t="s">
        <v>252</v>
      </c>
      <c r="H239" s="740" t="s">
        <v>442</v>
      </c>
      <c r="I239" s="2028" t="s">
        <v>2783</v>
      </c>
      <c r="J239" s="727" t="s">
        <v>2369</v>
      </c>
      <c r="K239" s="728"/>
      <c r="L239" s="725"/>
      <c r="M239" s="726"/>
      <c r="N239" s="703" t="s">
        <v>761</v>
      </c>
      <c r="O239" s="703" t="s">
        <v>2774</v>
      </c>
      <c r="P239" s="2031"/>
      <c r="Q239" s="2029"/>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5" customFormat="1" ht="12" customHeight="1">
      <c r="B240" s="742"/>
      <c r="C240" s="703" t="s">
        <v>710</v>
      </c>
      <c r="D240" s="703" t="s">
        <v>1421</v>
      </c>
      <c r="E240" s="741" t="s">
        <v>711</v>
      </c>
      <c r="F240" s="741" t="s">
        <v>2797</v>
      </c>
      <c r="G240" s="739" t="s">
        <v>253</v>
      </c>
      <c r="H240" s="740" t="s">
        <v>442</v>
      </c>
      <c r="I240" s="2028" t="s">
        <v>2783</v>
      </c>
      <c r="J240" s="727" t="s">
        <v>2370</v>
      </c>
      <c r="K240" s="728"/>
      <c r="L240" s="725"/>
      <c r="M240" s="726"/>
      <c r="N240" s="1179" t="s">
        <v>2747</v>
      </c>
      <c r="O240" s="1179" t="s">
        <v>2653</v>
      </c>
      <c r="P240" s="348"/>
      <c r="Q240" s="2029"/>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5" customFormat="1" ht="12" customHeight="1">
      <c r="B241" s="742"/>
      <c r="C241" s="703" t="s">
        <v>712</v>
      </c>
      <c r="D241" s="703" t="s">
        <v>1288</v>
      </c>
      <c r="E241" s="738" t="s">
        <v>12</v>
      </c>
      <c r="F241" s="738" t="s">
        <v>2798</v>
      </c>
      <c r="G241" s="739" t="s">
        <v>2765</v>
      </c>
      <c r="H241" s="740" t="s">
        <v>443</v>
      </c>
      <c r="I241" s="2028" t="s">
        <v>1268</v>
      </c>
      <c r="J241" s="727" t="s">
        <v>2372</v>
      </c>
      <c r="K241" s="728"/>
      <c r="L241" s="725"/>
      <c r="M241" s="726"/>
      <c r="N241" s="1179" t="s">
        <v>2371</v>
      </c>
      <c r="O241" s="1179" t="s">
        <v>1779</v>
      </c>
      <c r="P241" s="348"/>
      <c r="Q241" s="2029"/>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5" customFormat="1" ht="12" customHeight="1">
      <c r="B242" s="742"/>
      <c r="C242" s="703" t="s">
        <v>713</v>
      </c>
      <c r="D242" s="703" t="s">
        <v>1397</v>
      </c>
      <c r="E242" s="738" t="s">
        <v>714</v>
      </c>
      <c r="F242" s="738" t="s">
        <v>2797</v>
      </c>
      <c r="G242" s="739" t="s">
        <v>254</v>
      </c>
      <c r="H242" s="740" t="s">
        <v>442</v>
      </c>
      <c r="I242" s="2028" t="s">
        <v>2783</v>
      </c>
      <c r="J242" s="727" t="s">
        <v>730</v>
      </c>
      <c r="K242" s="728"/>
      <c r="L242" s="725"/>
      <c r="M242" s="726"/>
      <c r="N242" s="1179" t="s">
        <v>2373</v>
      </c>
      <c r="O242" s="1179" t="s">
        <v>2768</v>
      </c>
      <c r="P242" s="348"/>
      <c r="Q242" s="2029"/>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5" customFormat="1" ht="12" customHeight="1">
      <c r="B243" s="742"/>
      <c r="C243" s="703" t="s">
        <v>715</v>
      </c>
      <c r="D243" s="703" t="s">
        <v>1288</v>
      </c>
      <c r="E243" s="738" t="s">
        <v>716</v>
      </c>
      <c r="F243" s="738" t="s">
        <v>2797</v>
      </c>
      <c r="G243" s="739" t="s">
        <v>422</v>
      </c>
      <c r="H243" s="740" t="s">
        <v>442</v>
      </c>
      <c r="I243" s="2028" t="s">
        <v>2783</v>
      </c>
      <c r="J243" s="727" t="s">
        <v>843</v>
      </c>
      <c r="K243" s="728"/>
      <c r="L243" s="725"/>
      <c r="M243" s="726"/>
      <c r="N243" s="1179" t="s">
        <v>731</v>
      </c>
      <c r="O243" s="1179" t="s">
        <v>783</v>
      </c>
      <c r="P243" s="348"/>
      <c r="Q243" s="2029"/>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5" customFormat="1" ht="12" customHeight="1">
      <c r="B244" s="742"/>
      <c r="C244" s="703" t="s">
        <v>717</v>
      </c>
      <c r="D244" s="703" t="s">
        <v>1421</v>
      </c>
      <c r="E244" s="738" t="s">
        <v>718</v>
      </c>
      <c r="F244" s="738" t="s">
        <v>2797</v>
      </c>
      <c r="G244" s="739" t="s">
        <v>423</v>
      </c>
      <c r="H244" s="740" t="s">
        <v>442</v>
      </c>
      <c r="I244" s="2028" t="s">
        <v>2783</v>
      </c>
      <c r="J244" s="727" t="s">
        <v>2421</v>
      </c>
      <c r="K244" s="728"/>
      <c r="L244" s="725"/>
      <c r="M244" s="726"/>
      <c r="N244" s="1179" t="s">
        <v>2420</v>
      </c>
      <c r="O244" s="1179" t="s">
        <v>334</v>
      </c>
      <c r="P244" s="348"/>
      <c r="Q244" s="2029"/>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5" customFormat="1" ht="12" customHeight="1">
      <c r="B245" s="742"/>
      <c r="C245" s="703" t="s">
        <v>124</v>
      </c>
      <c r="D245" s="703" t="s">
        <v>1421</v>
      </c>
      <c r="E245" s="741" t="s">
        <v>815</v>
      </c>
      <c r="F245" s="741" t="s">
        <v>2798</v>
      </c>
      <c r="G245" s="739" t="s">
        <v>2760</v>
      </c>
      <c r="H245" s="740" t="s">
        <v>443</v>
      </c>
      <c r="I245" s="2027" t="s">
        <v>1268</v>
      </c>
      <c r="J245" s="727" t="s">
        <v>2451</v>
      </c>
      <c r="K245" s="728"/>
      <c r="L245" s="725"/>
      <c r="M245" s="726"/>
      <c r="N245" s="1179" t="s">
        <v>2483</v>
      </c>
      <c r="O245" s="1179" t="s">
        <v>933</v>
      </c>
      <c r="P245" s="348"/>
      <c r="Q245" s="2029"/>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5" customFormat="1" ht="12" customHeight="1">
      <c r="B246" s="742"/>
      <c r="C246" s="703" t="s">
        <v>125</v>
      </c>
      <c r="D246" s="703" t="s">
        <v>1397</v>
      </c>
      <c r="E246" s="738" t="s">
        <v>126</v>
      </c>
      <c r="F246" s="738" t="s">
        <v>2797</v>
      </c>
      <c r="G246" s="739" t="s">
        <v>424</v>
      </c>
      <c r="H246" s="740" t="s">
        <v>442</v>
      </c>
      <c r="I246" s="2028" t="s">
        <v>2783</v>
      </c>
      <c r="J246" s="727" t="s">
        <v>48</v>
      </c>
      <c r="K246" s="728"/>
      <c r="L246" s="725"/>
      <c r="M246" s="726"/>
      <c r="N246" s="1179" t="s">
        <v>49</v>
      </c>
      <c r="O246" s="1179" t="s">
        <v>341</v>
      </c>
      <c r="P246" s="348"/>
      <c r="Q246" s="2029"/>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5" customFormat="1" ht="12" customHeight="1">
      <c r="B247" s="742"/>
      <c r="C247" s="703" t="s">
        <v>329</v>
      </c>
      <c r="D247" s="703" t="s">
        <v>1397</v>
      </c>
      <c r="E247" s="738" t="s">
        <v>1298</v>
      </c>
      <c r="F247" s="738" t="s">
        <v>2798</v>
      </c>
      <c r="G247" s="739" t="s">
        <v>425</v>
      </c>
      <c r="H247" s="740" t="s">
        <v>443</v>
      </c>
      <c r="I247" s="2028" t="s">
        <v>1268</v>
      </c>
      <c r="J247" s="727" t="s">
        <v>674</v>
      </c>
      <c r="K247" s="728"/>
      <c r="L247" s="725"/>
      <c r="M247" s="726"/>
      <c r="N247" s="1179" t="s">
        <v>675</v>
      </c>
      <c r="O247" s="1179" t="s">
        <v>2776</v>
      </c>
      <c r="P247" s="348"/>
      <c r="Q247" s="2029"/>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5" customFormat="1" ht="12" customHeight="1">
      <c r="B248" s="742"/>
      <c r="C248" s="705" t="s">
        <v>330</v>
      </c>
      <c r="D248" s="703" t="s">
        <v>1421</v>
      </c>
      <c r="E248" s="738" t="s">
        <v>331</v>
      </c>
      <c r="F248" s="738" t="s">
        <v>2797</v>
      </c>
      <c r="G248" s="739" t="s">
        <v>426</v>
      </c>
      <c r="H248" s="740" t="s">
        <v>442</v>
      </c>
      <c r="I248" s="2028" t="s">
        <v>2783</v>
      </c>
      <c r="J248" s="727" t="s">
        <v>320</v>
      </c>
      <c r="K248" s="728"/>
      <c r="L248" s="725"/>
      <c r="M248" s="726"/>
      <c r="N248" s="1179" t="s">
        <v>321</v>
      </c>
      <c r="O248" s="1179" t="s">
        <v>332</v>
      </c>
      <c r="P248" s="348"/>
      <c r="Q248" s="2029"/>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5" customFormat="1" ht="12" customHeight="1">
      <c r="B249" s="742"/>
      <c r="C249" s="703" t="s">
        <v>332</v>
      </c>
      <c r="D249" s="703" t="s">
        <v>1397</v>
      </c>
      <c r="E249" s="741" t="s">
        <v>817</v>
      </c>
      <c r="F249" s="741" t="s">
        <v>2798</v>
      </c>
      <c r="G249" s="739" t="s">
        <v>427</v>
      </c>
      <c r="H249" s="740" t="s">
        <v>443</v>
      </c>
      <c r="I249" s="2028" t="s">
        <v>2783</v>
      </c>
      <c r="J249" s="727" t="s">
        <v>2525</v>
      </c>
      <c r="K249" s="728"/>
      <c r="L249" s="725"/>
      <c r="M249" s="726"/>
      <c r="N249" s="1179" t="s">
        <v>2526</v>
      </c>
      <c r="O249" s="1179" t="s">
        <v>204</v>
      </c>
      <c r="P249" s="348"/>
      <c r="Q249" s="2029"/>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5" customFormat="1" ht="12" customHeight="1">
      <c r="B250" s="742"/>
      <c r="C250" s="703" t="s">
        <v>333</v>
      </c>
      <c r="D250" s="703" t="s">
        <v>1421</v>
      </c>
      <c r="E250" s="741" t="s">
        <v>168</v>
      </c>
      <c r="F250" s="741" t="s">
        <v>2798</v>
      </c>
      <c r="G250" s="739" t="s">
        <v>1801</v>
      </c>
      <c r="H250" s="740" t="s">
        <v>443</v>
      </c>
      <c r="I250" s="2028" t="s">
        <v>2783</v>
      </c>
      <c r="J250" s="727" t="s">
        <v>2553</v>
      </c>
      <c r="K250" s="728"/>
      <c r="L250" s="725"/>
      <c r="M250" s="726"/>
      <c r="N250" s="1179" t="s">
        <v>2554</v>
      </c>
      <c r="O250" s="1179" t="s">
        <v>1778</v>
      </c>
      <c r="P250" s="348"/>
      <c r="Q250" s="2029"/>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5" customFormat="1" ht="12" customHeight="1">
      <c r="B251" s="742"/>
      <c r="C251" s="703" t="s">
        <v>334</v>
      </c>
      <c r="D251" s="703" t="s">
        <v>1421</v>
      </c>
      <c r="E251" s="738" t="s">
        <v>335</v>
      </c>
      <c r="F251" s="738" t="s">
        <v>2797</v>
      </c>
      <c r="G251" s="739" t="s">
        <v>428</v>
      </c>
      <c r="H251" s="740" t="s">
        <v>442</v>
      </c>
      <c r="I251" s="2028" t="s">
        <v>2783</v>
      </c>
      <c r="J251" s="727" t="s">
        <v>2555</v>
      </c>
      <c r="K251" s="728"/>
      <c r="L251" s="725"/>
      <c r="M251" s="726"/>
      <c r="N251" s="1179" t="s">
        <v>3487</v>
      </c>
      <c r="O251" s="1179" t="s">
        <v>669</v>
      </c>
      <c r="P251" s="348"/>
      <c r="Q251" s="2029"/>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5" customFormat="1" ht="12" customHeight="1">
      <c r="B252" s="742"/>
      <c r="C252" s="703" t="s">
        <v>336</v>
      </c>
      <c r="D252" s="703" t="s">
        <v>1421</v>
      </c>
      <c r="E252" s="741" t="s">
        <v>815</v>
      </c>
      <c r="F252" s="741" t="s">
        <v>2798</v>
      </c>
      <c r="G252" s="739" t="s">
        <v>2760</v>
      </c>
      <c r="H252" s="740" t="s">
        <v>443</v>
      </c>
      <c r="I252" s="2027" t="s">
        <v>1268</v>
      </c>
      <c r="J252" s="727" t="s">
        <v>2556</v>
      </c>
      <c r="K252" s="728"/>
      <c r="L252" s="725"/>
      <c r="M252" s="726"/>
      <c r="N252" s="1179" t="s">
        <v>670</v>
      </c>
      <c r="O252" s="1179" t="s">
        <v>1413</v>
      </c>
      <c r="P252" s="348"/>
      <c r="Q252" s="2029"/>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5" customFormat="1" ht="12" customHeight="1">
      <c r="B253" s="742"/>
      <c r="C253" s="703" t="s">
        <v>337</v>
      </c>
      <c r="D253" s="703" t="s">
        <v>1421</v>
      </c>
      <c r="E253" s="741" t="s">
        <v>815</v>
      </c>
      <c r="F253" s="741" t="s">
        <v>2798</v>
      </c>
      <c r="G253" s="739" t="s">
        <v>2760</v>
      </c>
      <c r="H253" s="740" t="s">
        <v>443</v>
      </c>
      <c r="I253" s="2027" t="s">
        <v>1268</v>
      </c>
      <c r="J253" s="727" t="s">
        <v>2517</v>
      </c>
      <c r="K253" s="728"/>
      <c r="L253" s="725"/>
      <c r="M253" s="726"/>
      <c r="N253" s="1179" t="s">
        <v>1410</v>
      </c>
      <c r="O253" s="1179" t="s">
        <v>703</v>
      </c>
      <c r="P253" s="348"/>
      <c r="Q253" s="2029"/>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5" customFormat="1" ht="12" customHeight="1">
      <c r="B254" s="742"/>
      <c r="C254" s="703" t="s">
        <v>338</v>
      </c>
      <c r="D254" s="703" t="s">
        <v>1421</v>
      </c>
      <c r="E254" s="741" t="s">
        <v>1828</v>
      </c>
      <c r="F254" s="741" t="s">
        <v>2798</v>
      </c>
      <c r="G254" s="739" t="s">
        <v>429</v>
      </c>
      <c r="H254" s="740" t="s">
        <v>443</v>
      </c>
      <c r="I254" s="2028" t="s">
        <v>1268</v>
      </c>
      <c r="J254" s="727" t="s">
        <v>11</v>
      </c>
      <c r="K254" s="728"/>
      <c r="L254" s="725"/>
      <c r="M254" s="726"/>
      <c r="N254" s="1179" t="s">
        <v>2518</v>
      </c>
      <c r="O254" s="1179" t="s">
        <v>2657</v>
      </c>
      <c r="P254" s="732"/>
      <c r="Q254" s="2029"/>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5" customFormat="1" ht="12" customHeight="1">
      <c r="B255" s="742"/>
      <c r="C255" s="703" t="s">
        <v>339</v>
      </c>
      <c r="D255" s="703" t="s">
        <v>1288</v>
      </c>
      <c r="E255" s="738" t="s">
        <v>340</v>
      </c>
      <c r="F255" s="738" t="s">
        <v>2797</v>
      </c>
      <c r="G255" s="739" t="s">
        <v>693</v>
      </c>
      <c r="H255" s="740" t="s">
        <v>442</v>
      </c>
      <c r="I255" s="2028" t="s">
        <v>2783</v>
      </c>
      <c r="J255" s="727" t="s">
        <v>13</v>
      </c>
      <c r="K255" s="728"/>
      <c r="L255" s="725"/>
      <c r="M255" s="726"/>
      <c r="N255" s="1179" t="s">
        <v>12</v>
      </c>
      <c r="O255" s="1179" t="s">
        <v>712</v>
      </c>
      <c r="P255" s="348"/>
      <c r="Q255" s="2029"/>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5" customFormat="1" ht="12" customHeight="1">
      <c r="B256" s="742"/>
      <c r="C256" s="703" t="s">
        <v>341</v>
      </c>
      <c r="D256" s="703" t="s">
        <v>1421</v>
      </c>
      <c r="E256" s="738" t="s">
        <v>342</v>
      </c>
      <c r="F256" s="738" t="s">
        <v>2797</v>
      </c>
      <c r="G256" s="739" t="s">
        <v>694</v>
      </c>
      <c r="H256" s="740" t="s">
        <v>442</v>
      </c>
      <c r="I256" s="2028" t="s">
        <v>2783</v>
      </c>
      <c r="J256" s="727" t="s">
        <v>59</v>
      </c>
      <c r="K256" s="728"/>
      <c r="L256" s="725"/>
      <c r="M256" s="726"/>
      <c r="N256" s="1179" t="s">
        <v>14</v>
      </c>
      <c r="O256" s="1179" t="s">
        <v>332</v>
      </c>
      <c r="P256" s="348"/>
      <c r="Q256" s="2029"/>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5" customFormat="1" ht="12" customHeight="1">
      <c r="B257" s="742"/>
      <c r="C257" s="703" t="s">
        <v>343</v>
      </c>
      <c r="D257" s="703" t="s">
        <v>1421</v>
      </c>
      <c r="E257" s="741" t="s">
        <v>815</v>
      </c>
      <c r="F257" s="741" t="s">
        <v>2798</v>
      </c>
      <c r="G257" s="739" t="s">
        <v>2760</v>
      </c>
      <c r="H257" s="740" t="s">
        <v>443</v>
      </c>
      <c r="I257" s="2027" t="s">
        <v>1268</v>
      </c>
      <c r="J257" s="727" t="s">
        <v>61</v>
      </c>
      <c r="K257" s="728"/>
      <c r="L257" s="725"/>
      <c r="M257" s="726"/>
      <c r="N257" s="1179" t="s">
        <v>60</v>
      </c>
      <c r="O257" s="1179" t="s">
        <v>2768</v>
      </c>
      <c r="P257" s="348"/>
      <c r="Q257" s="2029"/>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5" customFormat="1" ht="12" customHeight="1">
      <c r="B258" s="742"/>
      <c r="C258" s="703" t="s">
        <v>344</v>
      </c>
      <c r="D258" s="703" t="s">
        <v>1288</v>
      </c>
      <c r="E258" s="738" t="s">
        <v>345</v>
      </c>
      <c r="F258" s="738" t="s">
        <v>2797</v>
      </c>
      <c r="G258" s="739" t="s">
        <v>695</v>
      </c>
      <c r="H258" s="740" t="s">
        <v>442</v>
      </c>
      <c r="I258" s="2028" t="s">
        <v>2783</v>
      </c>
      <c r="J258" s="727" t="s">
        <v>63</v>
      </c>
      <c r="K258" s="728"/>
      <c r="L258" s="725"/>
      <c r="M258" s="726"/>
      <c r="N258" s="1179" t="s">
        <v>62</v>
      </c>
      <c r="O258" s="1179" t="s">
        <v>375</v>
      </c>
      <c r="P258" s="348"/>
      <c r="Q258" s="2029"/>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5" customFormat="1" ht="12" customHeight="1">
      <c r="B259" s="742"/>
      <c r="C259" s="703" t="s">
        <v>346</v>
      </c>
      <c r="D259" s="703" t="s">
        <v>1421</v>
      </c>
      <c r="E259" s="738" t="s">
        <v>347</v>
      </c>
      <c r="F259" s="738" t="s">
        <v>2797</v>
      </c>
      <c r="G259" s="739" t="s">
        <v>278</v>
      </c>
      <c r="H259" s="740" t="s">
        <v>442</v>
      </c>
      <c r="I259" s="2028" t="s">
        <v>2783</v>
      </c>
      <c r="J259" s="727" t="s">
        <v>369</v>
      </c>
      <c r="K259" s="728"/>
      <c r="L259" s="725"/>
      <c r="M259" s="726"/>
      <c r="N259" s="1179" t="s">
        <v>64</v>
      </c>
      <c r="O259" s="1179" t="s">
        <v>124</v>
      </c>
      <c r="P259" s="348"/>
      <c r="Q259" s="2029"/>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5" customFormat="1" ht="12" customHeight="1">
      <c r="B260" s="742"/>
      <c r="C260" s="703" t="s">
        <v>348</v>
      </c>
      <c r="D260" s="703" t="s">
        <v>1288</v>
      </c>
      <c r="E260" s="738" t="s">
        <v>349</v>
      </c>
      <c r="F260" s="738" t="s">
        <v>2797</v>
      </c>
      <c r="G260" s="739" t="s">
        <v>279</v>
      </c>
      <c r="H260" s="740" t="s">
        <v>442</v>
      </c>
      <c r="I260" s="2028" t="s">
        <v>2783</v>
      </c>
      <c r="J260" s="727" t="s">
        <v>371</v>
      </c>
      <c r="K260" s="728"/>
      <c r="L260" s="725"/>
      <c r="M260" s="726"/>
      <c r="N260" s="1179" t="s">
        <v>370</v>
      </c>
      <c r="O260" s="1179" t="s">
        <v>2327</v>
      </c>
      <c r="P260" s="348"/>
      <c r="Q260" s="2029"/>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5" customFormat="1" ht="12" customHeight="1">
      <c r="B261" s="742"/>
      <c r="C261" s="703" t="s">
        <v>350</v>
      </c>
      <c r="D261" s="703" t="s">
        <v>1288</v>
      </c>
      <c r="E261" s="738" t="s">
        <v>351</v>
      </c>
      <c r="F261" s="738" t="s">
        <v>2797</v>
      </c>
      <c r="G261" s="739" t="s">
        <v>280</v>
      </c>
      <c r="H261" s="740" t="s">
        <v>442</v>
      </c>
      <c r="I261" s="2028" t="s">
        <v>2783</v>
      </c>
      <c r="J261" s="727" t="s">
        <v>373</v>
      </c>
      <c r="K261" s="728"/>
      <c r="L261" s="725"/>
      <c r="M261" s="726"/>
      <c r="N261" s="1179" t="s">
        <v>372</v>
      </c>
      <c r="O261" s="1179" t="s">
        <v>1010</v>
      </c>
      <c r="P261" s="348"/>
      <c r="Q261" s="2029"/>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5" customFormat="1" ht="12" customHeight="1">
      <c r="B262" s="742"/>
      <c r="C262" s="703" t="s">
        <v>449</v>
      </c>
      <c r="D262" s="703" t="s">
        <v>1421</v>
      </c>
      <c r="E262" s="741" t="s">
        <v>1406</v>
      </c>
      <c r="F262" s="741" t="s">
        <v>2798</v>
      </c>
      <c r="G262" s="739" t="s">
        <v>2763</v>
      </c>
      <c r="H262" s="740" t="s">
        <v>443</v>
      </c>
      <c r="I262" s="2028" t="s">
        <v>2783</v>
      </c>
      <c r="J262" s="727" t="s">
        <v>2439</v>
      </c>
      <c r="K262" s="728"/>
      <c r="L262" s="725"/>
      <c r="M262" s="726"/>
      <c r="N262" s="1179" t="s">
        <v>374</v>
      </c>
      <c r="O262" s="1179" t="s">
        <v>1156</v>
      </c>
      <c r="P262" s="348"/>
      <c r="Q262" s="2029"/>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5" customFormat="1" ht="12" customHeight="1">
      <c r="B263" s="742"/>
      <c r="C263" s="703" t="s">
        <v>450</v>
      </c>
      <c r="D263" s="703" t="s">
        <v>1421</v>
      </c>
      <c r="E263" s="741" t="s">
        <v>818</v>
      </c>
      <c r="F263" s="741" t="s">
        <v>2798</v>
      </c>
      <c r="G263" s="739" t="s">
        <v>281</v>
      </c>
      <c r="H263" s="740" t="s">
        <v>443</v>
      </c>
      <c r="I263" s="2028" t="s">
        <v>2783</v>
      </c>
      <c r="J263" s="727" t="s">
        <v>2441</v>
      </c>
      <c r="K263" s="728"/>
      <c r="L263" s="725"/>
      <c r="M263" s="726"/>
      <c r="N263" s="1179" t="s">
        <v>671</v>
      </c>
      <c r="O263" s="1179" t="s">
        <v>1549</v>
      </c>
      <c r="P263" s="348"/>
      <c r="Q263" s="2029"/>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5" customFormat="1" ht="12" customHeight="1">
      <c r="B264" s="742"/>
      <c r="C264" s="703" t="s">
        <v>1548</v>
      </c>
      <c r="D264" s="703" t="s">
        <v>1288</v>
      </c>
      <c r="E264" s="738" t="s">
        <v>1815</v>
      </c>
      <c r="F264" s="738" t="s">
        <v>2798</v>
      </c>
      <c r="G264" s="739" t="s">
        <v>2766</v>
      </c>
      <c r="H264" s="740" t="s">
        <v>443</v>
      </c>
      <c r="I264" s="2028" t="s">
        <v>2783</v>
      </c>
      <c r="J264" s="727" t="s">
        <v>2442</v>
      </c>
      <c r="K264" s="728"/>
      <c r="L264" s="725"/>
      <c r="M264" s="726"/>
      <c r="N264" s="1179" t="s">
        <v>2440</v>
      </c>
      <c r="O264" s="1179" t="s">
        <v>715</v>
      </c>
      <c r="P264" s="348"/>
      <c r="Q264" s="2029"/>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5" customFormat="1" ht="12" customHeight="1">
      <c r="B265" s="742"/>
      <c r="C265" s="703" t="s">
        <v>1549</v>
      </c>
      <c r="D265" s="703" t="s">
        <v>1288</v>
      </c>
      <c r="E265" s="738" t="s">
        <v>1550</v>
      </c>
      <c r="F265" s="738" t="s">
        <v>2797</v>
      </c>
      <c r="G265" s="739" t="s">
        <v>282</v>
      </c>
      <c r="H265" s="740" t="s">
        <v>442</v>
      </c>
      <c r="I265" s="2028" t="s">
        <v>2783</v>
      </c>
      <c r="J265" s="727" t="s">
        <v>2443</v>
      </c>
      <c r="K265" s="728"/>
      <c r="L265" s="725"/>
      <c r="M265" s="726"/>
      <c r="N265" s="1179" t="s">
        <v>1418</v>
      </c>
      <c r="O265" s="1179" t="s">
        <v>713</v>
      </c>
      <c r="P265" s="348"/>
      <c r="Q265" s="2029"/>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5" customFormat="1" ht="12" customHeight="1">
      <c r="B266" s="742"/>
      <c r="C266" s="703" t="s">
        <v>1551</v>
      </c>
      <c r="D266" s="703" t="s">
        <v>1288</v>
      </c>
      <c r="E266" s="741" t="s">
        <v>1906</v>
      </c>
      <c r="F266" s="741" t="s">
        <v>2798</v>
      </c>
      <c r="G266" s="739" t="s">
        <v>1231</v>
      </c>
      <c r="H266" s="740" t="s">
        <v>443</v>
      </c>
      <c r="I266" s="2028" t="s">
        <v>2783</v>
      </c>
      <c r="J266" s="727" t="s">
        <v>1667</v>
      </c>
      <c r="K266" s="728"/>
      <c r="L266" s="725"/>
      <c r="M266" s="726"/>
      <c r="N266" s="1179" t="s">
        <v>3488</v>
      </c>
      <c r="O266" s="1179" t="s">
        <v>715</v>
      </c>
      <c r="P266" s="348"/>
      <c r="Q266" s="2029"/>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5" customFormat="1" ht="12" customHeight="1">
      <c r="B267" s="742"/>
      <c r="C267" s="703" t="s">
        <v>1552</v>
      </c>
      <c r="D267" s="703" t="s">
        <v>1288</v>
      </c>
      <c r="E267" s="738" t="s">
        <v>819</v>
      </c>
      <c r="F267" s="738" t="s">
        <v>2798</v>
      </c>
      <c r="G267" s="739" t="s">
        <v>283</v>
      </c>
      <c r="H267" s="740" t="s">
        <v>443</v>
      </c>
      <c r="I267" s="2028" t="s">
        <v>1268</v>
      </c>
      <c r="J267" s="727" t="s">
        <v>1669</v>
      </c>
      <c r="K267" s="728"/>
      <c r="L267" s="725"/>
      <c r="M267" s="726"/>
      <c r="N267" s="1179" t="s">
        <v>2444</v>
      </c>
      <c r="O267" s="1179" t="s">
        <v>107</v>
      </c>
      <c r="P267" s="348"/>
      <c r="Q267" s="2029"/>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5" customFormat="1" ht="12" customHeight="1">
      <c r="B268" s="742"/>
      <c r="C268" s="703" t="s">
        <v>1553</v>
      </c>
      <c r="D268" s="703" t="s">
        <v>1421</v>
      </c>
      <c r="E268" s="738" t="s">
        <v>1554</v>
      </c>
      <c r="F268" s="738" t="s">
        <v>2797</v>
      </c>
      <c r="G268" s="739" t="s">
        <v>2697</v>
      </c>
      <c r="H268" s="740" t="s">
        <v>442</v>
      </c>
      <c r="I268" s="2028" t="s">
        <v>2783</v>
      </c>
      <c r="J268" s="727" t="s">
        <v>1671</v>
      </c>
      <c r="K268" s="728"/>
      <c r="L268" s="725"/>
      <c r="M268" s="726"/>
      <c r="N268" s="1179" t="s">
        <v>1668</v>
      </c>
      <c r="O268" s="1179" t="s">
        <v>1744</v>
      </c>
      <c r="P268" s="348"/>
      <c r="Q268" s="2029"/>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5" customFormat="1" ht="12" customHeight="1">
      <c r="B269" s="742"/>
      <c r="C269" s="703" t="s">
        <v>1555</v>
      </c>
      <c r="D269" s="703" t="s">
        <v>1288</v>
      </c>
      <c r="E269" s="738" t="s">
        <v>1556</v>
      </c>
      <c r="F269" s="738" t="s">
        <v>2798</v>
      </c>
      <c r="G269" s="739" t="s">
        <v>740</v>
      </c>
      <c r="H269" s="740" t="s">
        <v>443</v>
      </c>
      <c r="I269" s="2028" t="s">
        <v>2783</v>
      </c>
      <c r="J269" s="727" t="s">
        <v>1673</v>
      </c>
      <c r="K269" s="728"/>
      <c r="L269" s="725"/>
      <c r="M269" s="726"/>
      <c r="N269" s="1179" t="s">
        <v>2748</v>
      </c>
      <c r="O269" s="1179" t="s">
        <v>669</v>
      </c>
      <c r="P269" s="348"/>
      <c r="Q269" s="2029"/>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5" customFormat="1" ht="12" customHeight="1">
      <c r="B270" s="742"/>
      <c r="C270" s="703" t="s">
        <v>182</v>
      </c>
      <c r="D270" s="703" t="s">
        <v>1288</v>
      </c>
      <c r="E270" s="738" t="s">
        <v>1815</v>
      </c>
      <c r="F270" s="738" t="s">
        <v>2798</v>
      </c>
      <c r="G270" s="739" t="s">
        <v>2766</v>
      </c>
      <c r="H270" s="740" t="s">
        <v>443</v>
      </c>
      <c r="I270" s="2028" t="s">
        <v>1268</v>
      </c>
      <c r="J270" s="727" t="s">
        <v>1675</v>
      </c>
      <c r="K270" s="728"/>
      <c r="L270" s="725"/>
      <c r="M270" s="726"/>
      <c r="N270" s="1179" t="s">
        <v>1670</v>
      </c>
      <c r="O270" s="1179" t="s">
        <v>706</v>
      </c>
      <c r="P270" s="348"/>
      <c r="Q270" s="2029"/>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5" customFormat="1" ht="12" customHeight="1">
      <c r="B271" s="742"/>
      <c r="C271" s="703" t="s">
        <v>183</v>
      </c>
      <c r="D271" s="703" t="s">
        <v>1397</v>
      </c>
      <c r="E271" s="741" t="s">
        <v>184</v>
      </c>
      <c r="F271" s="741" t="s">
        <v>2797</v>
      </c>
      <c r="G271" s="739" t="s">
        <v>741</v>
      </c>
      <c r="H271" s="740" t="s">
        <v>442</v>
      </c>
      <c r="I271" s="2028" t="s">
        <v>2783</v>
      </c>
      <c r="J271" s="727" t="s">
        <v>1865</v>
      </c>
      <c r="K271" s="728"/>
      <c r="L271" s="725"/>
      <c r="M271" s="726"/>
      <c r="N271" s="1179" t="s">
        <v>3489</v>
      </c>
      <c r="O271" s="1179" t="s">
        <v>2392</v>
      </c>
      <c r="P271" s="348"/>
      <c r="Q271" s="2029"/>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5" customFormat="1" ht="12" customHeight="1">
      <c r="B272" s="742"/>
      <c r="C272" s="703" t="s">
        <v>1406</v>
      </c>
      <c r="D272" s="703" t="s">
        <v>1421</v>
      </c>
      <c r="E272" s="738" t="s">
        <v>185</v>
      </c>
      <c r="F272" s="738" t="s">
        <v>2797</v>
      </c>
      <c r="G272" s="739" t="s">
        <v>742</v>
      </c>
      <c r="H272" s="740" t="s">
        <v>442</v>
      </c>
      <c r="I272" s="2028" t="s">
        <v>2783</v>
      </c>
      <c r="J272" s="727" t="s">
        <v>1867</v>
      </c>
      <c r="K272" s="728"/>
      <c r="L272" s="725"/>
      <c r="M272" s="726"/>
      <c r="N272" s="1179" t="s">
        <v>1672</v>
      </c>
      <c r="O272" s="1179" t="s">
        <v>171</v>
      </c>
      <c r="P272" s="348"/>
      <c r="Q272" s="2029"/>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5" customFormat="1" ht="12" customHeight="1">
      <c r="B273" s="742"/>
      <c r="C273" s="703" t="s">
        <v>186</v>
      </c>
      <c r="D273" s="703" t="s">
        <v>1421</v>
      </c>
      <c r="E273" s="738" t="s">
        <v>2182</v>
      </c>
      <c r="F273" s="738" t="s">
        <v>2798</v>
      </c>
      <c r="G273" s="739" t="s">
        <v>661</v>
      </c>
      <c r="H273" s="740" t="s">
        <v>443</v>
      </c>
      <c r="I273" s="2028" t="s">
        <v>2783</v>
      </c>
      <c r="J273" s="727" t="s">
        <v>1869</v>
      </c>
      <c r="K273" s="728"/>
      <c r="L273" s="725"/>
      <c r="M273" s="726"/>
      <c r="N273" s="1179" t="s">
        <v>1674</v>
      </c>
      <c r="O273" s="1179" t="s">
        <v>1399</v>
      </c>
      <c r="P273" s="348"/>
      <c r="Q273" s="2029"/>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5" customFormat="1" ht="12" customHeight="1">
      <c r="B274" s="742"/>
      <c r="C274" s="703" t="s">
        <v>375</v>
      </c>
      <c r="D274" s="703" t="s">
        <v>1421</v>
      </c>
      <c r="E274" s="741" t="s">
        <v>168</v>
      </c>
      <c r="F274" s="741" t="s">
        <v>2798</v>
      </c>
      <c r="G274" s="739" t="s">
        <v>1801</v>
      </c>
      <c r="H274" s="740" t="s">
        <v>443</v>
      </c>
      <c r="I274" s="2028" t="s">
        <v>2783</v>
      </c>
      <c r="J274" s="727" t="s">
        <v>1085</v>
      </c>
      <c r="K274" s="728"/>
      <c r="L274" s="725"/>
      <c r="M274" s="726"/>
      <c r="N274" s="1179" t="s">
        <v>1676</v>
      </c>
      <c r="O274" s="1179" t="s">
        <v>186</v>
      </c>
      <c r="P274" s="348"/>
      <c r="Q274" s="2029"/>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5" customFormat="1" ht="12" customHeight="1">
      <c r="B275" s="742"/>
      <c r="C275" s="703" t="s">
        <v>2010</v>
      </c>
      <c r="D275" s="703" t="s">
        <v>1421</v>
      </c>
      <c r="E275" s="741" t="s">
        <v>816</v>
      </c>
      <c r="F275" s="741" t="s">
        <v>2798</v>
      </c>
      <c r="G275" s="739" t="s">
        <v>2782</v>
      </c>
      <c r="H275" s="740" t="s">
        <v>443</v>
      </c>
      <c r="I275" s="2028" t="s">
        <v>2783</v>
      </c>
      <c r="J275" s="727" t="s">
        <v>1086</v>
      </c>
      <c r="K275" s="728"/>
      <c r="L275" s="725"/>
      <c r="M275" s="726"/>
      <c r="N275" s="1179" t="s">
        <v>1866</v>
      </c>
      <c r="O275" s="1179" t="s">
        <v>706</v>
      </c>
      <c r="P275" s="348"/>
      <c r="Q275" s="2029"/>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5" customFormat="1" ht="12" customHeight="1">
      <c r="B276" s="742"/>
      <c r="C276" s="703" t="s">
        <v>2011</v>
      </c>
      <c r="D276" s="703" t="s">
        <v>1288</v>
      </c>
      <c r="E276" s="738" t="s">
        <v>12</v>
      </c>
      <c r="F276" s="738" t="s">
        <v>2798</v>
      </c>
      <c r="G276" s="739" t="s">
        <v>2765</v>
      </c>
      <c r="H276" s="740" t="s">
        <v>443</v>
      </c>
      <c r="I276" s="2028" t="s">
        <v>2783</v>
      </c>
      <c r="J276" s="727" t="s">
        <v>249</v>
      </c>
      <c r="K276" s="728"/>
      <c r="L276" s="725"/>
      <c r="M276" s="726"/>
      <c r="N276" s="1179" t="s">
        <v>1868</v>
      </c>
      <c r="O276" s="1179" t="s">
        <v>783</v>
      </c>
      <c r="P276" s="348"/>
      <c r="Q276" s="2029"/>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5" customFormat="1" ht="12" customHeight="1">
      <c r="B277" s="742"/>
      <c r="C277" s="703" t="s">
        <v>2012</v>
      </c>
      <c r="D277" s="703" t="s">
        <v>1421</v>
      </c>
      <c r="E277" s="741" t="s">
        <v>820</v>
      </c>
      <c r="F277" s="741" t="s">
        <v>2798</v>
      </c>
      <c r="G277" s="739" t="s">
        <v>743</v>
      </c>
      <c r="H277" s="740" t="s">
        <v>443</v>
      </c>
      <c r="I277" s="2028" t="s">
        <v>2783</v>
      </c>
      <c r="J277" s="727" t="s">
        <v>251</v>
      </c>
      <c r="K277" s="728"/>
      <c r="L277" s="725"/>
      <c r="M277" s="726"/>
      <c r="N277" s="1179" t="s">
        <v>1084</v>
      </c>
      <c r="O277" s="1179" t="s">
        <v>1400</v>
      </c>
      <c r="P277" s="348"/>
      <c r="Q277" s="2029"/>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5" customFormat="1" ht="12" customHeight="1">
      <c r="B278" s="742"/>
      <c r="C278" s="703" t="s">
        <v>1742</v>
      </c>
      <c r="D278" s="703" t="s">
        <v>1288</v>
      </c>
      <c r="E278" s="738" t="s">
        <v>1743</v>
      </c>
      <c r="F278" s="738" t="s">
        <v>2797</v>
      </c>
      <c r="G278" s="739" t="s">
        <v>744</v>
      </c>
      <c r="H278" s="740" t="s">
        <v>442</v>
      </c>
      <c r="I278" s="2028" t="s">
        <v>2783</v>
      </c>
      <c r="J278" s="727" t="s">
        <v>1343</v>
      </c>
      <c r="K278" s="728"/>
      <c r="L278" s="725"/>
      <c r="M278" s="726"/>
      <c r="N278" s="1179" t="s">
        <v>1087</v>
      </c>
      <c r="O278" s="1179" t="s">
        <v>704</v>
      </c>
      <c r="P278" s="348"/>
      <c r="Q278" s="2029"/>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5" customFormat="1" ht="12" customHeight="1">
      <c r="B279" s="742"/>
      <c r="C279" s="703" t="s">
        <v>1744</v>
      </c>
      <c r="D279" s="703" t="s">
        <v>1288</v>
      </c>
      <c r="E279" s="738" t="s">
        <v>1745</v>
      </c>
      <c r="F279" s="738" t="s">
        <v>2797</v>
      </c>
      <c r="G279" s="739" t="s">
        <v>745</v>
      </c>
      <c r="H279" s="740" t="s">
        <v>442</v>
      </c>
      <c r="I279" s="2028" t="s">
        <v>2783</v>
      </c>
      <c r="J279" s="727" t="s">
        <v>2198</v>
      </c>
      <c r="K279" s="728"/>
      <c r="L279" s="725"/>
      <c r="M279" s="726"/>
      <c r="N279" s="1179" t="s">
        <v>250</v>
      </c>
      <c r="O279" s="1179" t="s">
        <v>2704</v>
      </c>
      <c r="P279" s="348"/>
      <c r="Q279" s="2029"/>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5" customFormat="1" ht="12" customHeight="1">
      <c r="B280" s="742"/>
      <c r="C280" s="703" t="s">
        <v>1746</v>
      </c>
      <c r="D280" s="703" t="s">
        <v>1421</v>
      </c>
      <c r="E280" s="741" t="s">
        <v>2181</v>
      </c>
      <c r="F280" s="741" t="s">
        <v>2798</v>
      </c>
      <c r="G280" s="739" t="s">
        <v>746</v>
      </c>
      <c r="H280" s="740" t="s">
        <v>443</v>
      </c>
      <c r="I280" s="2028" t="s">
        <v>2783</v>
      </c>
      <c r="J280" s="727" t="s">
        <v>2200</v>
      </c>
      <c r="K280" s="728"/>
      <c r="L280" s="725"/>
      <c r="M280" s="726"/>
      <c r="N280" s="1179" t="s">
        <v>3490</v>
      </c>
      <c r="O280" s="1179" t="s">
        <v>929</v>
      </c>
      <c r="P280" s="348"/>
      <c r="Q280" s="2029"/>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5" customFormat="1" ht="12" customHeight="1">
      <c r="B281" s="742"/>
      <c r="C281" s="703" t="s">
        <v>191</v>
      </c>
      <c r="D281" s="703" t="s">
        <v>1288</v>
      </c>
      <c r="E281" s="738" t="s">
        <v>192</v>
      </c>
      <c r="F281" s="738" t="s">
        <v>2797</v>
      </c>
      <c r="G281" s="739" t="s">
        <v>747</v>
      </c>
      <c r="H281" s="740" t="s">
        <v>442</v>
      </c>
      <c r="I281" s="2028" t="s">
        <v>2783</v>
      </c>
      <c r="J281" s="727" t="s">
        <v>2202</v>
      </c>
      <c r="K281" s="728"/>
      <c r="L281" s="725"/>
      <c r="M281" s="726"/>
      <c r="N281" s="703" t="s">
        <v>1881</v>
      </c>
      <c r="O281" s="703" t="s">
        <v>1162</v>
      </c>
      <c r="P281" s="2031"/>
      <c r="Q281" s="2029"/>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5" customFormat="1" ht="12" customHeight="1">
      <c r="B282" s="742"/>
      <c r="C282" s="703" t="s">
        <v>2768</v>
      </c>
      <c r="D282" s="703" t="s">
        <v>1421</v>
      </c>
      <c r="E282" s="741" t="s">
        <v>2769</v>
      </c>
      <c r="F282" s="741" t="s">
        <v>2797</v>
      </c>
      <c r="G282" s="739" t="s">
        <v>748</v>
      </c>
      <c r="H282" s="740" t="s">
        <v>442</v>
      </c>
      <c r="I282" s="2028" t="s">
        <v>2783</v>
      </c>
      <c r="J282" s="727" t="s">
        <v>2204</v>
      </c>
      <c r="K282" s="728"/>
      <c r="L282" s="725"/>
      <c r="M282" s="726"/>
      <c r="N282" s="1179" t="s">
        <v>2199</v>
      </c>
      <c r="O282" s="1179" t="s">
        <v>338</v>
      </c>
      <c r="P282" s="348"/>
      <c r="Q282" s="2029"/>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5" customFormat="1" ht="12" customHeight="1">
      <c r="B283" s="742"/>
      <c r="C283" s="703" t="s">
        <v>2770</v>
      </c>
      <c r="D283" s="703" t="s">
        <v>1397</v>
      </c>
      <c r="E283" s="738" t="s">
        <v>2771</v>
      </c>
      <c r="F283" s="738" t="s">
        <v>2798</v>
      </c>
      <c r="G283" s="739" t="s">
        <v>2087</v>
      </c>
      <c r="H283" s="740" t="s">
        <v>443</v>
      </c>
      <c r="I283" s="2028" t="s">
        <v>2783</v>
      </c>
      <c r="J283" s="727" t="s">
        <v>2206</v>
      </c>
      <c r="K283" s="728"/>
      <c r="L283" s="725"/>
      <c r="M283" s="726"/>
      <c r="N283" s="1179" t="s">
        <v>2201</v>
      </c>
      <c r="O283" s="1179" t="s">
        <v>336</v>
      </c>
      <c r="P283" s="348"/>
      <c r="Q283" s="2029"/>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5" customFormat="1" ht="12" customHeight="1">
      <c r="B284" s="742"/>
      <c r="C284" s="703" t="s">
        <v>2772</v>
      </c>
      <c r="D284" s="703" t="s">
        <v>1421</v>
      </c>
      <c r="E284" s="741" t="s">
        <v>168</v>
      </c>
      <c r="F284" s="741" t="s">
        <v>2798</v>
      </c>
      <c r="G284" s="739" t="s">
        <v>1801</v>
      </c>
      <c r="H284" s="740" t="s">
        <v>443</v>
      </c>
      <c r="I284" s="2028" t="s">
        <v>1268</v>
      </c>
      <c r="J284" s="727" t="s">
        <v>2208</v>
      </c>
      <c r="K284" s="728"/>
      <c r="L284" s="725"/>
      <c r="M284" s="726"/>
      <c r="N284" s="1179" t="s">
        <v>2203</v>
      </c>
      <c r="O284" s="1179" t="s">
        <v>669</v>
      </c>
      <c r="P284" s="348"/>
      <c r="Q284" s="2029"/>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5" customFormat="1" ht="12" customHeight="1">
      <c r="B285" s="742"/>
      <c r="C285" s="703" t="s">
        <v>2773</v>
      </c>
      <c r="D285" s="703" t="s">
        <v>1421</v>
      </c>
      <c r="E285" s="741" t="s">
        <v>815</v>
      </c>
      <c r="F285" s="741" t="s">
        <v>2798</v>
      </c>
      <c r="G285" s="739" t="s">
        <v>2760</v>
      </c>
      <c r="H285" s="740" t="s">
        <v>443</v>
      </c>
      <c r="I285" s="2027" t="s">
        <v>1268</v>
      </c>
      <c r="J285" s="727" t="s">
        <v>721</v>
      </c>
      <c r="K285" s="728"/>
      <c r="L285" s="725"/>
      <c r="M285" s="726"/>
      <c r="N285" s="1179" t="s">
        <v>2205</v>
      </c>
      <c r="O285" s="1179" t="s">
        <v>2770</v>
      </c>
      <c r="P285" s="348"/>
      <c r="Q285" s="2029"/>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5" customFormat="1" ht="12" customHeight="1">
      <c r="B286" s="742"/>
      <c r="C286" s="703" t="s">
        <v>2774</v>
      </c>
      <c r="D286" s="703" t="s">
        <v>1421</v>
      </c>
      <c r="E286" s="738" t="s">
        <v>2182</v>
      </c>
      <c r="F286" s="738" t="s">
        <v>2798</v>
      </c>
      <c r="G286" s="739" t="s">
        <v>661</v>
      </c>
      <c r="H286" s="740" t="s">
        <v>443</v>
      </c>
      <c r="I286" s="2028" t="s">
        <v>2783</v>
      </c>
      <c r="J286" s="727" t="s">
        <v>2480</v>
      </c>
      <c r="K286" s="728"/>
      <c r="L286" s="725"/>
      <c r="M286" s="726"/>
      <c r="N286" s="1179" t="s">
        <v>735</v>
      </c>
      <c r="O286" s="1179" t="s">
        <v>1283</v>
      </c>
      <c r="P286" s="348"/>
      <c r="Q286" s="2029"/>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5" customFormat="1" ht="12" customHeight="1">
      <c r="B287" s="742"/>
      <c r="C287" s="703" t="s">
        <v>2775</v>
      </c>
      <c r="D287" s="703" t="s">
        <v>1421</v>
      </c>
      <c r="E287" s="738" t="s">
        <v>2182</v>
      </c>
      <c r="F287" s="738" t="s">
        <v>2798</v>
      </c>
      <c r="G287" s="739" t="s">
        <v>661</v>
      </c>
      <c r="H287" s="740" t="s">
        <v>443</v>
      </c>
      <c r="I287" s="2028" t="s">
        <v>2783</v>
      </c>
      <c r="J287" s="727" t="s">
        <v>2481</v>
      </c>
      <c r="K287" s="728"/>
      <c r="L287" s="725"/>
      <c r="M287" s="726"/>
      <c r="N287" s="1179" t="s">
        <v>2749</v>
      </c>
      <c r="O287" s="1179" t="s">
        <v>2144</v>
      </c>
      <c r="P287" s="348"/>
      <c r="Q287" s="2029"/>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5" customFormat="1" ht="12" customHeight="1">
      <c r="B288" s="742"/>
      <c r="C288" s="703" t="s">
        <v>2776</v>
      </c>
      <c r="D288" s="703" t="s">
        <v>1397</v>
      </c>
      <c r="E288" s="741" t="s">
        <v>815</v>
      </c>
      <c r="F288" s="741" t="s">
        <v>2798</v>
      </c>
      <c r="G288" s="739" t="s">
        <v>2760</v>
      </c>
      <c r="H288" s="740" t="s">
        <v>443</v>
      </c>
      <c r="I288" s="2027" t="s">
        <v>1268</v>
      </c>
      <c r="J288" s="727" t="s">
        <v>1324</v>
      </c>
      <c r="K288" s="728"/>
      <c r="L288" s="725"/>
      <c r="M288" s="726"/>
      <c r="N288" s="1179" t="s">
        <v>2207</v>
      </c>
      <c r="O288" s="1179" t="s">
        <v>207</v>
      </c>
      <c r="P288" s="348"/>
      <c r="Q288" s="2029"/>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5" customFormat="1" ht="12" customHeight="1">
      <c r="B289" s="742"/>
      <c r="C289" s="703" t="s">
        <v>1156</v>
      </c>
      <c r="D289" s="703" t="s">
        <v>1421</v>
      </c>
      <c r="E289" s="741" t="s">
        <v>1157</v>
      </c>
      <c r="F289" s="741" t="s">
        <v>2797</v>
      </c>
      <c r="G289" s="739" t="s">
        <v>2088</v>
      </c>
      <c r="H289" s="740" t="s">
        <v>442</v>
      </c>
      <c r="I289" s="2028" t="s">
        <v>2783</v>
      </c>
      <c r="J289" s="727" t="s">
        <v>1326</v>
      </c>
      <c r="K289" s="728"/>
      <c r="L289" s="725"/>
      <c r="M289" s="726"/>
      <c r="N289" s="1179" t="s">
        <v>3491</v>
      </c>
      <c r="O289" s="1179" t="s">
        <v>708</v>
      </c>
      <c r="P289" s="348"/>
      <c r="Q289" s="2029"/>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5" customFormat="1" ht="12" customHeight="1">
      <c r="B290" s="742"/>
      <c r="C290" s="703" t="s">
        <v>1158</v>
      </c>
      <c r="D290" s="703" t="s">
        <v>1397</v>
      </c>
      <c r="E290" s="741" t="s">
        <v>815</v>
      </c>
      <c r="F290" s="741" t="s">
        <v>2798</v>
      </c>
      <c r="G290" s="739" t="s">
        <v>2760</v>
      </c>
      <c r="H290" s="740" t="s">
        <v>443</v>
      </c>
      <c r="I290" s="2027" t="s">
        <v>1268</v>
      </c>
      <c r="J290" s="727" t="s">
        <v>1328</v>
      </c>
      <c r="K290" s="728"/>
      <c r="L290" s="725"/>
      <c r="M290" s="726"/>
      <c r="N290" s="1179" t="s">
        <v>2209</v>
      </c>
      <c r="O290" s="1179" t="s">
        <v>207</v>
      </c>
      <c r="P290" s="348"/>
      <c r="Q290" s="2029"/>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5" customFormat="1" ht="12" customHeight="1">
      <c r="B291" s="742"/>
      <c r="C291" s="703" t="s">
        <v>1159</v>
      </c>
      <c r="D291" s="703" t="s">
        <v>1288</v>
      </c>
      <c r="E291" s="738" t="s">
        <v>1160</v>
      </c>
      <c r="F291" s="738" t="s">
        <v>2797</v>
      </c>
      <c r="G291" s="739" t="s">
        <v>2089</v>
      </c>
      <c r="H291" s="740" t="s">
        <v>442</v>
      </c>
      <c r="I291" s="2028" t="s">
        <v>2783</v>
      </c>
      <c r="J291" s="727" t="s">
        <v>1329</v>
      </c>
      <c r="K291" s="728"/>
      <c r="L291" s="725"/>
      <c r="M291" s="726"/>
      <c r="N291" s="1179" t="s">
        <v>722</v>
      </c>
      <c r="O291" s="1179" t="s">
        <v>2144</v>
      </c>
      <c r="P291" s="348"/>
      <c r="Q291" s="2029"/>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5" customFormat="1" ht="12" customHeight="1">
      <c r="B292" s="742"/>
      <c r="C292" s="703" t="s">
        <v>1161</v>
      </c>
      <c r="D292" s="703" t="s">
        <v>1421</v>
      </c>
      <c r="E292" s="741" t="s">
        <v>815</v>
      </c>
      <c r="F292" s="741" t="s">
        <v>2798</v>
      </c>
      <c r="G292" s="739" t="s">
        <v>2760</v>
      </c>
      <c r="H292" s="740" t="s">
        <v>443</v>
      </c>
      <c r="I292" s="2027" t="s">
        <v>1268</v>
      </c>
      <c r="J292" s="727" t="s">
        <v>1331</v>
      </c>
      <c r="K292" s="728"/>
      <c r="L292" s="725"/>
      <c r="M292" s="726"/>
      <c r="N292" s="1179" t="s">
        <v>2482</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5" customFormat="1" ht="12" customHeight="1">
      <c r="B293" s="742"/>
      <c r="C293" s="703" t="s">
        <v>1162</v>
      </c>
      <c r="D293" s="703" t="s">
        <v>1397</v>
      </c>
      <c r="E293" s="738" t="s">
        <v>1163</v>
      </c>
      <c r="F293" s="738" t="s">
        <v>2797</v>
      </c>
      <c r="G293" s="739" t="s">
        <v>2090</v>
      </c>
      <c r="H293" s="740" t="s">
        <v>442</v>
      </c>
      <c r="I293" s="2028" t="s">
        <v>2783</v>
      </c>
      <c r="J293" s="727" t="s">
        <v>2664</v>
      </c>
      <c r="K293" s="728"/>
      <c r="L293" s="725"/>
      <c r="M293" s="726"/>
      <c r="N293" s="1179" t="s">
        <v>1325</v>
      </c>
      <c r="O293" s="1179" t="s">
        <v>669</v>
      </c>
      <c r="P293" s="348"/>
      <c r="Q293" s="2029"/>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5" customFormat="1" ht="12" customHeight="1">
      <c r="B294" s="742"/>
      <c r="C294" s="703" t="s">
        <v>1164</v>
      </c>
      <c r="D294" s="703" t="s">
        <v>1288</v>
      </c>
      <c r="E294" s="741" t="s">
        <v>1165</v>
      </c>
      <c r="F294" s="741" t="s">
        <v>2797</v>
      </c>
      <c r="G294" s="739" t="s">
        <v>2091</v>
      </c>
      <c r="H294" s="740" t="s">
        <v>442</v>
      </c>
      <c r="I294" s="2028" t="s">
        <v>2783</v>
      </c>
      <c r="J294" s="727" t="s">
        <v>85</v>
      </c>
      <c r="K294" s="728"/>
      <c r="L294" s="725"/>
      <c r="M294" s="726"/>
      <c r="N294" s="1179" t="s">
        <v>1327</v>
      </c>
      <c r="O294" s="1179" t="s">
        <v>2394</v>
      </c>
      <c r="P294" s="348"/>
      <c r="Q294" s="2029"/>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5" customFormat="1" ht="12" customHeight="1">
      <c r="B295" s="742"/>
      <c r="C295" s="703" t="s">
        <v>1166</v>
      </c>
      <c r="D295" s="703" t="s">
        <v>1421</v>
      </c>
      <c r="E295" s="741" t="s">
        <v>1167</v>
      </c>
      <c r="F295" s="741" t="s">
        <v>2797</v>
      </c>
      <c r="G295" s="739" t="s">
        <v>2092</v>
      </c>
      <c r="H295" s="740" t="s">
        <v>442</v>
      </c>
      <c r="I295" s="2028" t="s">
        <v>2783</v>
      </c>
      <c r="J295" s="727" t="s">
        <v>86</v>
      </c>
      <c r="K295" s="728"/>
      <c r="L295" s="725"/>
      <c r="M295" s="726"/>
      <c r="N295" s="1179" t="s">
        <v>2653</v>
      </c>
      <c r="O295" s="1179" t="s">
        <v>1170</v>
      </c>
      <c r="P295" s="348"/>
      <c r="Q295" s="2029"/>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5" customFormat="1" ht="12" customHeight="1">
      <c r="B296" s="742"/>
      <c r="C296" s="703" t="s">
        <v>1168</v>
      </c>
      <c r="D296" s="703" t="s">
        <v>1288</v>
      </c>
      <c r="E296" s="738" t="s">
        <v>1169</v>
      </c>
      <c r="F296" s="738" t="s">
        <v>2797</v>
      </c>
      <c r="G296" s="739" t="s">
        <v>1908</v>
      </c>
      <c r="H296" s="740" t="s">
        <v>442</v>
      </c>
      <c r="I296" s="2028" t="s">
        <v>2783</v>
      </c>
      <c r="J296" s="727" t="s">
        <v>87</v>
      </c>
      <c r="K296" s="728"/>
      <c r="L296" s="725"/>
      <c r="M296" s="726"/>
      <c r="N296" s="1179" t="s">
        <v>1330</v>
      </c>
      <c r="O296" s="1179" t="s">
        <v>329</v>
      </c>
      <c r="P296" s="2030"/>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5" customFormat="1" ht="12" customHeight="1">
      <c r="B297" s="742"/>
      <c r="C297" s="703" t="s">
        <v>1170</v>
      </c>
      <c r="D297" s="703" t="s">
        <v>1397</v>
      </c>
      <c r="E297" s="738" t="s">
        <v>1171</v>
      </c>
      <c r="F297" s="738" t="s">
        <v>2797</v>
      </c>
      <c r="G297" s="739" t="s">
        <v>1909</v>
      </c>
      <c r="H297" s="740" t="s">
        <v>442</v>
      </c>
      <c r="I297" s="2028" t="s">
        <v>2783</v>
      </c>
      <c r="J297" s="727" t="s">
        <v>89</v>
      </c>
      <c r="K297" s="728"/>
      <c r="L297" s="725"/>
      <c r="M297" s="726"/>
      <c r="N297" s="1179" t="s">
        <v>2663</v>
      </c>
      <c r="O297" s="1179" t="s">
        <v>117</v>
      </c>
      <c r="P297" s="348"/>
      <c r="Q297" s="2029"/>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5" customFormat="1" ht="12" customHeight="1">
      <c r="B298" s="742"/>
      <c r="C298" s="703" t="s">
        <v>1172</v>
      </c>
      <c r="D298" s="703" t="s">
        <v>1288</v>
      </c>
      <c r="E298" s="738" t="s">
        <v>1173</v>
      </c>
      <c r="F298" s="738" t="s">
        <v>2797</v>
      </c>
      <c r="G298" s="739" t="s">
        <v>1910</v>
      </c>
      <c r="H298" s="740" t="s">
        <v>442</v>
      </c>
      <c r="I298" s="2028" t="s">
        <v>2783</v>
      </c>
      <c r="J298" s="727" t="s">
        <v>1304</v>
      </c>
      <c r="K298" s="728"/>
      <c r="L298" s="725"/>
      <c r="M298" s="726"/>
      <c r="N298" s="1179" t="s">
        <v>84</v>
      </c>
      <c r="O298" s="1179" t="s">
        <v>204</v>
      </c>
      <c r="P298" s="348"/>
      <c r="Q298" s="2029"/>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5" customFormat="1" ht="12" customHeight="1">
      <c r="B299" s="742"/>
      <c r="C299" s="703" t="s">
        <v>1174</v>
      </c>
      <c r="D299" s="703" t="s">
        <v>1421</v>
      </c>
      <c r="E299" s="741" t="s">
        <v>816</v>
      </c>
      <c r="F299" s="741" t="s">
        <v>2798</v>
      </c>
      <c r="G299" s="739" t="s">
        <v>2782</v>
      </c>
      <c r="H299" s="740" t="s">
        <v>443</v>
      </c>
      <c r="I299" s="2028" t="s">
        <v>1268</v>
      </c>
      <c r="J299" s="727" t="s">
        <v>1306</v>
      </c>
      <c r="K299" s="728"/>
      <c r="L299" s="725"/>
      <c r="M299" s="726"/>
      <c r="N299" s="1179" t="s">
        <v>88</v>
      </c>
      <c r="O299" s="1179" t="s">
        <v>2325</v>
      </c>
      <c r="P299" s="348"/>
      <c r="Q299" s="2029"/>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5" customFormat="1" ht="12" customHeight="1">
      <c r="B300" s="742"/>
      <c r="C300" s="703" t="s">
        <v>1175</v>
      </c>
      <c r="D300" s="703" t="s">
        <v>1421</v>
      </c>
      <c r="E300" s="741" t="s">
        <v>815</v>
      </c>
      <c r="F300" s="741" t="s">
        <v>2798</v>
      </c>
      <c r="G300" s="739" t="s">
        <v>2760</v>
      </c>
      <c r="H300" s="740" t="s">
        <v>443</v>
      </c>
      <c r="I300" s="2027" t="s">
        <v>1268</v>
      </c>
      <c r="J300" s="727" t="s">
        <v>1308</v>
      </c>
      <c r="K300" s="728"/>
      <c r="L300" s="725"/>
      <c r="M300" s="726"/>
      <c r="N300" s="1179" t="s">
        <v>90</v>
      </c>
      <c r="O300" s="1179" t="s">
        <v>1407</v>
      </c>
      <c r="P300" s="2030"/>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5" customFormat="1" ht="12" customHeight="1">
      <c r="B301" s="742"/>
      <c r="C301" s="703" t="s">
        <v>1176</v>
      </c>
      <c r="D301" s="703" t="s">
        <v>1421</v>
      </c>
      <c r="E301" s="738" t="s">
        <v>2309</v>
      </c>
      <c r="F301" s="738" t="s">
        <v>2797</v>
      </c>
      <c r="G301" s="739" t="s">
        <v>1911</v>
      </c>
      <c r="H301" s="740" t="s">
        <v>442</v>
      </c>
      <c r="I301" s="2028" t="s">
        <v>2783</v>
      </c>
      <c r="J301" s="727" t="s">
        <v>1310</v>
      </c>
      <c r="K301" s="728"/>
      <c r="L301" s="725"/>
      <c r="M301" s="726"/>
      <c r="N301" s="1179" t="s">
        <v>1305</v>
      </c>
      <c r="O301" s="1179" t="s">
        <v>2085</v>
      </c>
      <c r="P301" s="348"/>
      <c r="Q301" s="2029"/>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5" customFormat="1" ht="12" customHeight="1">
      <c r="B302" s="742"/>
      <c r="C302" s="703" t="s">
        <v>2310</v>
      </c>
      <c r="D302" s="703" t="s">
        <v>1288</v>
      </c>
      <c r="E302" s="738" t="s">
        <v>2311</v>
      </c>
      <c r="F302" s="738" t="s">
        <v>2797</v>
      </c>
      <c r="G302" s="739" t="s">
        <v>1912</v>
      </c>
      <c r="H302" s="740" t="s">
        <v>442</v>
      </c>
      <c r="I302" s="2028" t="s">
        <v>2783</v>
      </c>
      <c r="J302" s="727" t="s">
        <v>1312</v>
      </c>
      <c r="K302" s="728"/>
      <c r="L302" s="725"/>
      <c r="M302" s="726"/>
      <c r="N302" s="1179" t="s">
        <v>1307</v>
      </c>
      <c r="O302" s="1179" t="s">
        <v>186</v>
      </c>
      <c r="P302" s="348"/>
      <c r="Q302" s="2029"/>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5" customFormat="1" ht="12" customHeight="1">
      <c r="B303" s="742"/>
      <c r="C303" s="703" t="s">
        <v>1717</v>
      </c>
      <c r="D303" s="703" t="s">
        <v>1717</v>
      </c>
      <c r="E303" s="726" t="s">
        <v>1717</v>
      </c>
      <c r="F303" s="738"/>
      <c r="G303" s="739"/>
      <c r="H303" s="740"/>
      <c r="I303" s="2028" t="s">
        <v>3212</v>
      </c>
      <c r="J303" s="727" t="s">
        <v>1314</v>
      </c>
      <c r="K303" s="728"/>
      <c r="L303" s="725"/>
      <c r="M303" s="726"/>
      <c r="N303" s="1179" t="s">
        <v>1309</v>
      </c>
      <c r="O303" s="1179" t="s">
        <v>1172</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5" customFormat="1" ht="12" customHeight="1">
      <c r="B304" s="742"/>
      <c r="C304" s="703" t="s">
        <v>2312</v>
      </c>
      <c r="D304" s="703" t="s">
        <v>1288</v>
      </c>
      <c r="E304" s="741" t="s">
        <v>2313</v>
      </c>
      <c r="F304" s="738" t="s">
        <v>2797</v>
      </c>
      <c r="G304" s="739" t="s">
        <v>480</v>
      </c>
      <c r="H304" s="740" t="s">
        <v>442</v>
      </c>
      <c r="I304" s="2028" t="s">
        <v>2783</v>
      </c>
      <c r="J304" s="727" t="s">
        <v>947</v>
      </c>
      <c r="K304" s="728"/>
      <c r="L304" s="725"/>
      <c r="M304" s="726"/>
      <c r="N304" s="703" t="s">
        <v>1311</v>
      </c>
      <c r="O304" s="703" t="s">
        <v>1283</v>
      </c>
      <c r="P304" s="2031"/>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5" customFormat="1" ht="12" customHeight="1">
      <c r="B305" s="742"/>
      <c r="C305" s="703" t="s">
        <v>2314</v>
      </c>
      <c r="D305" s="703" t="s">
        <v>1421</v>
      </c>
      <c r="E305" s="741" t="s">
        <v>815</v>
      </c>
      <c r="F305" s="741" t="s">
        <v>2798</v>
      </c>
      <c r="G305" s="739" t="s">
        <v>2760</v>
      </c>
      <c r="H305" s="740" t="s">
        <v>443</v>
      </c>
      <c r="I305" s="2027" t="s">
        <v>1268</v>
      </c>
      <c r="J305" s="727" t="s">
        <v>948</v>
      </c>
      <c r="K305" s="728"/>
      <c r="L305" s="725"/>
      <c r="M305" s="726"/>
      <c r="N305" s="1179" t="s">
        <v>1313</v>
      </c>
      <c r="O305" s="1179" t="s">
        <v>2325</v>
      </c>
      <c r="P305" s="348"/>
      <c r="Q305" s="2029"/>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5" customFormat="1" ht="12" customHeight="1">
      <c r="B306" s="742"/>
      <c r="C306" s="703" t="s">
        <v>2315</v>
      </c>
      <c r="D306" s="703" t="s">
        <v>1397</v>
      </c>
      <c r="E306" s="741" t="s">
        <v>2316</v>
      </c>
      <c r="F306" s="741" t="s">
        <v>2797</v>
      </c>
      <c r="G306" s="739" t="s">
        <v>232</v>
      </c>
      <c r="H306" s="740" t="s">
        <v>442</v>
      </c>
      <c r="I306" s="2028" t="s">
        <v>2783</v>
      </c>
      <c r="J306" s="727" t="s">
        <v>950</v>
      </c>
      <c r="K306" s="728"/>
      <c r="L306" s="725"/>
      <c r="M306" s="726"/>
      <c r="N306" s="1179" t="s">
        <v>2659</v>
      </c>
      <c r="O306" s="1179" t="s">
        <v>1742</v>
      </c>
      <c r="P306" s="348"/>
      <c r="Q306" s="2029"/>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5" customFormat="1" ht="12" customHeight="1">
      <c r="B307" s="742"/>
      <c r="C307" s="703" t="s">
        <v>2317</v>
      </c>
      <c r="D307" s="703" t="s">
        <v>1288</v>
      </c>
      <c r="E307" s="738" t="s">
        <v>2318</v>
      </c>
      <c r="F307" s="741" t="s">
        <v>2797</v>
      </c>
      <c r="G307" s="739" t="s">
        <v>1514</v>
      </c>
      <c r="H307" s="740" t="s">
        <v>442</v>
      </c>
      <c r="I307" s="2028" t="s">
        <v>2783</v>
      </c>
      <c r="J307" s="727" t="s">
        <v>952</v>
      </c>
      <c r="K307" s="728"/>
      <c r="L307" s="725"/>
      <c r="M307" s="726"/>
      <c r="N307" s="1179" t="s">
        <v>168</v>
      </c>
      <c r="O307" s="1179" t="s">
        <v>2772</v>
      </c>
      <c r="P307" s="348"/>
      <c r="Q307" s="2029"/>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5" customFormat="1" ht="12" customHeight="1">
      <c r="B308" s="742"/>
      <c r="C308" s="703" t="s">
        <v>2319</v>
      </c>
      <c r="D308" s="703" t="s">
        <v>1288</v>
      </c>
      <c r="E308" s="738" t="s">
        <v>2320</v>
      </c>
      <c r="F308" s="738" t="s">
        <v>2797</v>
      </c>
      <c r="G308" s="739" t="s">
        <v>1515</v>
      </c>
      <c r="H308" s="740" t="s">
        <v>442</v>
      </c>
      <c r="I308" s="2028" t="s">
        <v>2783</v>
      </c>
      <c r="J308" s="727" t="s">
        <v>2278</v>
      </c>
      <c r="K308" s="728"/>
      <c r="L308" s="725"/>
      <c r="M308" s="726"/>
      <c r="N308" s="1179" t="s">
        <v>949</v>
      </c>
      <c r="O308" s="1179" t="s">
        <v>186</v>
      </c>
      <c r="P308" s="2030"/>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5" customFormat="1" ht="12" customHeight="1">
      <c r="B309" s="742"/>
      <c r="C309" s="703" t="s">
        <v>2321</v>
      </c>
      <c r="D309" s="703" t="s">
        <v>1421</v>
      </c>
      <c r="E309" s="738" t="s">
        <v>2322</v>
      </c>
      <c r="F309" s="738" t="s">
        <v>2797</v>
      </c>
      <c r="G309" s="739" t="s">
        <v>1516</v>
      </c>
      <c r="H309" s="740" t="s">
        <v>442</v>
      </c>
      <c r="I309" s="2028" t="s">
        <v>2783</v>
      </c>
      <c r="J309" s="727" t="s">
        <v>2279</v>
      </c>
      <c r="K309" s="728"/>
      <c r="L309" s="725"/>
      <c r="M309" s="726"/>
      <c r="N309" s="1179" t="s">
        <v>951</v>
      </c>
      <c r="O309" s="1179" t="s">
        <v>341</v>
      </c>
      <c r="P309" s="348"/>
      <c r="Q309" s="2029"/>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5" customFormat="1" ht="12" customHeight="1">
      <c r="B310" s="742"/>
      <c r="C310" s="703" t="s">
        <v>2323</v>
      </c>
      <c r="D310" s="703" t="s">
        <v>1421</v>
      </c>
      <c r="E310" s="738" t="s">
        <v>2324</v>
      </c>
      <c r="F310" s="738" t="s">
        <v>2797</v>
      </c>
      <c r="G310" s="739" t="s">
        <v>2149</v>
      </c>
      <c r="H310" s="740" t="s">
        <v>442</v>
      </c>
      <c r="I310" s="2028" t="s">
        <v>2783</v>
      </c>
      <c r="J310" s="727" t="s">
        <v>2194</v>
      </c>
      <c r="K310" s="728"/>
      <c r="L310" s="725"/>
      <c r="M310" s="726"/>
      <c r="N310" s="703" t="s">
        <v>953</v>
      </c>
      <c r="O310" s="703" t="s">
        <v>1161</v>
      </c>
      <c r="P310" s="2031"/>
      <c r="Q310" s="2029"/>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5" customFormat="1" ht="12" customHeight="1">
      <c r="B311" s="742"/>
      <c r="C311" s="703" t="s">
        <v>2325</v>
      </c>
      <c r="D311" s="703" t="s">
        <v>1288</v>
      </c>
      <c r="E311" s="738" t="s">
        <v>2326</v>
      </c>
      <c r="F311" s="738" t="s">
        <v>2797</v>
      </c>
      <c r="G311" s="739" t="s">
        <v>2150</v>
      </c>
      <c r="H311" s="740" t="s">
        <v>442</v>
      </c>
      <c r="I311" s="2028" t="s">
        <v>2783</v>
      </c>
      <c r="J311" s="727" t="s">
        <v>2196</v>
      </c>
      <c r="K311" s="728"/>
      <c r="L311" s="725"/>
      <c r="M311" s="726"/>
      <c r="N311" s="1179" t="s">
        <v>2750</v>
      </c>
      <c r="O311" s="1179" t="s">
        <v>2653</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5" customFormat="1" ht="12" customHeight="1">
      <c r="B312" s="742"/>
      <c r="C312" s="703" t="s">
        <v>2327</v>
      </c>
      <c r="D312" s="703" t="s">
        <v>1421</v>
      </c>
      <c r="E312" s="738" t="s">
        <v>925</v>
      </c>
      <c r="F312" s="738" t="s">
        <v>2797</v>
      </c>
      <c r="G312" s="739" t="s">
        <v>2151</v>
      </c>
      <c r="H312" s="740" t="s">
        <v>442</v>
      </c>
      <c r="I312" s="2028" t="s">
        <v>2783</v>
      </c>
      <c r="J312" s="727" t="s">
        <v>638</v>
      </c>
      <c r="K312" s="728"/>
      <c r="L312" s="725"/>
      <c r="M312" s="726"/>
      <c r="N312" s="1179" t="s">
        <v>2280</v>
      </c>
      <c r="O312" s="1179" t="s">
        <v>1175</v>
      </c>
      <c r="P312" s="348"/>
      <c r="Q312" s="2029"/>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5" customFormat="1" ht="12" customHeight="1">
      <c r="B313" s="742"/>
      <c r="C313" s="703" t="s">
        <v>926</v>
      </c>
      <c r="D313" s="703" t="s">
        <v>1288</v>
      </c>
      <c r="E313" s="738" t="s">
        <v>927</v>
      </c>
      <c r="F313" s="738" t="s">
        <v>2797</v>
      </c>
      <c r="G313" s="739" t="s">
        <v>2152</v>
      </c>
      <c r="H313" s="740" t="s">
        <v>442</v>
      </c>
      <c r="I313" s="2028" t="s">
        <v>2783</v>
      </c>
      <c r="J313" s="727" t="s">
        <v>639</v>
      </c>
      <c r="K313" s="728"/>
      <c r="L313" s="725"/>
      <c r="M313" s="726"/>
      <c r="N313" s="1179" t="s">
        <v>2195</v>
      </c>
      <c r="O313" s="1179" t="s">
        <v>1779</v>
      </c>
      <c r="P313" s="348"/>
      <c r="Q313" s="2029"/>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5" customFormat="1" ht="12" customHeight="1">
      <c r="B314" s="742"/>
      <c r="C314" s="703" t="s">
        <v>1778</v>
      </c>
      <c r="D314" s="703" t="s">
        <v>1288</v>
      </c>
      <c r="E314" s="741" t="s">
        <v>1906</v>
      </c>
      <c r="F314" s="738" t="s">
        <v>2798</v>
      </c>
      <c r="G314" s="739" t="s">
        <v>1231</v>
      </c>
      <c r="H314" s="740" t="s">
        <v>443</v>
      </c>
      <c r="I314" s="2028" t="s">
        <v>2783</v>
      </c>
      <c r="J314" s="727" t="s">
        <v>641</v>
      </c>
      <c r="K314" s="728"/>
      <c r="L314" s="725"/>
      <c r="M314" s="726"/>
      <c r="N314" s="1179" t="s">
        <v>2197</v>
      </c>
      <c r="O314" s="1179" t="s">
        <v>2708</v>
      </c>
      <c r="P314" s="348"/>
      <c r="Q314" s="2029"/>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5" customFormat="1" ht="12" customHeight="1">
      <c r="B315" s="742"/>
      <c r="C315" s="703" t="s">
        <v>1779</v>
      </c>
      <c r="D315" s="703" t="s">
        <v>1288</v>
      </c>
      <c r="E315" s="741" t="s">
        <v>1780</v>
      </c>
      <c r="F315" s="741" t="s">
        <v>2797</v>
      </c>
      <c r="G315" s="739" t="s">
        <v>2153</v>
      </c>
      <c r="H315" s="740" t="s">
        <v>442</v>
      </c>
      <c r="I315" s="2028" t="s">
        <v>2783</v>
      </c>
      <c r="J315" s="727" t="s">
        <v>643</v>
      </c>
      <c r="K315" s="728"/>
      <c r="L315" s="725"/>
      <c r="M315" s="726"/>
      <c r="N315" s="1179" t="s">
        <v>880</v>
      </c>
      <c r="O315" s="1179"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5" customFormat="1" ht="12" customHeight="1">
      <c r="B316" s="742"/>
      <c r="C316" s="703" t="s">
        <v>1781</v>
      </c>
      <c r="D316" s="703" t="s">
        <v>1288</v>
      </c>
      <c r="E316" s="741" t="s">
        <v>2043</v>
      </c>
      <c r="F316" s="741" t="s">
        <v>2797</v>
      </c>
      <c r="G316" s="739" t="s">
        <v>1236</v>
      </c>
      <c r="H316" s="740" t="s">
        <v>442</v>
      </c>
      <c r="I316" s="2028" t="s">
        <v>2783</v>
      </c>
      <c r="J316" s="727" t="s">
        <v>644</v>
      </c>
      <c r="K316" s="728"/>
      <c r="L316" s="725"/>
      <c r="M316" s="726"/>
      <c r="N316" s="1179" t="s">
        <v>640</v>
      </c>
      <c r="O316" s="1179" t="s">
        <v>125</v>
      </c>
      <c r="P316" s="2030"/>
      <c r="Q316" s="2029"/>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5" customFormat="1" ht="12" customHeight="1">
      <c r="B317" s="742"/>
      <c r="C317" s="703" t="s">
        <v>2044</v>
      </c>
      <c r="D317" s="703" t="s">
        <v>1288</v>
      </c>
      <c r="E317" s="741" t="s">
        <v>2045</v>
      </c>
      <c r="F317" s="741" t="s">
        <v>2797</v>
      </c>
      <c r="G317" s="739" t="s">
        <v>1237</v>
      </c>
      <c r="H317" s="740" t="s">
        <v>442</v>
      </c>
      <c r="I317" s="2028" t="s">
        <v>2783</v>
      </c>
      <c r="J317" s="727" t="s">
        <v>645</v>
      </c>
      <c r="K317" s="728"/>
      <c r="L317" s="725"/>
      <c r="M317" s="726"/>
      <c r="N317" s="1179" t="s">
        <v>2751</v>
      </c>
      <c r="O317" s="1179" t="s">
        <v>1413</v>
      </c>
      <c r="P317" s="348"/>
      <c r="Q317" s="2029"/>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5" customFormat="1" ht="12" customHeight="1">
      <c r="B318" s="742"/>
      <c r="C318" s="703" t="s">
        <v>2046</v>
      </c>
      <c r="D318" s="703" t="s">
        <v>1397</v>
      </c>
      <c r="E318" s="741" t="s">
        <v>2047</v>
      </c>
      <c r="F318" s="741" t="s">
        <v>2797</v>
      </c>
      <c r="G318" s="739" t="s">
        <v>1238</v>
      </c>
      <c r="H318" s="740" t="s">
        <v>442</v>
      </c>
      <c r="I318" s="2028" t="s">
        <v>2783</v>
      </c>
      <c r="J318" s="727" t="s">
        <v>647</v>
      </c>
      <c r="K318" s="728"/>
      <c r="L318" s="725"/>
      <c r="M318" s="726"/>
      <c r="N318" s="1179" t="s">
        <v>642</v>
      </c>
      <c r="O318" s="1179" t="s">
        <v>2773</v>
      </c>
      <c r="P318" s="348"/>
      <c r="Q318" s="2029"/>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5" customFormat="1" ht="12" customHeight="1">
      <c r="B319" s="742"/>
      <c r="C319" s="703" t="s">
        <v>2048</v>
      </c>
      <c r="D319" s="703" t="s">
        <v>1288</v>
      </c>
      <c r="E319" s="741" t="s">
        <v>2049</v>
      </c>
      <c r="F319" s="741" t="s">
        <v>2797</v>
      </c>
      <c r="G319" s="739" t="s">
        <v>1239</v>
      </c>
      <c r="H319" s="740" t="s">
        <v>442</v>
      </c>
      <c r="I319" s="2028" t="s">
        <v>2783</v>
      </c>
      <c r="J319" s="727" t="s">
        <v>649</v>
      </c>
      <c r="K319" s="728"/>
      <c r="L319" s="725"/>
      <c r="M319" s="726"/>
      <c r="N319" s="1179" t="s">
        <v>2707</v>
      </c>
      <c r="O319" s="1179" t="s">
        <v>2775</v>
      </c>
      <c r="P319" s="348"/>
      <c r="Q319" s="2029"/>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5" customFormat="1" ht="12" customHeight="1">
      <c r="B320" s="742"/>
      <c r="C320" s="703" t="s">
        <v>2050</v>
      </c>
      <c r="D320" s="703" t="s">
        <v>1421</v>
      </c>
      <c r="E320" s="738" t="s">
        <v>2051</v>
      </c>
      <c r="F320" s="741" t="s">
        <v>2797</v>
      </c>
      <c r="G320" s="739" t="s">
        <v>1240</v>
      </c>
      <c r="H320" s="740" t="s">
        <v>442</v>
      </c>
      <c r="I320" s="2028" t="s">
        <v>2783</v>
      </c>
      <c r="J320" s="727" t="s">
        <v>580</v>
      </c>
      <c r="K320" s="728"/>
      <c r="L320" s="725"/>
      <c r="M320" s="726"/>
      <c r="N320" s="1179" t="s">
        <v>646</v>
      </c>
      <c r="O320" s="1179" t="s">
        <v>2323</v>
      </c>
      <c r="P320" s="348"/>
      <c r="Q320" s="2029"/>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5" customFormat="1" ht="12" customHeight="1">
      <c r="B321" s="742"/>
      <c r="C321" s="703" t="s">
        <v>2052</v>
      </c>
      <c r="D321" s="703" t="s">
        <v>1288</v>
      </c>
      <c r="E321" s="741" t="s">
        <v>2053</v>
      </c>
      <c r="F321" s="738" t="s">
        <v>2797</v>
      </c>
      <c r="G321" s="739" t="s">
        <v>1241</v>
      </c>
      <c r="H321" s="740" t="s">
        <v>442</v>
      </c>
      <c r="I321" s="2028" t="s">
        <v>2783</v>
      </c>
      <c r="J321" s="727" t="s">
        <v>1226</v>
      </c>
      <c r="K321" s="728"/>
      <c r="L321" s="725"/>
      <c r="M321" s="726"/>
      <c r="N321" s="1179" t="s">
        <v>3492</v>
      </c>
      <c r="O321" s="1179" t="s">
        <v>1166</v>
      </c>
      <c r="P321" s="348"/>
      <c r="Q321" s="2029"/>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5" customFormat="1" ht="12" customHeight="1">
      <c r="B322" s="742"/>
      <c r="C322" s="703" t="s">
        <v>2054</v>
      </c>
      <c r="D322" s="703" t="s">
        <v>1421</v>
      </c>
      <c r="E322" s="741" t="s">
        <v>1406</v>
      </c>
      <c r="F322" s="741" t="s">
        <v>2798</v>
      </c>
      <c r="G322" s="739" t="s">
        <v>2763</v>
      </c>
      <c r="H322" s="740" t="s">
        <v>443</v>
      </c>
      <c r="I322" s="2028" t="s">
        <v>2783</v>
      </c>
      <c r="J322" s="727" t="s">
        <v>797</v>
      </c>
      <c r="K322" s="728"/>
      <c r="L322" s="725"/>
      <c r="M322" s="726"/>
      <c r="N322" s="1179" t="s">
        <v>648</v>
      </c>
      <c r="O322" s="1179" t="s">
        <v>1746</v>
      </c>
      <c r="P322" s="348"/>
      <c r="Q322" s="2029"/>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5" customFormat="1" ht="12" customHeight="1">
      <c r="B323" s="742"/>
      <c r="C323" s="703" t="s">
        <v>2055</v>
      </c>
      <c r="D323" s="703" t="s">
        <v>1397</v>
      </c>
      <c r="E323" s="741" t="s">
        <v>2056</v>
      </c>
      <c r="F323" s="741" t="s">
        <v>2797</v>
      </c>
      <c r="G323" s="739" t="s">
        <v>1242</v>
      </c>
      <c r="H323" s="740" t="s">
        <v>442</v>
      </c>
      <c r="I323" s="2028" t="s">
        <v>2783</v>
      </c>
      <c r="J323" s="727" t="s">
        <v>38</v>
      </c>
      <c r="K323" s="728"/>
      <c r="L323" s="725"/>
      <c r="M323" s="726"/>
      <c r="N323" s="1179" t="s">
        <v>579</v>
      </c>
      <c r="O323" s="1179" t="s">
        <v>705</v>
      </c>
      <c r="P323" s="348"/>
      <c r="Q323" s="2029"/>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5" customFormat="1" ht="12" customHeight="1">
      <c r="B324" s="742"/>
      <c r="C324" s="703" t="s">
        <v>2142</v>
      </c>
      <c r="D324" s="703" t="s">
        <v>1421</v>
      </c>
      <c r="E324" s="738" t="s">
        <v>2143</v>
      </c>
      <c r="F324" s="741" t="s">
        <v>2797</v>
      </c>
      <c r="G324" s="739" t="s">
        <v>1243</v>
      </c>
      <c r="H324" s="740" t="s">
        <v>442</v>
      </c>
      <c r="I324" s="2028" t="s">
        <v>2783</v>
      </c>
      <c r="J324" s="727" t="s">
        <v>2100</v>
      </c>
      <c r="K324" s="728"/>
      <c r="L324" s="725"/>
      <c r="M324" s="726"/>
      <c r="N324" s="1179" t="s">
        <v>581</v>
      </c>
      <c r="O324" s="1179" t="s">
        <v>167</v>
      </c>
      <c r="P324" s="348"/>
      <c r="Q324" s="2029"/>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5" customFormat="1" ht="12" customHeight="1">
      <c r="B325" s="742"/>
      <c r="C325" s="703" t="s">
        <v>2144</v>
      </c>
      <c r="D325" s="703" t="s">
        <v>1397</v>
      </c>
      <c r="E325" s="741" t="s">
        <v>1627</v>
      </c>
      <c r="F325" s="738" t="s">
        <v>2798</v>
      </c>
      <c r="G325" s="739" t="s">
        <v>1799</v>
      </c>
      <c r="H325" s="740" t="s">
        <v>443</v>
      </c>
      <c r="I325" s="2028" t="s">
        <v>2783</v>
      </c>
      <c r="J325" s="727" t="s">
        <v>2102</v>
      </c>
      <c r="K325" s="728"/>
      <c r="L325" s="725"/>
      <c r="M325" s="726"/>
      <c r="N325" s="1179" t="s">
        <v>796</v>
      </c>
      <c r="O325" s="1179" t="s">
        <v>1172</v>
      </c>
      <c r="P325" s="348"/>
      <c r="Q325" s="2029"/>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5" customFormat="1" ht="12" customHeight="1">
      <c r="B326" s="742"/>
      <c r="C326" s="703" t="s">
        <v>2145</v>
      </c>
      <c r="D326" s="703" t="s">
        <v>1421</v>
      </c>
      <c r="E326" s="741" t="s">
        <v>815</v>
      </c>
      <c r="F326" s="741" t="s">
        <v>2798</v>
      </c>
      <c r="G326" s="739" t="s">
        <v>2760</v>
      </c>
      <c r="H326" s="740" t="s">
        <v>443</v>
      </c>
      <c r="I326" s="2027" t="s">
        <v>1268</v>
      </c>
      <c r="J326" s="727" t="s">
        <v>352</v>
      </c>
      <c r="K326" s="728"/>
      <c r="L326" s="725"/>
      <c r="M326" s="726"/>
      <c r="N326" s="1179" t="s">
        <v>798</v>
      </c>
      <c r="O326" s="1179" t="s">
        <v>124</v>
      </c>
      <c r="P326" s="348"/>
      <c r="Q326" s="2029"/>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5" customFormat="1" ht="12" customHeight="1">
      <c r="B327" s="742"/>
      <c r="C327" s="703" t="s">
        <v>2146</v>
      </c>
      <c r="D327" s="703" t="s">
        <v>1288</v>
      </c>
      <c r="E327" s="741" t="s">
        <v>106</v>
      </c>
      <c r="F327" s="741" t="s">
        <v>2797</v>
      </c>
      <c r="G327" s="739" t="s">
        <v>1244</v>
      </c>
      <c r="H327" s="740" t="s">
        <v>442</v>
      </c>
      <c r="I327" s="2028" t="s">
        <v>2783</v>
      </c>
      <c r="J327" s="727" t="s">
        <v>354</v>
      </c>
      <c r="K327" s="728"/>
      <c r="L327" s="725"/>
      <c r="M327" s="726"/>
      <c r="N327" s="1179" t="s">
        <v>39</v>
      </c>
      <c r="O327" s="1179" t="s">
        <v>183</v>
      </c>
      <c r="P327" s="348"/>
      <c r="Q327" s="2029"/>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5" customFormat="1" ht="12" customHeight="1">
      <c r="B328" s="742"/>
      <c r="C328" s="703" t="s">
        <v>107</v>
      </c>
      <c r="D328" s="703" t="s">
        <v>1421</v>
      </c>
      <c r="E328" s="741" t="s">
        <v>108</v>
      </c>
      <c r="F328" s="741" t="s">
        <v>2797</v>
      </c>
      <c r="G328" s="739" t="s">
        <v>1245</v>
      </c>
      <c r="H328" s="740" t="s">
        <v>442</v>
      </c>
      <c r="I328" s="2028" t="s">
        <v>2783</v>
      </c>
      <c r="J328" s="727" t="s">
        <v>356</v>
      </c>
      <c r="K328" s="728"/>
      <c r="L328" s="725"/>
      <c r="M328" s="726"/>
      <c r="N328" s="1179" t="s">
        <v>2101</v>
      </c>
      <c r="O328" s="1179" t="s">
        <v>2394</v>
      </c>
      <c r="P328" s="348"/>
      <c r="Q328" s="2029"/>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5" customFormat="1" ht="12" customHeight="1">
      <c r="B329" s="742"/>
      <c r="C329" s="703" t="s">
        <v>109</v>
      </c>
      <c r="D329" s="703" t="s">
        <v>1288</v>
      </c>
      <c r="E329" s="741" t="s">
        <v>110</v>
      </c>
      <c r="F329" s="741" t="s">
        <v>2797</v>
      </c>
      <c r="G329" s="739" t="s">
        <v>1246</v>
      </c>
      <c r="H329" s="740" t="s">
        <v>442</v>
      </c>
      <c r="I329" s="2028" t="s">
        <v>2783</v>
      </c>
      <c r="J329" s="727" t="s">
        <v>358</v>
      </c>
      <c r="K329" s="728"/>
      <c r="L329" s="725"/>
      <c r="M329" s="726"/>
      <c r="N329" s="1179" t="s">
        <v>2103</v>
      </c>
      <c r="O329" s="1179" t="s">
        <v>2776</v>
      </c>
      <c r="P329" s="348"/>
      <c r="Q329" s="2029"/>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5" customFormat="1" ht="12" customHeight="1">
      <c r="B330" s="742"/>
      <c r="C330" s="703" t="s">
        <v>111</v>
      </c>
      <c r="D330" s="703" t="s">
        <v>1288</v>
      </c>
      <c r="E330" s="741" t="s">
        <v>112</v>
      </c>
      <c r="F330" s="741" t="s">
        <v>2797</v>
      </c>
      <c r="G330" s="739" t="s">
        <v>1247</v>
      </c>
      <c r="H330" s="740" t="s">
        <v>442</v>
      </c>
      <c r="I330" s="2028" t="s">
        <v>2783</v>
      </c>
      <c r="J330" s="727" t="s">
        <v>360</v>
      </c>
      <c r="K330" s="728"/>
      <c r="L330" s="725"/>
      <c r="M330" s="726"/>
      <c r="N330" s="1179" t="s">
        <v>353</v>
      </c>
      <c r="O330" s="1179" t="s">
        <v>2085</v>
      </c>
      <c r="P330" s="348"/>
      <c r="Q330" s="2029"/>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5" customFormat="1" ht="12" customHeight="1">
      <c r="B331" s="742"/>
      <c r="C331" s="703" t="s">
        <v>113</v>
      </c>
      <c r="D331" s="703" t="s">
        <v>1288</v>
      </c>
      <c r="E331" s="741" t="s">
        <v>114</v>
      </c>
      <c r="F331" s="741" t="s">
        <v>2797</v>
      </c>
      <c r="G331" s="739" t="s">
        <v>1248</v>
      </c>
      <c r="H331" s="740" t="s">
        <v>442</v>
      </c>
      <c r="I331" s="2028" t="s">
        <v>2783</v>
      </c>
      <c r="J331" s="727" t="s">
        <v>362</v>
      </c>
      <c r="K331" s="728"/>
      <c r="L331" s="725"/>
      <c r="M331" s="726"/>
      <c r="N331" s="1179" t="s">
        <v>355</v>
      </c>
      <c r="O331" s="1179" t="s">
        <v>929</v>
      </c>
      <c r="P331" s="348"/>
      <c r="Q331" s="2029"/>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5" customFormat="1" ht="12" customHeight="1">
      <c r="B332" s="742"/>
      <c r="C332" s="703" t="s">
        <v>115</v>
      </c>
      <c r="D332" s="703" t="s">
        <v>1288</v>
      </c>
      <c r="E332" s="741" t="s">
        <v>116</v>
      </c>
      <c r="F332" s="741" t="s">
        <v>2797</v>
      </c>
      <c r="G332" s="739" t="s">
        <v>2513</v>
      </c>
      <c r="H332" s="740" t="s">
        <v>442</v>
      </c>
      <c r="I332" s="2028" t="s">
        <v>2783</v>
      </c>
      <c r="J332" s="727" t="s">
        <v>2075</v>
      </c>
      <c r="K332" s="728"/>
      <c r="L332" s="725"/>
      <c r="M332" s="726"/>
      <c r="N332" s="1179" t="s">
        <v>357</v>
      </c>
      <c r="O332" s="1179" t="s">
        <v>186</v>
      </c>
      <c r="P332" s="348"/>
      <c r="Q332" s="2029"/>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5" customFormat="1" ht="12" customHeight="1">
      <c r="B333" s="742"/>
      <c r="C333" s="703" t="s">
        <v>117</v>
      </c>
      <c r="D333" s="703" t="s">
        <v>1397</v>
      </c>
      <c r="E333" s="741" t="s">
        <v>118</v>
      </c>
      <c r="F333" s="741" t="s">
        <v>2797</v>
      </c>
      <c r="G333" s="739" t="s">
        <v>2514</v>
      </c>
      <c r="H333" s="740" t="s">
        <v>442</v>
      </c>
      <c r="I333" s="2028" t="s">
        <v>2783</v>
      </c>
      <c r="J333" s="727" t="s">
        <v>2077</v>
      </c>
      <c r="K333" s="728"/>
      <c r="L333" s="725"/>
      <c r="M333" s="726"/>
      <c r="N333" s="1179" t="s">
        <v>359</v>
      </c>
      <c r="O333" s="1179" t="s">
        <v>2560</v>
      </c>
      <c r="P333" s="348"/>
      <c r="Q333" s="2029"/>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5" customFormat="1" ht="12" customHeight="1">
      <c r="B334" s="742"/>
      <c r="C334" s="703" t="s">
        <v>2085</v>
      </c>
      <c r="D334" s="703" t="s">
        <v>1397</v>
      </c>
      <c r="E334" s="738" t="s">
        <v>353</v>
      </c>
      <c r="F334" s="741" t="s">
        <v>2798</v>
      </c>
      <c r="G334" s="739" t="s">
        <v>2515</v>
      </c>
      <c r="H334" s="740" t="s">
        <v>443</v>
      </c>
      <c r="I334" s="2028" t="s">
        <v>1268</v>
      </c>
      <c r="J334" s="727" t="s">
        <v>2294</v>
      </c>
      <c r="K334" s="728"/>
      <c r="L334" s="725"/>
      <c r="M334" s="726"/>
      <c r="N334" s="703" t="s">
        <v>361</v>
      </c>
      <c r="O334" s="703" t="s">
        <v>2011</v>
      </c>
      <c r="P334" s="2031"/>
      <c r="Q334" s="2029"/>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5" customFormat="1" ht="12" customHeight="1">
      <c r="B335" s="742"/>
      <c r="C335" s="703" t="s">
        <v>2086</v>
      </c>
      <c r="D335" s="703" t="s">
        <v>1288</v>
      </c>
      <c r="E335" s="741" t="s">
        <v>2557</v>
      </c>
      <c r="F335" s="738" t="s">
        <v>2797</v>
      </c>
      <c r="G335" s="739" t="s">
        <v>2516</v>
      </c>
      <c r="H335" s="740" t="s">
        <v>442</v>
      </c>
      <c r="I335" s="2028" t="s">
        <v>2783</v>
      </c>
      <c r="J335" s="727" t="s">
        <v>160</v>
      </c>
      <c r="K335" s="728"/>
      <c r="L335" s="725"/>
      <c r="M335" s="726"/>
      <c r="N335" s="1179" t="s">
        <v>363</v>
      </c>
      <c r="O335" s="1179" t="s">
        <v>182</v>
      </c>
      <c r="P335" s="348"/>
      <c r="Q335" s="2029"/>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5" customFormat="1" ht="12" customHeight="1">
      <c r="B336" s="742"/>
      <c r="C336" s="703" t="s">
        <v>2558</v>
      </c>
      <c r="D336" s="703" t="s">
        <v>1421</v>
      </c>
      <c r="E336" s="741" t="s">
        <v>2559</v>
      </c>
      <c r="F336" s="741" t="s">
        <v>2797</v>
      </c>
      <c r="G336" s="739" t="s">
        <v>440</v>
      </c>
      <c r="H336" s="740" t="s">
        <v>442</v>
      </c>
      <c r="I336" s="2028" t="s">
        <v>2783</v>
      </c>
      <c r="J336" s="727" t="s">
        <v>161</v>
      </c>
      <c r="K336" s="728"/>
      <c r="L336" s="725"/>
      <c r="M336" s="726"/>
      <c r="N336" s="1179" t="s">
        <v>2076</v>
      </c>
      <c r="O336" s="1179" t="s">
        <v>109</v>
      </c>
      <c r="P336" s="348"/>
      <c r="Q336" s="2029"/>
      <c r="R336" s="703"/>
      <c r="S336" s="703"/>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5" customFormat="1" ht="12" customHeight="1">
      <c r="B337" s="742"/>
      <c r="C337" s="703" t="s">
        <v>2560</v>
      </c>
      <c r="D337" s="703" t="s">
        <v>1421</v>
      </c>
      <c r="E337" s="741" t="s">
        <v>2561</v>
      </c>
      <c r="F337" s="741" t="s">
        <v>2797</v>
      </c>
      <c r="G337" s="739" t="s">
        <v>441</v>
      </c>
      <c r="H337" s="740" t="s">
        <v>442</v>
      </c>
      <c r="I337" s="2028" t="s">
        <v>2783</v>
      </c>
      <c r="J337" s="727" t="s">
        <v>1688</v>
      </c>
      <c r="K337" s="728"/>
      <c r="L337" s="725"/>
      <c r="M337" s="726"/>
      <c r="N337" s="1179" t="s">
        <v>203</v>
      </c>
      <c r="O337" s="1179" t="s">
        <v>1778</v>
      </c>
      <c r="P337" s="348"/>
      <c r="Q337" s="2029"/>
      <c r="R337" s="703"/>
      <c r="S337" s="703"/>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5" customFormat="1" ht="12" customHeight="1">
      <c r="B338" s="634"/>
      <c r="C338" s="703" t="s">
        <v>2562</v>
      </c>
      <c r="D338" s="703" t="s">
        <v>1288</v>
      </c>
      <c r="E338" s="741" t="s">
        <v>1906</v>
      </c>
      <c r="F338" s="741" t="s">
        <v>2798</v>
      </c>
      <c r="G338" s="739" t="s">
        <v>1231</v>
      </c>
      <c r="H338" s="740" t="s">
        <v>443</v>
      </c>
      <c r="I338" s="2028" t="s">
        <v>2783</v>
      </c>
      <c r="J338" s="727" t="s">
        <v>844</v>
      </c>
      <c r="K338" s="728"/>
      <c r="L338" s="725"/>
      <c r="M338" s="726"/>
      <c r="N338" s="1179" t="s">
        <v>2295</v>
      </c>
      <c r="O338" s="1179" t="s">
        <v>203</v>
      </c>
      <c r="P338" s="348"/>
      <c r="Q338" s="2029"/>
      <c r="R338" s="703"/>
      <c r="S338" s="703"/>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5" customFormat="1" ht="12" customHeight="1">
      <c r="B339" s="634"/>
      <c r="F339" s="743"/>
      <c r="I339" s="744"/>
      <c r="J339" s="727" t="s">
        <v>846</v>
      </c>
      <c r="K339" s="728"/>
      <c r="L339" s="725"/>
      <c r="M339" s="726"/>
      <c r="N339" s="1179" t="s">
        <v>736</v>
      </c>
      <c r="O339" s="1179" t="s">
        <v>2319</v>
      </c>
      <c r="P339" s="348"/>
      <c r="Q339" s="382"/>
      <c r="R339" s="703"/>
      <c r="S339" s="703"/>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5" customFormat="1" ht="12" customHeight="1">
      <c r="B340" s="634"/>
      <c r="J340" s="727" t="s">
        <v>848</v>
      </c>
      <c r="K340" s="728"/>
      <c r="L340" s="725"/>
      <c r="M340" s="726"/>
      <c r="N340" s="703" t="s">
        <v>162</v>
      </c>
      <c r="O340" s="703" t="s">
        <v>2010</v>
      </c>
      <c r="P340" s="2031"/>
      <c r="Q340" s="382"/>
      <c r="R340" s="703"/>
      <c r="S340" s="703"/>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5" customFormat="1" ht="12" customHeight="1">
      <c r="B341" s="634"/>
      <c r="J341" s="727" t="s">
        <v>2588</v>
      </c>
      <c r="K341" s="728"/>
      <c r="L341" s="725"/>
      <c r="M341" s="726"/>
      <c r="N341" s="1179" t="s">
        <v>204</v>
      </c>
      <c r="O341" s="1179" t="s">
        <v>669</v>
      </c>
      <c r="P341" s="703"/>
      <c r="R341" s="703"/>
      <c r="S341" s="703"/>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5" customFormat="1" ht="12" customHeight="1">
      <c r="B342" s="634"/>
      <c r="J342" s="727" t="s">
        <v>2589</v>
      </c>
      <c r="K342" s="728"/>
      <c r="L342" s="725"/>
      <c r="M342" s="726"/>
      <c r="N342" s="1179" t="s">
        <v>2752</v>
      </c>
      <c r="O342" s="1179" t="s">
        <v>2146</v>
      </c>
      <c r="P342" s="703"/>
      <c r="R342" s="703"/>
      <c r="S342" s="703"/>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5" customFormat="1" ht="12" customHeight="1">
      <c r="B343" s="634"/>
      <c r="J343" s="727" t="s">
        <v>2591</v>
      </c>
      <c r="K343" s="728"/>
      <c r="L343" s="725"/>
      <c r="M343" s="726"/>
      <c r="N343" s="1179" t="s">
        <v>845</v>
      </c>
      <c r="O343" s="1179" t="s">
        <v>109</v>
      </c>
      <c r="P343" s="703"/>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5" customFormat="1" ht="12" customHeight="1">
      <c r="B344" s="634"/>
      <c r="J344" s="727" t="s">
        <v>2593</v>
      </c>
      <c r="K344" s="728"/>
      <c r="L344" s="725"/>
      <c r="M344" s="726"/>
      <c r="N344" s="1179" t="s">
        <v>847</v>
      </c>
      <c r="O344" s="1179" t="s">
        <v>125</v>
      </c>
      <c r="P344" s="703"/>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5" customFormat="1" ht="12" customHeight="1">
      <c r="B345" s="634"/>
      <c r="J345" s="727" t="s">
        <v>2594</v>
      </c>
      <c r="K345" s="728"/>
      <c r="L345" s="725"/>
      <c r="M345" s="726"/>
      <c r="N345" s="1179" t="s">
        <v>849</v>
      </c>
      <c r="O345" s="1179" t="s">
        <v>344</v>
      </c>
      <c r="P345" s="703"/>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5" customFormat="1" ht="12" customHeight="1">
      <c r="B346" s="634"/>
      <c r="J346" s="727" t="s">
        <v>400</v>
      </c>
      <c r="K346" s="728"/>
      <c r="L346" s="725"/>
      <c r="M346" s="726"/>
      <c r="N346" s="1179" t="s">
        <v>3493</v>
      </c>
      <c r="O346" s="1179" t="s">
        <v>933</v>
      </c>
      <c r="P346" s="703"/>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5" customFormat="1" ht="12" customHeight="1">
      <c r="B347" s="634"/>
      <c r="J347" s="727" t="s">
        <v>50</v>
      </c>
      <c r="K347" s="728"/>
      <c r="L347" s="725"/>
      <c r="M347" s="726"/>
      <c r="N347" s="703" t="s">
        <v>2590</v>
      </c>
      <c r="O347" s="703" t="s">
        <v>1549</v>
      </c>
      <c r="P347" s="2032"/>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5" customFormat="1" ht="12" customHeight="1">
      <c r="B348" s="634"/>
      <c r="J348" s="727" t="s">
        <v>52</v>
      </c>
      <c r="K348" s="728"/>
      <c r="L348" s="725"/>
      <c r="M348" s="726"/>
      <c r="N348" s="1179" t="s">
        <v>2592</v>
      </c>
      <c r="O348" s="1179" t="s">
        <v>1170</v>
      </c>
      <c r="P348" s="703"/>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5" customFormat="1" ht="12" customHeight="1">
      <c r="B349" s="634"/>
      <c r="J349" s="727" t="s">
        <v>2057</v>
      </c>
      <c r="K349" s="728"/>
      <c r="L349" s="725"/>
      <c r="M349" s="726"/>
      <c r="N349" s="1179" t="s">
        <v>2753</v>
      </c>
      <c r="O349" s="1179" t="s">
        <v>712</v>
      </c>
      <c r="P349" s="703"/>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5" customFormat="1" ht="12" customHeight="1">
      <c r="B350" s="634"/>
      <c r="J350" s="727" t="s">
        <v>2058</v>
      </c>
      <c r="K350" s="728"/>
      <c r="L350" s="725"/>
      <c r="M350" s="726"/>
      <c r="N350" s="1179" t="s">
        <v>399</v>
      </c>
      <c r="O350" s="1179" t="s">
        <v>2659</v>
      </c>
      <c r="P350" s="703"/>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5" customFormat="1" ht="12" customHeight="1">
      <c r="B351" s="634"/>
      <c r="J351" s="727" t="s">
        <v>2060</v>
      </c>
      <c r="K351" s="728"/>
      <c r="L351" s="725"/>
      <c r="M351" s="726"/>
      <c r="N351" s="636" t="s">
        <v>401</v>
      </c>
      <c r="O351" s="1179" t="s">
        <v>2312</v>
      </c>
      <c r="P351" s="703"/>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5" customFormat="1" ht="12" customHeight="1">
      <c r="B352" s="634"/>
      <c r="J352" s="727" t="s">
        <v>2061</v>
      </c>
      <c r="K352" s="728"/>
      <c r="L352" s="725"/>
      <c r="M352" s="726"/>
      <c r="N352" s="1179" t="s">
        <v>51</v>
      </c>
      <c r="O352" s="1179" t="s">
        <v>1010</v>
      </c>
      <c r="P352" s="703"/>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5" customFormat="1" ht="12" customHeight="1">
      <c r="B353" s="634"/>
      <c r="J353" s="727" t="s">
        <v>2062</v>
      </c>
      <c r="K353" s="728"/>
      <c r="L353" s="725"/>
      <c r="M353" s="726"/>
      <c r="N353" s="1179" t="s">
        <v>53</v>
      </c>
      <c r="O353" s="1179" t="s">
        <v>669</v>
      </c>
      <c r="P353" s="703"/>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5" customFormat="1" ht="12" customHeight="1">
      <c r="B354" s="634"/>
      <c r="J354" s="727" t="s">
        <v>2064</v>
      </c>
      <c r="K354" s="728"/>
      <c r="L354" s="725"/>
      <c r="M354" s="726"/>
      <c r="N354" s="1179" t="s">
        <v>928</v>
      </c>
      <c r="O354" s="1179" t="s">
        <v>2657</v>
      </c>
      <c r="P354" s="726"/>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5" customFormat="1" ht="12" customHeight="1">
      <c r="B355" s="634"/>
      <c r="J355" s="727" t="s">
        <v>764</v>
      </c>
      <c r="K355" s="728"/>
      <c r="L355" s="725"/>
      <c r="M355" s="726"/>
      <c r="N355" s="703" t="s">
        <v>2059</v>
      </c>
      <c r="O355" s="703" t="s">
        <v>928</v>
      </c>
      <c r="P355" s="2032"/>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5" customFormat="1" ht="12" customHeight="1">
      <c r="B356" s="634"/>
      <c r="J356" s="727" t="s">
        <v>1208</v>
      </c>
      <c r="K356" s="728"/>
      <c r="L356" s="725"/>
      <c r="M356" s="726"/>
      <c r="N356" s="703" t="s">
        <v>2754</v>
      </c>
      <c r="O356" s="703" t="s">
        <v>669</v>
      </c>
      <c r="P356" s="2032"/>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5" customFormat="1" ht="12" customHeight="1">
      <c r="B357" s="634"/>
      <c r="J357" s="727" t="s">
        <v>1210</v>
      </c>
      <c r="K357" s="728"/>
      <c r="L357" s="725"/>
      <c r="M357" s="726"/>
      <c r="N357" s="1179" t="s">
        <v>3494</v>
      </c>
      <c r="O357" s="1179" t="s">
        <v>2654</v>
      </c>
      <c r="P357" s="726"/>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5" customFormat="1" ht="12" customHeight="1">
      <c r="B358" s="634"/>
      <c r="J358" s="727" t="s">
        <v>1212</v>
      </c>
      <c r="K358" s="728"/>
      <c r="L358" s="725"/>
      <c r="M358" s="726"/>
      <c r="N358" s="1179" t="s">
        <v>2063</v>
      </c>
      <c r="O358" s="1179" t="s">
        <v>1549</v>
      </c>
      <c r="P358" s="726"/>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5" customFormat="1" ht="12" customHeight="1">
      <c r="B359" s="634"/>
      <c r="J359" s="727" t="s">
        <v>2686</v>
      </c>
      <c r="K359" s="728"/>
      <c r="L359" s="725"/>
      <c r="M359" s="726"/>
      <c r="N359" s="1179" t="s">
        <v>2065</v>
      </c>
      <c r="O359" s="1179" t="s">
        <v>1549</v>
      </c>
      <c r="P359" s="726"/>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5" customFormat="1" ht="12" customHeight="1">
      <c r="B360" s="634"/>
      <c r="J360" s="727" t="s">
        <v>2688</v>
      </c>
      <c r="K360" s="728"/>
      <c r="L360" s="725"/>
      <c r="M360" s="726"/>
      <c r="N360" s="1179" t="s">
        <v>765</v>
      </c>
      <c r="O360" s="1179" t="s">
        <v>124</v>
      </c>
      <c r="P360" s="726"/>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5" customFormat="1" ht="12" customHeight="1">
      <c r="B361" s="634"/>
      <c r="J361" s="727" t="s">
        <v>195</v>
      </c>
      <c r="K361" s="728"/>
      <c r="L361" s="725"/>
      <c r="M361" s="726"/>
      <c r="N361" s="1179" t="s">
        <v>737</v>
      </c>
      <c r="O361" s="1179" t="s">
        <v>669</v>
      </c>
      <c r="P361" s="726"/>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5" customFormat="1" ht="12" customHeight="1">
      <c r="B362" s="634"/>
      <c r="J362" s="727" t="s">
        <v>197</v>
      </c>
      <c r="K362" s="728"/>
      <c r="L362" s="725"/>
      <c r="M362" s="726"/>
      <c r="N362" s="1179" t="s">
        <v>3495</v>
      </c>
      <c r="O362" s="1179" t="s">
        <v>166</v>
      </c>
      <c r="P362" s="726"/>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5" customFormat="1" ht="12" customHeight="1">
      <c r="B363" s="634"/>
      <c r="J363" s="727" t="s">
        <v>1952</v>
      </c>
      <c r="K363" s="728"/>
      <c r="L363" s="725"/>
      <c r="M363" s="726"/>
      <c r="N363" s="1179" t="s">
        <v>3496</v>
      </c>
      <c r="O363" s="1179" t="s">
        <v>334</v>
      </c>
      <c r="P363" s="726"/>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5" customFormat="1" ht="12" customHeight="1">
      <c r="B364" s="634"/>
      <c r="J364" s="727" t="s">
        <v>1954</v>
      </c>
      <c r="K364" s="728"/>
      <c r="L364" s="725"/>
      <c r="M364" s="726"/>
      <c r="N364" s="1179" t="s">
        <v>1209</v>
      </c>
      <c r="O364" s="1179" t="s">
        <v>1549</v>
      </c>
      <c r="P364" s="726"/>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5" customFormat="1" ht="12" customHeight="1">
      <c r="B365" s="634"/>
      <c r="J365" s="727" t="s">
        <v>2025</v>
      </c>
      <c r="K365" s="728"/>
      <c r="L365" s="725"/>
      <c r="M365" s="726"/>
      <c r="N365" s="1179" t="s">
        <v>1211</v>
      </c>
      <c r="O365" s="1179" t="s">
        <v>708</v>
      </c>
      <c r="P365" s="726"/>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5" customFormat="1" ht="12" customHeight="1">
      <c r="B366" s="634"/>
      <c r="J366" s="727" t="s">
        <v>2027</v>
      </c>
      <c r="K366" s="728"/>
      <c r="L366" s="725"/>
      <c r="M366" s="726"/>
      <c r="N366" s="1179" t="s">
        <v>2755</v>
      </c>
      <c r="O366" s="1179" t="s">
        <v>2314</v>
      </c>
      <c r="P366" s="726"/>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5" customFormat="1" ht="12" customHeight="1">
      <c r="B367" s="634"/>
      <c r="J367" s="727" t="s">
        <v>2028</v>
      </c>
      <c r="K367" s="728"/>
      <c r="L367" s="725"/>
      <c r="M367" s="726"/>
      <c r="N367" s="1179" t="s">
        <v>2756</v>
      </c>
      <c r="O367" s="1179" t="s">
        <v>2706</v>
      </c>
      <c r="P367" s="726"/>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5" customFormat="1" ht="12" customHeight="1">
      <c r="B368" s="634"/>
      <c r="J368" s="727" t="s">
        <v>2030</v>
      </c>
      <c r="K368" s="728"/>
      <c r="L368" s="725"/>
      <c r="M368" s="726"/>
      <c r="N368" s="1179" t="s">
        <v>1213</v>
      </c>
      <c r="O368" s="1179" t="s">
        <v>1283</v>
      </c>
      <c r="P368" s="726"/>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5" customFormat="1" ht="12" customHeight="1">
      <c r="B369" s="634"/>
      <c r="J369" s="727" t="s">
        <v>2032</v>
      </c>
      <c r="K369" s="728"/>
      <c r="L369" s="725"/>
      <c r="M369" s="726"/>
      <c r="N369" s="1179" t="s">
        <v>2687</v>
      </c>
      <c r="O369" s="1179" t="s">
        <v>207</v>
      </c>
      <c r="P369" s="726"/>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5" customFormat="1" ht="12" customHeight="1">
      <c r="B370" s="634"/>
      <c r="J370" s="727" t="s">
        <v>2067</v>
      </c>
      <c r="K370" s="728"/>
      <c r="L370" s="725"/>
      <c r="M370" s="726"/>
      <c r="N370" s="1179" t="s">
        <v>479</v>
      </c>
      <c r="O370" s="1179" t="s">
        <v>1166</v>
      </c>
      <c r="P370" s="726"/>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5" customFormat="1" ht="12" customHeight="1">
      <c r="B371" s="634"/>
      <c r="J371" s="727" t="s">
        <v>2069</v>
      </c>
      <c r="K371" s="728"/>
      <c r="L371" s="725"/>
      <c r="M371" s="726"/>
      <c r="N371" s="703" t="s">
        <v>196</v>
      </c>
      <c r="O371" s="703" t="s">
        <v>710</v>
      </c>
      <c r="P371" s="203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5" customFormat="1" ht="12" customHeight="1">
      <c r="B372" s="634"/>
      <c r="J372" s="727" t="s">
        <v>2070</v>
      </c>
      <c r="K372" s="728"/>
      <c r="L372" s="725"/>
      <c r="M372" s="726"/>
      <c r="N372" s="703" t="s">
        <v>317</v>
      </c>
      <c r="O372" s="703" t="s">
        <v>1418</v>
      </c>
      <c r="P372" s="203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5" customFormat="1" ht="12" customHeight="1">
      <c r="B373" s="634"/>
      <c r="J373" s="727" t="s">
        <v>2072</v>
      </c>
      <c r="K373" s="728"/>
      <c r="L373" s="725"/>
      <c r="M373" s="726"/>
      <c r="N373" s="703" t="s">
        <v>1953</v>
      </c>
      <c r="O373" s="703" t="s">
        <v>933</v>
      </c>
      <c r="P373" s="203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5" customFormat="1" ht="12" customHeight="1">
      <c r="B374" s="634"/>
      <c r="J374" s="727" t="s">
        <v>2074</v>
      </c>
      <c r="K374" s="728"/>
      <c r="L374" s="725"/>
      <c r="M374" s="726"/>
      <c r="N374" s="1179" t="s">
        <v>1955</v>
      </c>
      <c r="O374" s="1179" t="s">
        <v>1176</v>
      </c>
      <c r="P374" s="726"/>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5" customFormat="1" ht="12" customHeight="1">
      <c r="B375" s="634"/>
      <c r="J375" s="727" t="s">
        <v>438</v>
      </c>
      <c r="K375" s="728"/>
      <c r="L375" s="725"/>
      <c r="M375" s="726"/>
      <c r="N375" s="1179" t="s">
        <v>2026</v>
      </c>
      <c r="O375" s="1179" t="s">
        <v>2659</v>
      </c>
      <c r="P375" s="726"/>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5" customFormat="1" ht="12" customHeight="1">
      <c r="B376" s="634"/>
      <c r="J376" s="727" t="s">
        <v>136</v>
      </c>
      <c r="K376" s="728"/>
      <c r="L376" s="725"/>
      <c r="M376" s="726"/>
      <c r="N376" s="703" t="s">
        <v>2029</v>
      </c>
      <c r="O376" s="703" t="s">
        <v>708</v>
      </c>
      <c r="P376" s="203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5" customFormat="1" ht="12" customHeight="1">
      <c r="B377" s="634"/>
      <c r="J377" s="727" t="s">
        <v>1793</v>
      </c>
      <c r="K377" s="728"/>
      <c r="L377" s="725"/>
      <c r="M377" s="726"/>
      <c r="N377" s="1179" t="s">
        <v>2031</v>
      </c>
      <c r="O377" s="1179" t="s">
        <v>1400</v>
      </c>
      <c r="P377" s="726"/>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5" customFormat="1" ht="12" customHeight="1">
      <c r="B378" s="634"/>
      <c r="J378" s="727" t="s">
        <v>1871</v>
      </c>
      <c r="K378" s="728"/>
      <c r="L378" s="725"/>
      <c r="M378" s="726"/>
      <c r="N378" s="1179" t="s">
        <v>3497</v>
      </c>
      <c r="O378" s="1179" t="s">
        <v>207</v>
      </c>
      <c r="P378" s="726"/>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5" customFormat="1" ht="12" customHeight="1">
      <c r="B379" s="634"/>
      <c r="J379" s="727" t="s">
        <v>2428</v>
      </c>
      <c r="K379" s="728"/>
      <c r="L379" s="725"/>
      <c r="M379" s="726"/>
      <c r="N379" s="1179" t="s">
        <v>2033</v>
      </c>
      <c r="O379" s="1179" t="s">
        <v>1403</v>
      </c>
      <c r="P379" s="726"/>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5" customFormat="1" ht="12" customHeight="1">
      <c r="B380" s="634"/>
      <c r="J380" s="727" t="s">
        <v>2430</v>
      </c>
      <c r="K380" s="728"/>
      <c r="L380" s="725"/>
      <c r="M380" s="726"/>
      <c r="N380" s="1179" t="s">
        <v>2068</v>
      </c>
      <c r="O380" s="1179" t="s">
        <v>336</v>
      </c>
      <c r="P380" s="726"/>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5" customFormat="1" ht="12" customHeight="1">
      <c r="B381" s="634"/>
      <c r="J381" s="727" t="s">
        <v>1052</v>
      </c>
      <c r="K381" s="728"/>
      <c r="L381" s="725"/>
      <c r="M381" s="726"/>
      <c r="N381" s="1179" t="s">
        <v>3498</v>
      </c>
      <c r="O381" s="1179" t="s">
        <v>701</v>
      </c>
      <c r="P381" s="726"/>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5" customFormat="1" ht="12" customHeight="1">
      <c r="B382" s="634"/>
      <c r="J382" s="727" t="s">
        <v>723</v>
      </c>
      <c r="K382" s="728"/>
      <c r="L382" s="725"/>
      <c r="M382" s="726"/>
      <c r="N382" s="1179" t="s">
        <v>2071</v>
      </c>
      <c r="O382" s="1179" t="s">
        <v>2770</v>
      </c>
      <c r="P382" s="726"/>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5" customFormat="1" ht="12" customHeight="1">
      <c r="B383" s="634"/>
      <c r="J383" s="727" t="s">
        <v>605</v>
      </c>
      <c r="K383" s="728"/>
      <c r="L383" s="725"/>
      <c r="M383" s="726"/>
      <c r="N383" s="1179" t="s">
        <v>2073</v>
      </c>
      <c r="O383" s="1179" t="s">
        <v>1400</v>
      </c>
      <c r="P383" s="726"/>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5" customFormat="1" ht="12" customHeight="1">
      <c r="B384" s="634"/>
      <c r="J384" s="727" t="s">
        <v>719</v>
      </c>
      <c r="K384" s="728"/>
      <c r="L384" s="725"/>
      <c r="M384" s="726"/>
      <c r="N384" s="1179" t="s">
        <v>2394</v>
      </c>
      <c r="O384" s="1179" t="s">
        <v>2703</v>
      </c>
      <c r="P384" s="726"/>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5" customFormat="1" ht="12" customHeight="1">
      <c r="B385" s="634"/>
      <c r="J385" s="727" t="s">
        <v>2548</v>
      </c>
      <c r="K385" s="728"/>
      <c r="L385" s="725"/>
      <c r="M385" s="726"/>
      <c r="N385" s="1179" t="s">
        <v>2757</v>
      </c>
      <c r="O385" s="1179" t="s">
        <v>2314</v>
      </c>
      <c r="P385" s="726"/>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5" customFormat="1" ht="12" customHeight="1">
      <c r="B386" s="634"/>
      <c r="J386" s="727" t="s">
        <v>230</v>
      </c>
      <c r="K386" s="728"/>
      <c r="L386" s="725"/>
      <c r="M386" s="726"/>
      <c r="N386" s="1179" t="s">
        <v>2758</v>
      </c>
      <c r="O386" s="1179" t="s">
        <v>2656</v>
      </c>
      <c r="P386" s="726"/>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5" customFormat="1" ht="12" customHeight="1">
      <c r="B387" s="634"/>
      <c r="J387" s="727" t="s">
        <v>833</v>
      </c>
      <c r="K387" s="728"/>
      <c r="L387" s="725"/>
      <c r="M387" s="726"/>
      <c r="N387" s="1179" t="s">
        <v>439</v>
      </c>
      <c r="O387" s="1179" t="s">
        <v>1283</v>
      </c>
      <c r="P387" s="726"/>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5" customFormat="1" ht="12" customHeight="1">
      <c r="B388" s="634"/>
      <c r="J388" s="727" t="s">
        <v>834</v>
      </c>
      <c r="K388" s="728"/>
      <c r="L388" s="725"/>
      <c r="M388" s="726"/>
      <c r="N388" s="703" t="s">
        <v>238</v>
      </c>
      <c r="O388" s="703" t="s">
        <v>713</v>
      </c>
      <c r="P388" s="2032"/>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5" customFormat="1" ht="12" customHeight="1">
      <c r="B389" s="634"/>
      <c r="J389" s="727" t="s">
        <v>242</v>
      </c>
      <c r="K389" s="728"/>
      <c r="L389" s="725"/>
      <c r="M389" s="726"/>
      <c r="N389" s="1179" t="s">
        <v>2759</v>
      </c>
      <c r="O389" s="1179" t="s">
        <v>2144</v>
      </c>
      <c r="P389" s="726"/>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5" customFormat="1" ht="12" customHeight="1">
      <c r="B390" s="634"/>
      <c r="J390" s="727" t="s">
        <v>244</v>
      </c>
      <c r="K390" s="728"/>
      <c r="L390" s="725"/>
      <c r="M390" s="726"/>
      <c r="N390" s="1179" t="s">
        <v>1794</v>
      </c>
      <c r="O390" s="1179" t="s">
        <v>2654</v>
      </c>
      <c r="P390" s="726"/>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5" customFormat="1" ht="12" customHeight="1">
      <c r="B391" s="634"/>
      <c r="J391" s="727" t="s">
        <v>246</v>
      </c>
      <c r="K391" s="728"/>
      <c r="L391" s="725"/>
      <c r="M391" s="726"/>
      <c r="N391" s="1179" t="s">
        <v>2429</v>
      </c>
      <c r="O391" s="1179" t="s">
        <v>703</v>
      </c>
      <c r="P391" s="726"/>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5" customFormat="1" ht="12" customHeight="1">
      <c r="B392" s="634"/>
      <c r="J392" s="727" t="s">
        <v>839</v>
      </c>
      <c r="K392" s="728"/>
      <c r="L392" s="725"/>
      <c r="M392" s="726"/>
      <c r="N392" s="1179" t="s">
        <v>2431</v>
      </c>
      <c r="O392" s="1179" t="s">
        <v>1401</v>
      </c>
      <c r="P392" s="726"/>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5" customFormat="1" ht="12" customHeight="1">
      <c r="B393" s="634"/>
      <c r="J393" s="727" t="s">
        <v>840</v>
      </c>
      <c r="K393" s="728"/>
      <c r="L393" s="725"/>
      <c r="M393" s="726"/>
      <c r="N393" s="1179" t="s">
        <v>1053</v>
      </c>
      <c r="O393" s="1179" t="s">
        <v>1552</v>
      </c>
      <c r="P393" s="726"/>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5" customFormat="1" ht="12" customHeight="1">
      <c r="B394" s="634"/>
      <c r="J394" s="727" t="s">
        <v>842</v>
      </c>
      <c r="K394" s="728"/>
      <c r="L394" s="725"/>
      <c r="M394" s="726"/>
      <c r="N394" s="1179" t="s">
        <v>606</v>
      </c>
      <c r="O394" s="1179" t="s">
        <v>1417</v>
      </c>
      <c r="P394" s="726"/>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5" customFormat="1" ht="12" customHeight="1">
      <c r="B395" s="634"/>
      <c r="J395" s="727" t="s">
        <v>1662</v>
      </c>
      <c r="K395" s="728"/>
      <c r="L395" s="725"/>
      <c r="M395" s="726"/>
      <c r="N395" s="1179" t="s">
        <v>720</v>
      </c>
      <c r="O395" s="1179" t="s">
        <v>329</v>
      </c>
      <c r="P395" s="726"/>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5" customFormat="1" ht="12" customHeight="1">
      <c r="B396" s="634"/>
      <c r="J396" s="727" t="s">
        <v>1297</v>
      </c>
      <c r="K396" s="728"/>
      <c r="L396" s="725"/>
      <c r="M396" s="726"/>
      <c r="N396" s="1179" t="s">
        <v>2549</v>
      </c>
      <c r="O396" s="1179" t="s">
        <v>164</v>
      </c>
      <c r="P396" s="726"/>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5" customFormat="1" ht="12" customHeight="1">
      <c r="B397" s="634"/>
      <c r="J397" s="727" t="s">
        <v>1299</v>
      </c>
      <c r="K397" s="728"/>
      <c r="L397" s="725"/>
      <c r="M397" s="726"/>
      <c r="N397" s="1179" t="s">
        <v>231</v>
      </c>
      <c r="O397" s="1179" t="s">
        <v>2653</v>
      </c>
      <c r="P397" s="726"/>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5" customFormat="1" ht="12" customHeight="1">
      <c r="B398" s="634"/>
      <c r="J398" s="727" t="s">
        <v>954</v>
      </c>
      <c r="K398" s="728"/>
      <c r="L398" s="725"/>
      <c r="M398" s="726"/>
      <c r="N398" s="1179" t="s">
        <v>705</v>
      </c>
      <c r="O398" s="1179" t="s">
        <v>1746</v>
      </c>
      <c r="P398" s="2033"/>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5" customFormat="1" ht="12" customHeight="1">
      <c r="B399" s="634"/>
      <c r="J399" s="727" t="s">
        <v>2631</v>
      </c>
      <c r="K399" s="728"/>
      <c r="L399" s="725"/>
      <c r="M399" s="726"/>
      <c r="N399" s="1179" t="s">
        <v>2519</v>
      </c>
      <c r="O399" s="1179" t="s">
        <v>2651</v>
      </c>
      <c r="P399" s="726"/>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5" customFormat="1" ht="12" customHeight="1">
      <c r="B400" s="634"/>
      <c r="J400" s="727" t="s">
        <v>957</v>
      </c>
      <c r="K400" s="728"/>
      <c r="L400" s="725"/>
      <c r="M400" s="726"/>
      <c r="N400" s="1179" t="s">
        <v>243</v>
      </c>
      <c r="O400" s="1179" t="s">
        <v>1626</v>
      </c>
      <c r="P400" s="726"/>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5" customFormat="1" ht="12" customHeight="1">
      <c r="B401" s="634"/>
      <c r="J401" s="727" t="s">
        <v>959</v>
      </c>
      <c r="K401" s="728"/>
      <c r="L401" s="725"/>
      <c r="M401" s="726"/>
      <c r="N401" s="1179" t="s">
        <v>1110</v>
      </c>
      <c r="O401" s="1179" t="s">
        <v>1552</v>
      </c>
      <c r="P401" s="726"/>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5" customFormat="1" ht="12" customHeight="1">
      <c r="B402" s="634"/>
      <c r="J402" s="727" t="s">
        <v>961</v>
      </c>
      <c r="K402" s="728"/>
      <c r="L402" s="725"/>
      <c r="M402" s="726"/>
      <c r="N402" s="1179" t="s">
        <v>245</v>
      </c>
      <c r="O402" s="1179" t="s">
        <v>1156</v>
      </c>
      <c r="P402" s="726"/>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5" customFormat="1" ht="12" customHeight="1">
      <c r="B403" s="634"/>
      <c r="J403" s="727" t="s">
        <v>963</v>
      </c>
      <c r="K403" s="728"/>
      <c r="L403" s="725"/>
      <c r="M403" s="726"/>
      <c r="N403" s="1179" t="s">
        <v>706</v>
      </c>
      <c r="O403" s="1179" t="s">
        <v>336</v>
      </c>
      <c r="P403" s="726"/>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5" customFormat="1" ht="12" customHeight="1">
      <c r="B404" s="634"/>
      <c r="J404" s="727" t="s">
        <v>965</v>
      </c>
      <c r="K404" s="728"/>
      <c r="L404" s="725"/>
      <c r="M404" s="726"/>
      <c r="N404" s="1179" t="s">
        <v>841</v>
      </c>
      <c r="O404" s="1179" t="s">
        <v>706</v>
      </c>
      <c r="P404" s="726"/>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5" customFormat="1" ht="12" customHeight="1">
      <c r="B405" s="634"/>
      <c r="J405" s="727" t="s">
        <v>725</v>
      </c>
      <c r="K405" s="728"/>
      <c r="L405" s="725"/>
      <c r="M405" s="726"/>
      <c r="N405" s="1179" t="s">
        <v>1296</v>
      </c>
      <c r="O405" s="1179" t="s">
        <v>2659</v>
      </c>
      <c r="P405" s="726"/>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5" customFormat="1" ht="12" customHeight="1">
      <c r="B406" s="634"/>
      <c r="J406" s="727" t="s">
        <v>57</v>
      </c>
      <c r="K406" s="728"/>
      <c r="L406" s="725"/>
      <c r="M406" s="726"/>
      <c r="N406" s="1179" t="s">
        <v>1298</v>
      </c>
      <c r="O406" s="1179" t="s">
        <v>329</v>
      </c>
      <c r="P406" s="726"/>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5" customFormat="1" ht="12" customHeight="1">
      <c r="B407" s="634"/>
      <c r="J407" s="727" t="s">
        <v>1018</v>
      </c>
      <c r="K407" s="728"/>
      <c r="L407" s="725"/>
      <c r="M407" s="726"/>
      <c r="N407" s="1179" t="s">
        <v>1300</v>
      </c>
      <c r="O407" s="1179" t="s">
        <v>166</v>
      </c>
      <c r="P407" s="726"/>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5" customFormat="1" ht="12" customHeight="1">
      <c r="B408" s="634"/>
      <c r="J408" s="727" t="s">
        <v>1864</v>
      </c>
      <c r="K408" s="728"/>
      <c r="L408" s="725"/>
      <c r="M408" s="726"/>
      <c r="N408" s="1179" t="s">
        <v>955</v>
      </c>
      <c r="O408" s="1179" t="s">
        <v>2392</v>
      </c>
      <c r="P408" s="726"/>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5" customFormat="1" ht="12" customHeight="1">
      <c r="B409" s="634"/>
      <c r="J409" s="727" t="s">
        <v>1058</v>
      </c>
      <c r="K409" s="728"/>
      <c r="L409" s="725"/>
      <c r="M409" s="726"/>
      <c r="N409" s="1179" t="s">
        <v>2632</v>
      </c>
      <c r="O409" s="1179" t="s">
        <v>2012</v>
      </c>
      <c r="P409" s="726"/>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5" customFormat="1" ht="12" customHeight="1">
      <c r="B410" s="634"/>
      <c r="J410" s="727" t="s">
        <v>1059</v>
      </c>
      <c r="K410" s="728"/>
      <c r="L410" s="725"/>
      <c r="M410" s="726"/>
      <c r="N410" s="1179" t="s">
        <v>958</v>
      </c>
      <c r="O410" s="1179" t="s">
        <v>2321</v>
      </c>
      <c r="P410" s="726"/>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5" customFormat="1" ht="12" customHeight="1">
      <c r="B411" s="634"/>
      <c r="J411" s="727" t="s">
        <v>1061</v>
      </c>
      <c r="K411" s="728"/>
      <c r="L411" s="725"/>
      <c r="M411" s="726"/>
      <c r="N411" s="703" t="s">
        <v>960</v>
      </c>
      <c r="O411" s="703" t="s">
        <v>1168</v>
      </c>
      <c r="P411" s="726"/>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5" customFormat="1" ht="12" customHeight="1">
      <c r="B412" s="634"/>
      <c r="J412" s="727" t="s">
        <v>1040</v>
      </c>
      <c r="K412" s="728"/>
      <c r="L412" s="725"/>
      <c r="M412" s="726"/>
      <c r="N412" s="1179" t="s">
        <v>962</v>
      </c>
      <c r="O412" s="1179" t="s">
        <v>710</v>
      </c>
      <c r="P412" s="2032"/>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5" customFormat="1" ht="12" customHeight="1">
      <c r="B413" s="634"/>
      <c r="J413" s="727" t="s">
        <v>1042</v>
      </c>
      <c r="K413" s="728"/>
      <c r="L413" s="725"/>
      <c r="M413" s="726"/>
      <c r="N413" s="1179" t="s">
        <v>964</v>
      </c>
      <c r="O413" s="1179" t="s">
        <v>329</v>
      </c>
      <c r="P413" s="726"/>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5" customFormat="1" ht="12" customHeight="1">
      <c r="B414" s="634"/>
      <c r="J414" s="727" t="s">
        <v>1044</v>
      </c>
      <c r="K414" s="728"/>
      <c r="L414" s="725"/>
      <c r="M414" s="726"/>
      <c r="N414" s="1179" t="s">
        <v>966</v>
      </c>
      <c r="O414" s="1179" t="s">
        <v>1415</v>
      </c>
      <c r="P414" s="726"/>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5" customFormat="1" ht="12" customHeight="1">
      <c r="B415" s="634"/>
      <c r="J415" s="727" t="s">
        <v>1046</v>
      </c>
      <c r="K415" s="728"/>
      <c r="L415" s="725"/>
      <c r="M415" s="726"/>
      <c r="N415" s="703" t="s">
        <v>726</v>
      </c>
      <c r="O415" s="703" t="s">
        <v>2325</v>
      </c>
      <c r="P415" s="726"/>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5" customFormat="1" ht="12" customHeight="1">
      <c r="B416" s="634"/>
      <c r="J416" s="727" t="s">
        <v>609</v>
      </c>
      <c r="K416" s="728"/>
      <c r="L416" s="725"/>
      <c r="M416" s="726"/>
      <c r="N416" s="1179" t="s">
        <v>58</v>
      </c>
      <c r="O416" s="1179" t="s">
        <v>115</v>
      </c>
      <c r="P416" s="2032"/>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5" customFormat="1" ht="12" customHeight="1">
      <c r="B417" s="634"/>
      <c r="J417" s="727" t="s">
        <v>390</v>
      </c>
      <c r="K417" s="728"/>
      <c r="L417" s="725"/>
      <c r="M417" s="726"/>
      <c r="N417" s="1179" t="s">
        <v>1019</v>
      </c>
      <c r="O417" s="1179" t="s">
        <v>2145</v>
      </c>
      <c r="P417" s="726"/>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5" customFormat="1" ht="12" customHeight="1">
      <c r="B418" s="634"/>
      <c r="J418" s="727" t="s">
        <v>392</v>
      </c>
      <c r="K418" s="728"/>
      <c r="L418" s="725"/>
      <c r="M418" s="726"/>
      <c r="N418" s="1179" t="s">
        <v>713</v>
      </c>
      <c r="O418" s="1179" t="s">
        <v>2560</v>
      </c>
      <c r="P418" s="726"/>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5" customFormat="1" ht="12" customHeight="1">
      <c r="B419" s="634"/>
      <c r="J419" s="727" t="s">
        <v>394</v>
      </c>
      <c r="K419" s="728"/>
      <c r="L419" s="725"/>
      <c r="M419" s="726"/>
      <c r="N419" s="1179" t="s">
        <v>1060</v>
      </c>
      <c r="O419" s="1179" t="s">
        <v>1287</v>
      </c>
      <c r="P419" s="726"/>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5" customFormat="1" ht="12" customHeight="1">
      <c r="B420" s="634"/>
      <c r="J420" s="727" t="s">
        <v>637</v>
      </c>
      <c r="K420" s="728"/>
      <c r="L420" s="725"/>
      <c r="M420" s="726"/>
      <c r="N420" s="1179" t="s">
        <v>1062</v>
      </c>
      <c r="O420" s="1179" t="s">
        <v>2706</v>
      </c>
      <c r="P420" s="726"/>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5" customFormat="1" ht="12" customHeight="1">
      <c r="B421" s="634"/>
      <c r="J421" s="727" t="s">
        <v>1508</v>
      </c>
      <c r="K421" s="728"/>
      <c r="L421" s="725"/>
      <c r="M421" s="726"/>
      <c r="N421" s="703" t="s">
        <v>1041</v>
      </c>
      <c r="O421" s="703" t="s">
        <v>449</v>
      </c>
      <c r="P421" s="726"/>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5" customFormat="1" ht="12" customHeight="1">
      <c r="B422" s="634"/>
      <c r="J422" s="727" t="s">
        <v>1702</v>
      </c>
      <c r="K422" s="728"/>
      <c r="L422" s="725"/>
      <c r="M422" s="726"/>
      <c r="N422" s="1179" t="s">
        <v>1043</v>
      </c>
      <c r="O422" s="1179" t="s">
        <v>124</v>
      </c>
      <c r="P422" s="2032"/>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5" customFormat="1" ht="12" customHeight="1">
      <c r="B423" s="634"/>
      <c r="J423" s="727" t="s">
        <v>1068</v>
      </c>
      <c r="K423" s="728"/>
      <c r="L423" s="725"/>
      <c r="M423" s="726"/>
      <c r="N423" s="1179" t="s">
        <v>1045</v>
      </c>
      <c r="O423" s="1179" t="s">
        <v>717</v>
      </c>
      <c r="P423" s="726"/>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5" customFormat="1" ht="12" customHeight="1">
      <c r="B424" s="634"/>
      <c r="J424" s="727" t="s">
        <v>1070</v>
      </c>
      <c r="K424" s="728"/>
      <c r="L424" s="725"/>
      <c r="M424" s="726"/>
      <c r="N424" s="1179" t="s">
        <v>1047</v>
      </c>
      <c r="O424" s="1179" t="s">
        <v>2012</v>
      </c>
      <c r="P424" s="726"/>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5" customFormat="1" ht="12" customHeight="1">
      <c r="B425" s="634"/>
      <c r="J425" s="727" t="s">
        <v>1072</v>
      </c>
      <c r="K425" s="728"/>
      <c r="L425" s="725"/>
      <c r="M425" s="726"/>
      <c r="N425" s="1179" t="s">
        <v>1111</v>
      </c>
      <c r="O425" s="1179" t="s">
        <v>669</v>
      </c>
      <c r="P425" s="726"/>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5" customFormat="1" ht="12" customHeight="1">
      <c r="B426" s="634"/>
      <c r="J426" s="727" t="s">
        <v>1795</v>
      </c>
      <c r="K426" s="728"/>
      <c r="L426" s="725"/>
      <c r="M426" s="726"/>
      <c r="N426" s="1179" t="s">
        <v>610</v>
      </c>
      <c r="O426" s="1179" t="s">
        <v>2314</v>
      </c>
      <c r="P426" s="726"/>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5" customFormat="1" ht="12" customHeight="1">
      <c r="B427" s="634"/>
      <c r="J427" s="727" t="s">
        <v>1796</v>
      </c>
      <c r="K427" s="728"/>
      <c r="L427" s="725"/>
      <c r="M427" s="726"/>
      <c r="N427" s="1179" t="s">
        <v>391</v>
      </c>
      <c r="O427" s="1179" t="s">
        <v>2703</v>
      </c>
      <c r="P427" s="726"/>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5" customFormat="1" ht="12" customHeight="1">
      <c r="B428" s="634"/>
      <c r="J428" s="727" t="s">
        <v>1797</v>
      </c>
      <c r="K428" s="728"/>
      <c r="L428" s="725"/>
      <c r="M428" s="726"/>
      <c r="N428" s="1179" t="s">
        <v>393</v>
      </c>
      <c r="O428" s="1179" t="s">
        <v>1552</v>
      </c>
      <c r="P428" s="726"/>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5" customFormat="1" ht="12" customHeight="1">
      <c r="B429" s="634"/>
      <c r="J429" s="727" t="s">
        <v>917</v>
      </c>
      <c r="K429" s="728"/>
      <c r="L429" s="725"/>
      <c r="M429" s="726"/>
      <c r="N429" s="1179" t="s">
        <v>1112</v>
      </c>
      <c r="O429" s="1179" t="s">
        <v>2046</v>
      </c>
      <c r="P429" s="726"/>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5" customFormat="1" ht="12" customHeight="1">
      <c r="B430" s="634"/>
      <c r="J430" s="727" t="s">
        <v>919</v>
      </c>
      <c r="K430" s="728"/>
      <c r="L430" s="725"/>
      <c r="M430" s="726"/>
      <c r="N430" s="1179" t="s">
        <v>395</v>
      </c>
      <c r="O430" s="1179" t="s">
        <v>932</v>
      </c>
      <c r="P430" s="726"/>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5" customFormat="1" ht="12" customHeight="1">
      <c r="B431" s="634"/>
      <c r="J431" s="727" t="s">
        <v>921</v>
      </c>
      <c r="K431" s="728"/>
      <c r="L431" s="725"/>
      <c r="M431" s="726"/>
      <c r="N431" s="1179" t="s">
        <v>1509</v>
      </c>
      <c r="O431" s="1179" t="s">
        <v>2394</v>
      </c>
      <c r="P431" s="726"/>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5" customFormat="1" ht="12" customHeight="1">
      <c r="B432" s="634"/>
      <c r="J432" s="727" t="s">
        <v>453</v>
      </c>
      <c r="K432" s="728"/>
      <c r="L432" s="725"/>
      <c r="M432" s="726"/>
      <c r="N432" s="1179" t="s">
        <v>1703</v>
      </c>
      <c r="O432" s="1179" t="s">
        <v>182</v>
      </c>
      <c r="P432" s="726"/>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5" customFormat="1" ht="12" customHeight="1">
      <c r="B433" s="634"/>
      <c r="J433" s="727" t="s">
        <v>1843</v>
      </c>
      <c r="K433" s="728"/>
      <c r="L433" s="725"/>
      <c r="M433" s="726"/>
      <c r="N433" s="1179" t="s">
        <v>1069</v>
      </c>
      <c r="O433" s="1179" t="s">
        <v>333</v>
      </c>
      <c r="P433" s="726"/>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5" customFormat="1" ht="12" customHeight="1">
      <c r="B434" s="634"/>
      <c r="J434" s="727" t="s">
        <v>2437</v>
      </c>
      <c r="K434" s="728"/>
      <c r="L434" s="725"/>
      <c r="M434" s="726"/>
      <c r="N434" s="703" t="s">
        <v>1071</v>
      </c>
      <c r="O434" s="703" t="s">
        <v>337</v>
      </c>
      <c r="P434" s="726"/>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5" customFormat="1" ht="12" customHeight="1">
      <c r="B435" s="634"/>
      <c r="J435" s="727" t="s">
        <v>2140</v>
      </c>
      <c r="K435" s="728"/>
      <c r="L435" s="725"/>
      <c r="M435" s="726"/>
      <c r="N435" s="1179" t="s">
        <v>1113</v>
      </c>
      <c r="O435" s="1179" t="s">
        <v>2142</v>
      </c>
      <c r="P435" s="2032"/>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5" customFormat="1" ht="12" customHeight="1">
      <c r="B436" s="634"/>
      <c r="J436" s="727" t="s">
        <v>1094</v>
      </c>
      <c r="K436" s="728"/>
      <c r="L436" s="725"/>
      <c r="M436" s="726"/>
      <c r="N436" s="1179" t="s">
        <v>1073</v>
      </c>
      <c r="O436" s="1179" t="s">
        <v>1283</v>
      </c>
      <c r="P436" s="726"/>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5" customFormat="1" ht="12" customHeight="1">
      <c r="B437" s="634"/>
      <c r="J437" s="727" t="s">
        <v>430</v>
      </c>
      <c r="K437" s="728"/>
      <c r="L437" s="725"/>
      <c r="M437" s="726"/>
      <c r="N437" s="1179" t="s">
        <v>332</v>
      </c>
      <c r="O437" s="1179" t="s">
        <v>2706</v>
      </c>
      <c r="P437" s="726"/>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5" customFormat="1" ht="12" customHeight="1">
      <c r="B438" s="634"/>
      <c r="J438" s="727" t="s">
        <v>432</v>
      </c>
      <c r="K438" s="728"/>
      <c r="L438" s="725"/>
      <c r="M438" s="726"/>
      <c r="N438" s="1179" t="s">
        <v>3499</v>
      </c>
      <c r="O438" s="1179" t="s">
        <v>1907</v>
      </c>
      <c r="P438" s="726"/>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5" customFormat="1" ht="12" customHeight="1">
      <c r="B439" s="634"/>
      <c r="J439" s="727" t="s">
        <v>433</v>
      </c>
      <c r="K439" s="728"/>
      <c r="L439" s="725"/>
      <c r="M439" s="726"/>
      <c r="N439" s="1179" t="s">
        <v>1798</v>
      </c>
      <c r="O439" s="1179" t="s">
        <v>2703</v>
      </c>
      <c r="P439" s="726"/>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5" customFormat="1" ht="12" customHeight="1">
      <c r="B440" s="634"/>
      <c r="J440" s="727" t="s">
        <v>2078</v>
      </c>
      <c r="K440" s="728"/>
      <c r="L440" s="725"/>
      <c r="M440" s="726"/>
      <c r="N440" s="1179" t="s">
        <v>918</v>
      </c>
      <c r="O440" s="1179" t="s">
        <v>109</v>
      </c>
      <c r="P440" s="726"/>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5" customFormat="1" ht="12" customHeight="1">
      <c r="B441" s="634"/>
      <c r="J441" s="727" t="s">
        <v>523</v>
      </c>
      <c r="K441" s="728"/>
      <c r="L441" s="725"/>
      <c r="M441" s="726"/>
      <c r="N441" s="1179" t="s">
        <v>920</v>
      </c>
      <c r="O441" s="1179" t="s">
        <v>334</v>
      </c>
      <c r="P441" s="726"/>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5" customFormat="1" ht="12" customHeight="1">
      <c r="B442" s="634"/>
      <c r="J442" s="727" t="s">
        <v>2302</v>
      </c>
      <c r="K442" s="728"/>
      <c r="L442" s="725"/>
      <c r="M442" s="726"/>
      <c r="N442" s="1179" t="s">
        <v>1863</v>
      </c>
      <c r="O442" s="1179" t="s">
        <v>1164</v>
      </c>
      <c r="P442" s="726"/>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5" customFormat="1" ht="12" customHeight="1">
      <c r="B443" s="634"/>
      <c r="J443" s="727" t="s">
        <v>1758</v>
      </c>
      <c r="K443" s="728"/>
      <c r="L443" s="725"/>
      <c r="M443" s="726"/>
      <c r="N443" s="1179" t="s">
        <v>672</v>
      </c>
      <c r="O443" s="1179" t="s">
        <v>344</v>
      </c>
      <c r="P443" s="726"/>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5" customFormat="1" ht="12" customHeight="1">
      <c r="B444" s="634"/>
      <c r="J444" s="727" t="s">
        <v>1760</v>
      </c>
      <c r="K444" s="728"/>
      <c r="L444" s="725"/>
      <c r="M444" s="726"/>
      <c r="N444" s="1179" t="s">
        <v>1844</v>
      </c>
      <c r="O444" s="1179" t="s">
        <v>117</v>
      </c>
      <c r="P444" s="726"/>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5" customFormat="1" ht="12" customHeight="1">
      <c r="B445" s="634"/>
      <c r="J445" s="727" t="s">
        <v>324</v>
      </c>
      <c r="K445" s="728"/>
      <c r="L445" s="725"/>
      <c r="M445" s="726"/>
      <c r="N445" s="1179" t="s">
        <v>2438</v>
      </c>
      <c r="O445" s="1179" t="s">
        <v>926</v>
      </c>
      <c r="P445" s="726"/>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5" customFormat="1" ht="12" customHeight="1">
      <c r="B446" s="634"/>
      <c r="J446" s="727" t="s">
        <v>326</v>
      </c>
      <c r="K446" s="728"/>
      <c r="L446" s="725"/>
      <c r="M446" s="726"/>
      <c r="N446" s="1179" t="s">
        <v>3500</v>
      </c>
      <c r="O446" s="1179" t="s">
        <v>166</v>
      </c>
      <c r="P446" s="726"/>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5" customFormat="1" ht="12" customHeight="1">
      <c r="B447" s="634"/>
      <c r="J447" s="727" t="s">
        <v>998</v>
      </c>
      <c r="K447" s="728"/>
      <c r="L447" s="725"/>
      <c r="M447" s="726"/>
      <c r="N447" s="1179" t="s">
        <v>2141</v>
      </c>
      <c r="O447" s="1179" t="s">
        <v>1174</v>
      </c>
      <c r="P447" s="726"/>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5" customFormat="1" ht="12" customHeight="1">
      <c r="B448" s="634"/>
      <c r="J448" s="727" t="s">
        <v>2472</v>
      </c>
      <c r="K448" s="728"/>
      <c r="L448" s="725"/>
      <c r="M448" s="726"/>
      <c r="N448" s="703" t="s">
        <v>3501</v>
      </c>
      <c r="O448" s="703" t="s">
        <v>337</v>
      </c>
      <c r="P448" s="726"/>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5" customFormat="1" ht="12" customHeight="1">
      <c r="B449" s="634"/>
      <c r="J449" s="727" t="s">
        <v>2473</v>
      </c>
      <c r="K449" s="728"/>
      <c r="L449" s="725"/>
      <c r="M449" s="726"/>
      <c r="N449" s="1179" t="s">
        <v>1095</v>
      </c>
      <c r="O449" s="1179" t="s">
        <v>2046</v>
      </c>
      <c r="P449" s="2032"/>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5" customFormat="1" ht="12" customHeight="1">
      <c r="B450" s="634"/>
      <c r="J450" s="727" t="s">
        <v>2454</v>
      </c>
      <c r="K450" s="728"/>
      <c r="L450" s="725"/>
      <c r="M450" s="726"/>
      <c r="N450" s="703" t="s">
        <v>431</v>
      </c>
      <c r="O450" s="703" t="s">
        <v>191</v>
      </c>
      <c r="P450" s="726"/>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5" customFormat="1" ht="12" customHeight="1">
      <c r="B451" s="634"/>
      <c r="J451" s="727" t="s">
        <v>2455</v>
      </c>
      <c r="K451" s="728"/>
      <c r="L451" s="725"/>
      <c r="M451" s="726"/>
      <c r="N451" s="1179" t="s">
        <v>1114</v>
      </c>
      <c r="O451" s="1179" t="s">
        <v>1161</v>
      </c>
      <c r="P451" s="2032"/>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5" customFormat="1" ht="12" customHeight="1">
      <c r="B452" s="634"/>
      <c r="J452" s="727" t="s">
        <v>2457</v>
      </c>
      <c r="K452" s="728"/>
      <c r="L452" s="725"/>
      <c r="M452" s="726"/>
      <c r="N452" s="703" t="s">
        <v>434</v>
      </c>
      <c r="O452" s="703" t="s">
        <v>2310</v>
      </c>
      <c r="P452" s="726"/>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5" customFormat="1" ht="12" customHeight="1">
      <c r="B453" s="634"/>
      <c r="J453" s="727" t="s">
        <v>542</v>
      </c>
      <c r="K453" s="728"/>
      <c r="L453" s="725"/>
      <c r="M453" s="726"/>
      <c r="N453" s="1179" t="s">
        <v>2079</v>
      </c>
      <c r="O453" s="1179" t="s">
        <v>1552</v>
      </c>
      <c r="P453" s="2032"/>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5" customFormat="1" ht="12" customHeight="1">
      <c r="B454" s="634"/>
      <c r="J454" s="727" t="s">
        <v>193</v>
      </c>
      <c r="K454" s="728"/>
      <c r="L454" s="725"/>
      <c r="M454" s="726"/>
      <c r="N454" s="1179" t="s">
        <v>524</v>
      </c>
      <c r="O454" s="1179" t="s">
        <v>2776</v>
      </c>
      <c r="P454" s="726"/>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5" customFormat="1" ht="12" customHeight="1">
      <c r="B455" s="634"/>
      <c r="J455" s="727" t="s">
        <v>2253</v>
      </c>
      <c r="K455" s="728"/>
      <c r="L455" s="725"/>
      <c r="M455" s="726"/>
      <c r="N455" s="1179" t="s">
        <v>2303</v>
      </c>
      <c r="O455" s="1179" t="s">
        <v>1409</v>
      </c>
      <c r="P455" s="726"/>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5" customFormat="1" ht="12" customHeight="1">
      <c r="B456" s="634"/>
      <c r="J456" s="727" t="s">
        <v>2111</v>
      </c>
      <c r="K456" s="728"/>
      <c r="L456" s="725"/>
      <c r="M456" s="726"/>
      <c r="N456" s="1179" t="s">
        <v>1759</v>
      </c>
      <c r="O456" s="1179" t="s">
        <v>2050</v>
      </c>
      <c r="P456" s="726"/>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5" customFormat="1" ht="12" customHeight="1">
      <c r="B457" s="634"/>
      <c r="J457" s="727" t="s">
        <v>2113</v>
      </c>
      <c r="K457" s="728"/>
      <c r="L457" s="725"/>
      <c r="M457" s="726"/>
      <c r="N457" s="1179" t="s">
        <v>1761</v>
      </c>
      <c r="O457" s="1179" t="s">
        <v>171</v>
      </c>
      <c r="P457" s="726"/>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5" customFormat="1" ht="12" customHeight="1">
      <c r="B458" s="634"/>
      <c r="J458" s="727" t="s">
        <v>1214</v>
      </c>
      <c r="K458" s="728"/>
      <c r="L458" s="725"/>
      <c r="M458" s="726"/>
      <c r="N458" s="1179" t="s">
        <v>325</v>
      </c>
      <c r="O458" s="1179" t="s">
        <v>164</v>
      </c>
      <c r="P458" s="726"/>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5" customFormat="1" ht="12" customHeight="1">
      <c r="B459" s="634"/>
      <c r="J459" s="727" t="s">
        <v>1216</v>
      </c>
      <c r="K459" s="728"/>
      <c r="L459" s="725"/>
      <c r="M459" s="726"/>
      <c r="N459" s="1179" t="s">
        <v>327</v>
      </c>
      <c r="O459" s="1179" t="s">
        <v>1396</v>
      </c>
      <c r="P459" s="726"/>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5" customFormat="1" ht="12" customHeight="1">
      <c r="B460" s="634"/>
      <c r="J460" s="727" t="s">
        <v>1178</v>
      </c>
      <c r="K460" s="728"/>
      <c r="L460" s="725"/>
      <c r="M460" s="726"/>
      <c r="N460" s="1179" t="s">
        <v>999</v>
      </c>
      <c r="O460" s="1179" t="s">
        <v>2654</v>
      </c>
      <c r="P460" s="726"/>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5" customFormat="1" ht="12" customHeight="1">
      <c r="B461" s="634"/>
      <c r="J461" s="727" t="s">
        <v>1179</v>
      </c>
      <c r="K461" s="728"/>
      <c r="L461" s="725"/>
      <c r="M461" s="726"/>
      <c r="N461" s="1179" t="s">
        <v>2474</v>
      </c>
      <c r="O461" s="1179" t="s">
        <v>341</v>
      </c>
      <c r="P461" s="726"/>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5" customFormat="1" ht="12" customHeight="1">
      <c r="B462" s="634"/>
      <c r="J462" s="727" t="s">
        <v>75</v>
      </c>
      <c r="K462" s="728"/>
      <c r="L462" s="725"/>
      <c r="M462" s="726"/>
      <c r="N462" s="1179" t="s">
        <v>3502</v>
      </c>
      <c r="O462" s="1179" t="s">
        <v>2327</v>
      </c>
      <c r="P462" s="726"/>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5" customFormat="1" ht="12" customHeight="1">
      <c r="B463" s="634"/>
      <c r="J463" s="727" t="s">
        <v>386</v>
      </c>
      <c r="K463" s="728"/>
      <c r="L463" s="725"/>
      <c r="M463" s="726"/>
      <c r="N463" s="636" t="s">
        <v>2456</v>
      </c>
      <c r="O463" s="1179" t="s">
        <v>186</v>
      </c>
      <c r="P463" s="726"/>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5" customFormat="1" ht="12" customHeight="1">
      <c r="B464" s="634"/>
      <c r="J464" s="727" t="s">
        <v>2399</v>
      </c>
      <c r="K464" s="728"/>
      <c r="L464" s="725"/>
      <c r="M464" s="726"/>
      <c r="N464" s="1179" t="s">
        <v>2458</v>
      </c>
      <c r="O464" s="1179" t="s">
        <v>1406</v>
      </c>
      <c r="P464" s="726"/>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5" customFormat="1" ht="12" customHeight="1">
      <c r="B465" s="634"/>
      <c r="J465" s="727" t="s">
        <v>1945</v>
      </c>
      <c r="K465" s="728"/>
      <c r="L465" s="725"/>
      <c r="M465" s="726"/>
      <c r="N465" s="1179" t="s">
        <v>543</v>
      </c>
      <c r="O465" s="1179" t="s">
        <v>186</v>
      </c>
      <c r="P465" s="726"/>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5" customFormat="1" ht="12" customHeight="1">
      <c r="B466" s="634"/>
      <c r="J466" s="727" t="s">
        <v>1878</v>
      </c>
      <c r="K466" s="728"/>
      <c r="L466" s="725"/>
      <c r="M466" s="726"/>
      <c r="N466" s="1179" t="s">
        <v>1115</v>
      </c>
      <c r="O466" s="1179" t="s">
        <v>1626</v>
      </c>
      <c r="P466" s="726"/>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5" customFormat="1" ht="12" customHeight="1">
      <c r="B467" s="634"/>
      <c r="J467" s="727" t="s">
        <v>288</v>
      </c>
      <c r="K467" s="728"/>
      <c r="L467" s="725"/>
      <c r="M467" s="726"/>
      <c r="N467" s="1179" t="s">
        <v>194</v>
      </c>
      <c r="O467" s="1179" t="s">
        <v>2312</v>
      </c>
      <c r="P467" s="726"/>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5" customFormat="1" ht="12" customHeight="1">
      <c r="B468" s="634"/>
      <c r="J468" s="727" t="s">
        <v>2509</v>
      </c>
      <c r="K468" s="728"/>
      <c r="L468" s="725"/>
      <c r="M468" s="726"/>
      <c r="N468" s="703" t="s">
        <v>1116</v>
      </c>
      <c r="O468" s="703" t="s">
        <v>2653</v>
      </c>
      <c r="P468" s="726"/>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5" customFormat="1" ht="12" customHeight="1">
      <c r="B469" s="634"/>
      <c r="J469" s="727" t="s">
        <v>498</v>
      </c>
      <c r="K469" s="728"/>
      <c r="L469" s="725"/>
      <c r="M469" s="726"/>
      <c r="N469" s="1179" t="s">
        <v>2110</v>
      </c>
      <c r="O469" s="1179" t="s">
        <v>2560</v>
      </c>
      <c r="P469" s="2032"/>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5" customFormat="1" ht="12" customHeight="1">
      <c r="B470" s="634"/>
      <c r="J470" s="727" t="s">
        <v>499</v>
      </c>
      <c r="K470" s="728"/>
      <c r="L470" s="725"/>
      <c r="M470" s="726"/>
      <c r="N470" s="1179" t="s">
        <v>1117</v>
      </c>
      <c r="O470" s="1179" t="s">
        <v>166</v>
      </c>
      <c r="P470" s="726"/>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5" customFormat="1" ht="12" customHeight="1">
      <c r="B471" s="634"/>
      <c r="J471" s="727" t="s">
        <v>501</v>
      </c>
      <c r="K471" s="728"/>
      <c r="L471" s="725"/>
      <c r="M471" s="726"/>
      <c r="N471" s="1179" t="s">
        <v>2112</v>
      </c>
      <c r="O471" s="1179" t="s">
        <v>2560</v>
      </c>
      <c r="P471" s="726"/>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5" customFormat="1" ht="12" customHeight="1">
      <c r="B472" s="634"/>
      <c r="J472" s="727" t="s">
        <v>503</v>
      </c>
      <c r="K472" s="728"/>
      <c r="L472" s="725"/>
      <c r="M472" s="726"/>
      <c r="N472" s="1179" t="s">
        <v>341</v>
      </c>
      <c r="O472" s="1179" t="s">
        <v>1417</v>
      </c>
      <c r="P472" s="726"/>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5" customFormat="1" ht="12" customHeight="1">
      <c r="B473" s="634"/>
      <c r="J473" s="727" t="s">
        <v>1318</v>
      </c>
      <c r="K473" s="728"/>
      <c r="L473" s="725"/>
      <c r="M473" s="726"/>
      <c r="N473" s="1179" t="s">
        <v>1215</v>
      </c>
      <c r="O473" s="1179" t="s">
        <v>926</v>
      </c>
      <c r="P473" s="726"/>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5" customFormat="1" ht="12" customHeight="1">
      <c r="B474" s="634"/>
      <c r="J474" s="727" t="s">
        <v>1320</v>
      </c>
      <c r="K474" s="728"/>
      <c r="L474" s="725"/>
      <c r="M474" s="726"/>
      <c r="N474" s="1179" t="s">
        <v>1177</v>
      </c>
      <c r="O474" s="1179" t="s">
        <v>929</v>
      </c>
      <c r="P474" s="726"/>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5" customFormat="1" ht="12" customHeight="1">
      <c r="B475" s="634"/>
      <c r="J475" s="727" t="s">
        <v>2130</v>
      </c>
      <c r="K475" s="728"/>
      <c r="L475" s="725"/>
      <c r="M475" s="726"/>
      <c r="N475" s="1179" t="s">
        <v>343</v>
      </c>
      <c r="O475" s="1179" t="s">
        <v>1158</v>
      </c>
      <c r="P475" s="726"/>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5" customFormat="1" ht="12" customHeight="1">
      <c r="B476" s="634"/>
      <c r="J476" s="727" t="s">
        <v>2131</v>
      </c>
      <c r="K476" s="728"/>
      <c r="L476" s="725"/>
      <c r="M476" s="726"/>
      <c r="N476" s="1179" t="s">
        <v>346</v>
      </c>
      <c r="O476" s="1179" t="s">
        <v>341</v>
      </c>
      <c r="P476" s="726"/>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5" customFormat="1" ht="12" customHeight="1">
      <c r="B477" s="634"/>
      <c r="J477" s="727" t="s">
        <v>78</v>
      </c>
      <c r="K477" s="728"/>
      <c r="L477" s="725"/>
      <c r="M477" s="726"/>
      <c r="N477" s="703" t="s">
        <v>76</v>
      </c>
      <c r="O477" s="703" t="s">
        <v>2054</v>
      </c>
      <c r="P477" s="726"/>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5" customFormat="1" ht="12" customHeight="1">
      <c r="B478" s="634"/>
      <c r="J478" s="727" t="s">
        <v>80</v>
      </c>
      <c r="K478" s="728"/>
      <c r="L478" s="725"/>
      <c r="M478" s="726"/>
      <c r="N478" s="703" t="s">
        <v>2400</v>
      </c>
      <c r="O478" s="703" t="s">
        <v>1417</v>
      </c>
      <c r="P478" s="2032"/>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5" customFormat="1" ht="12" customHeight="1">
      <c r="B479" s="634"/>
      <c r="J479" s="727" t="s">
        <v>2577</v>
      </c>
      <c r="K479" s="728"/>
      <c r="L479" s="725"/>
      <c r="M479" s="726"/>
      <c r="N479" s="1179" t="s">
        <v>1877</v>
      </c>
      <c r="O479" s="1179" t="s">
        <v>2145</v>
      </c>
      <c r="P479" s="2032"/>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5" customFormat="1" ht="12" customHeight="1">
      <c r="B480" s="634"/>
      <c r="J480" s="727" t="s">
        <v>2341</v>
      </c>
      <c r="K480" s="728"/>
      <c r="L480" s="725"/>
      <c r="M480" s="726"/>
      <c r="N480" s="1179" t="s">
        <v>1879</v>
      </c>
      <c r="O480" s="1179" t="s">
        <v>111</v>
      </c>
      <c r="P480" s="726"/>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5" customFormat="1" ht="12" customHeight="1">
      <c r="B481" s="634"/>
      <c r="J481" s="727" t="s">
        <v>2342</v>
      </c>
      <c r="K481" s="728"/>
      <c r="L481" s="725"/>
      <c r="M481" s="726"/>
      <c r="N481" s="1179" t="s">
        <v>738</v>
      </c>
      <c r="O481" s="1179" t="s">
        <v>1283</v>
      </c>
      <c r="P481" s="726"/>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5" customFormat="1" ht="12" customHeight="1">
      <c r="B482" s="634"/>
      <c r="J482" s="727" t="s">
        <v>1024</v>
      </c>
      <c r="K482" s="728"/>
      <c r="L482" s="725"/>
      <c r="M482" s="726"/>
      <c r="N482" s="1179" t="s">
        <v>2508</v>
      </c>
      <c r="O482" s="1179" t="s">
        <v>2653</v>
      </c>
      <c r="P482" s="726"/>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5" customFormat="1" ht="12" customHeight="1">
      <c r="B483" s="634"/>
      <c r="J483" s="727" t="s">
        <v>1026</v>
      </c>
      <c r="K483" s="728"/>
      <c r="L483" s="725"/>
      <c r="M483" s="726"/>
      <c r="N483" s="1179" t="s">
        <v>2510</v>
      </c>
      <c r="O483" s="1179" t="s">
        <v>2321</v>
      </c>
      <c r="P483" s="726"/>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5" customFormat="1" ht="12" customHeight="1">
      <c r="B484" s="634"/>
      <c r="J484" s="727" t="s">
        <v>1592</v>
      </c>
      <c r="K484" s="728"/>
      <c r="L484" s="725"/>
      <c r="M484" s="726"/>
      <c r="N484" s="1179" t="s">
        <v>500</v>
      </c>
      <c r="O484" s="1179" t="s">
        <v>2656</v>
      </c>
      <c r="P484" s="726"/>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5" customFormat="1" ht="12" customHeight="1">
      <c r="B485" s="634"/>
      <c r="J485" s="727" t="s">
        <v>1593</v>
      </c>
      <c r="K485" s="728"/>
      <c r="L485" s="725"/>
      <c r="M485" s="726"/>
      <c r="N485" s="1179" t="s">
        <v>502</v>
      </c>
      <c r="O485" s="1179" t="s">
        <v>1415</v>
      </c>
      <c r="P485" s="726"/>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5" customFormat="1" ht="12" customHeight="1">
      <c r="B486" s="634"/>
      <c r="J486" s="727" t="s">
        <v>1595</v>
      </c>
      <c r="K486" s="728"/>
      <c r="L486" s="725"/>
      <c r="M486" s="726"/>
      <c r="N486" s="1179" t="s">
        <v>1118</v>
      </c>
      <c r="O486" s="1179" t="s">
        <v>1420</v>
      </c>
      <c r="P486" s="726"/>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5" customFormat="1" ht="12" customHeight="1">
      <c r="B487" s="634"/>
      <c r="J487" s="727" t="s">
        <v>1597</v>
      </c>
      <c r="K487" s="728"/>
      <c r="L487" s="725"/>
      <c r="M487" s="726"/>
      <c r="N487" s="1179" t="s">
        <v>504</v>
      </c>
      <c r="O487" s="1179" t="s">
        <v>1420</v>
      </c>
      <c r="P487" s="726"/>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5" customFormat="1" ht="12" customHeight="1">
      <c r="B488" s="634"/>
      <c r="J488" s="727" t="s">
        <v>1599</v>
      </c>
      <c r="K488" s="728"/>
      <c r="L488" s="725"/>
      <c r="M488" s="726"/>
      <c r="N488" s="703" t="s">
        <v>1319</v>
      </c>
      <c r="O488" s="703" t="s">
        <v>1400</v>
      </c>
      <c r="P488" s="726"/>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5" customFormat="1" ht="12" customHeight="1">
      <c r="B489" s="634"/>
      <c r="J489" s="727" t="s">
        <v>2490</v>
      </c>
      <c r="K489" s="728"/>
      <c r="L489" s="725"/>
      <c r="M489" s="726"/>
      <c r="N489" s="1179" t="s">
        <v>1321</v>
      </c>
      <c r="O489" s="1179" t="s">
        <v>350</v>
      </c>
      <c r="P489" s="2032"/>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5" customFormat="1" ht="12" customHeight="1">
      <c r="B490" s="634"/>
      <c r="J490" s="727" t="s">
        <v>2780</v>
      </c>
      <c r="K490" s="728"/>
      <c r="L490" s="725"/>
      <c r="M490" s="726"/>
      <c r="N490" s="1179" t="s">
        <v>3503</v>
      </c>
      <c r="O490" s="1179" t="s">
        <v>2707</v>
      </c>
      <c r="P490" s="726"/>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5" customFormat="1" ht="12" customHeight="1">
      <c r="B491" s="634"/>
      <c r="J491" s="727" t="s">
        <v>1362</v>
      </c>
      <c r="K491" s="728"/>
      <c r="L491" s="725"/>
      <c r="M491" s="726"/>
      <c r="N491" s="1179" t="s">
        <v>2132</v>
      </c>
      <c r="O491" s="1179" t="s">
        <v>2144</v>
      </c>
      <c r="P491" s="2033"/>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5" customFormat="1" ht="12" customHeight="1">
      <c r="B492" s="634"/>
      <c r="J492" s="727" t="s">
        <v>1614</v>
      </c>
      <c r="K492" s="728"/>
      <c r="L492" s="725"/>
      <c r="M492" s="726"/>
      <c r="N492" s="1179" t="s">
        <v>79</v>
      </c>
      <c r="O492" s="1179" t="s">
        <v>2050</v>
      </c>
      <c r="P492" s="2033"/>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5" customFormat="1" ht="12" customHeight="1">
      <c r="B493" s="634"/>
      <c r="J493" s="727" t="s">
        <v>873</v>
      </c>
      <c r="K493" s="728"/>
      <c r="L493" s="725"/>
      <c r="M493" s="726"/>
      <c r="N493" s="1179" t="s">
        <v>673</v>
      </c>
      <c r="O493" s="1179" t="s">
        <v>2653</v>
      </c>
      <c r="P493" s="726"/>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5" customFormat="1" ht="12" customHeight="1">
      <c r="B494" s="634"/>
      <c r="J494" s="727" t="s">
        <v>874</v>
      </c>
      <c r="K494" s="728"/>
      <c r="L494" s="725"/>
      <c r="M494" s="726"/>
      <c r="N494" s="1179" t="s">
        <v>81</v>
      </c>
      <c r="O494" s="1179" t="s">
        <v>182</v>
      </c>
      <c r="P494" s="726"/>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5" customFormat="1" ht="12" customHeight="1">
      <c r="B495" s="634"/>
      <c r="J495" s="727" t="s">
        <v>876</v>
      </c>
      <c r="K495" s="728"/>
      <c r="L495" s="725"/>
      <c r="M495" s="726"/>
      <c r="N495" s="1179" t="s">
        <v>2578</v>
      </c>
      <c r="O495" s="1179" t="s">
        <v>1548</v>
      </c>
      <c r="P495" s="726"/>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5" customFormat="1" ht="12" customHeight="1">
      <c r="B496" s="634"/>
      <c r="J496" s="727" t="s">
        <v>877</v>
      </c>
      <c r="K496" s="728"/>
      <c r="L496" s="725"/>
      <c r="M496" s="726"/>
      <c r="N496" s="1179" t="s">
        <v>1119</v>
      </c>
      <c r="O496" s="1179" t="s">
        <v>1626</v>
      </c>
      <c r="P496" s="726"/>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5" customFormat="1" ht="12" customHeight="1">
      <c r="B497" s="634"/>
      <c r="J497" s="727" t="s">
        <v>122</v>
      </c>
      <c r="K497" s="728"/>
      <c r="L497" s="725"/>
      <c r="M497" s="726"/>
      <c r="N497" s="1179" t="s">
        <v>1120</v>
      </c>
      <c r="O497" s="1179" t="s">
        <v>1175</v>
      </c>
      <c r="P497" s="726"/>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5" customFormat="1" ht="12" customHeight="1">
      <c r="B498" s="634"/>
      <c r="J498" s="727" t="s">
        <v>262</v>
      </c>
      <c r="K498" s="728"/>
      <c r="L498" s="725"/>
      <c r="M498" s="726"/>
      <c r="N498" s="1179" t="s">
        <v>654</v>
      </c>
      <c r="O498" s="1179" t="s">
        <v>706</v>
      </c>
      <c r="P498" s="726"/>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5" customFormat="1" ht="12" customHeight="1">
      <c r="B499" s="634"/>
      <c r="J499" s="727" t="s">
        <v>1611</v>
      </c>
      <c r="K499" s="728"/>
      <c r="L499" s="725"/>
      <c r="M499" s="726"/>
      <c r="N499" s="1179" t="s">
        <v>1025</v>
      </c>
      <c r="O499" s="1179" t="s">
        <v>124</v>
      </c>
      <c r="P499" s="726"/>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5" customFormat="1" ht="12" customHeight="1">
      <c r="B500" s="634"/>
      <c r="J500" s="727" t="s">
        <v>257</v>
      </c>
      <c r="K500" s="728"/>
      <c r="L500" s="725"/>
      <c r="M500" s="726"/>
      <c r="N500" s="1179" t="s">
        <v>1027</v>
      </c>
      <c r="O500" s="1179" t="s">
        <v>1418</v>
      </c>
      <c r="P500" s="726"/>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5" customFormat="1" ht="12" customHeight="1">
      <c r="B501" s="634"/>
      <c r="J501" s="727" t="s">
        <v>1616</v>
      </c>
      <c r="K501" s="728"/>
      <c r="L501" s="725"/>
      <c r="M501" s="726"/>
      <c r="N501" s="1179" t="s">
        <v>1594</v>
      </c>
      <c r="O501" s="1179" t="s">
        <v>1551</v>
      </c>
      <c r="P501" s="726"/>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5" customFormat="1" ht="12" customHeight="1">
      <c r="B502" s="634"/>
      <c r="J502" s="727" t="s">
        <v>1618</v>
      </c>
      <c r="K502" s="728"/>
      <c r="L502" s="725"/>
      <c r="M502" s="726"/>
      <c r="N502" s="1179" t="s">
        <v>1596</v>
      </c>
      <c r="O502" s="1179" t="s">
        <v>2704</v>
      </c>
      <c r="P502" s="726"/>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5" customFormat="1" ht="12" customHeight="1">
      <c r="B503" s="634"/>
      <c r="J503" s="727" t="s">
        <v>1482</v>
      </c>
      <c r="K503" s="728"/>
      <c r="L503" s="725"/>
      <c r="M503" s="726"/>
      <c r="N503" s="1179" t="s">
        <v>1598</v>
      </c>
      <c r="O503" s="1179" t="s">
        <v>2319</v>
      </c>
      <c r="P503" s="726"/>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5" customFormat="1" ht="12" customHeight="1">
      <c r="B504" s="634"/>
      <c r="J504" s="727" t="s">
        <v>1484</v>
      </c>
      <c r="K504" s="728"/>
      <c r="L504" s="725"/>
      <c r="M504" s="726"/>
      <c r="N504" s="1179" t="s">
        <v>2489</v>
      </c>
      <c r="O504" s="1179" t="s">
        <v>2775</v>
      </c>
      <c r="P504" s="726"/>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5" customFormat="1" ht="12" customHeight="1">
      <c r="B505" s="634"/>
      <c r="J505" s="727" t="s">
        <v>1486</v>
      </c>
      <c r="K505" s="728"/>
      <c r="L505" s="725"/>
      <c r="M505" s="726"/>
      <c r="N505" s="1179" t="s">
        <v>2491</v>
      </c>
      <c r="O505" s="1179" t="s">
        <v>124</v>
      </c>
      <c r="P505" s="726"/>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5" customFormat="1" ht="12" customHeight="1">
      <c r="B506" s="634"/>
      <c r="J506" s="727" t="s">
        <v>1487</v>
      </c>
      <c r="K506" s="728"/>
      <c r="L506" s="725"/>
      <c r="M506" s="726"/>
      <c r="N506" s="703" t="s">
        <v>1361</v>
      </c>
      <c r="O506" s="703" t="s">
        <v>1010</v>
      </c>
      <c r="P506" s="726"/>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5" customFormat="1" ht="12" customHeight="1">
      <c r="B507" s="634"/>
      <c r="J507" s="727" t="s">
        <v>1489</v>
      </c>
      <c r="K507" s="728"/>
      <c r="L507" s="725"/>
      <c r="M507" s="726"/>
      <c r="N507" s="1179" t="s">
        <v>1121</v>
      </c>
      <c r="O507" s="1179" t="s">
        <v>2142</v>
      </c>
      <c r="P507" s="2032"/>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5" customFormat="1" ht="12" customHeight="1">
      <c r="B508" s="634"/>
      <c r="J508" s="727" t="s">
        <v>1491</v>
      </c>
      <c r="K508" s="728"/>
      <c r="L508" s="725"/>
      <c r="M508" s="726"/>
      <c r="N508" s="1179" t="s">
        <v>1363</v>
      </c>
      <c r="O508" s="1179" t="s">
        <v>1553</v>
      </c>
      <c r="P508" s="726"/>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5" customFormat="1" ht="12" customHeight="1">
      <c r="B509" s="634"/>
      <c r="J509" s="727" t="s">
        <v>1677</v>
      </c>
      <c r="K509" s="728"/>
      <c r="L509" s="725"/>
      <c r="M509" s="726"/>
      <c r="N509" s="1179" t="s">
        <v>881</v>
      </c>
      <c r="O509" s="1179" t="s">
        <v>2144</v>
      </c>
      <c r="P509" s="726"/>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5" customFormat="1" ht="12" customHeight="1">
      <c r="B510" s="634"/>
      <c r="J510" s="727" t="s">
        <v>1678</v>
      </c>
      <c r="K510" s="728"/>
      <c r="L510" s="725"/>
      <c r="M510" s="726"/>
      <c r="N510" s="1179" t="s">
        <v>882</v>
      </c>
      <c r="O510" s="1179" t="s">
        <v>928</v>
      </c>
      <c r="P510" s="726"/>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5" customFormat="1" ht="12" customHeight="1">
      <c r="B511" s="634"/>
      <c r="J511" s="727" t="s">
        <v>1679</v>
      </c>
      <c r="K511" s="728"/>
      <c r="L511" s="725"/>
      <c r="M511" s="726"/>
      <c r="N511" s="1179" t="s">
        <v>875</v>
      </c>
      <c r="O511" s="1179" t="s">
        <v>669</v>
      </c>
      <c r="P511" s="726"/>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5" customFormat="1" ht="12" customHeight="1">
      <c r="B512" s="634"/>
      <c r="J512" s="727" t="s">
        <v>1680</v>
      </c>
      <c r="K512" s="728"/>
      <c r="L512" s="725"/>
      <c r="M512" s="726"/>
      <c r="N512" s="1179" t="s">
        <v>878</v>
      </c>
      <c r="O512" s="1179" t="s">
        <v>337</v>
      </c>
      <c r="P512" s="726"/>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5" customFormat="1" ht="12" customHeight="1">
      <c r="B513" s="634"/>
      <c r="J513" s="727" t="s">
        <v>1682</v>
      </c>
      <c r="K513" s="728"/>
      <c r="L513" s="725"/>
      <c r="M513" s="726"/>
      <c r="N513" s="1179" t="s">
        <v>123</v>
      </c>
      <c r="O513" s="1179" t="s">
        <v>2145</v>
      </c>
      <c r="P513" s="726"/>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5" customFormat="1" ht="12" customHeight="1">
      <c r="B514" s="634"/>
      <c r="J514" s="727" t="s">
        <v>1684</v>
      </c>
      <c r="K514" s="728"/>
      <c r="L514" s="725"/>
      <c r="M514" s="726"/>
      <c r="N514" s="1179" t="s">
        <v>263</v>
      </c>
      <c r="O514" s="1179" t="s">
        <v>2012</v>
      </c>
      <c r="P514" s="726"/>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5" customFormat="1" ht="12" customHeight="1">
      <c r="B515" s="634"/>
      <c r="J515" s="727" t="s">
        <v>1685</v>
      </c>
      <c r="K515" s="728"/>
      <c r="L515" s="725"/>
      <c r="M515" s="726"/>
      <c r="N515" s="703" t="s">
        <v>1612</v>
      </c>
      <c r="O515" s="703" t="s">
        <v>2144</v>
      </c>
      <c r="P515" s="726"/>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5" customFormat="1" ht="12" customHeight="1">
      <c r="B516" s="634"/>
      <c r="J516" s="727" t="s">
        <v>1687</v>
      </c>
      <c r="K516" s="728"/>
      <c r="L516" s="725"/>
      <c r="M516" s="726"/>
      <c r="N516" s="1179" t="s">
        <v>1615</v>
      </c>
      <c r="O516" s="1179" t="s">
        <v>346</v>
      </c>
      <c r="P516" s="2032"/>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5" customFormat="1" ht="12" customHeight="1">
      <c r="B517" s="634"/>
      <c r="J517" s="727" t="s">
        <v>397</v>
      </c>
      <c r="K517" s="728"/>
      <c r="L517" s="725"/>
      <c r="M517" s="726"/>
      <c r="N517" s="1179" t="s">
        <v>1617</v>
      </c>
      <c r="O517" s="1179" t="s">
        <v>2653</v>
      </c>
      <c r="P517" s="726"/>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5" customFormat="1" ht="12" customHeight="1">
      <c r="B518" s="634"/>
      <c r="J518" s="727" t="s">
        <v>259</v>
      </c>
      <c r="K518" s="728"/>
      <c r="L518" s="725"/>
      <c r="M518" s="726"/>
      <c r="N518" s="1179" t="s">
        <v>512</v>
      </c>
      <c r="O518" s="1179" t="s">
        <v>1555</v>
      </c>
      <c r="P518" s="726"/>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5" customFormat="1" ht="12" customHeight="1">
      <c r="B519" s="634"/>
      <c r="J519" s="727" t="s">
        <v>261</v>
      </c>
      <c r="K519" s="728"/>
      <c r="L519" s="725"/>
      <c r="M519" s="726"/>
      <c r="N519" s="1179" t="s">
        <v>1483</v>
      </c>
      <c r="O519" s="1179" t="s">
        <v>329</v>
      </c>
      <c r="P519" s="726"/>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5" customFormat="1" ht="12" customHeight="1">
      <c r="B520" s="634"/>
      <c r="J520" s="727" t="s">
        <v>15</v>
      </c>
      <c r="K520" s="728"/>
      <c r="L520" s="725"/>
      <c r="M520" s="726"/>
      <c r="N520" s="1179" t="s">
        <v>1485</v>
      </c>
      <c r="O520" s="1179" t="s">
        <v>926</v>
      </c>
      <c r="P520" s="726"/>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5" customFormat="1" ht="12" customHeight="1">
      <c r="B521" s="634"/>
      <c r="J521" s="727" t="s">
        <v>1150</v>
      </c>
      <c r="K521" s="728"/>
      <c r="L521" s="725"/>
      <c r="M521" s="726"/>
      <c r="N521" s="1179" t="s">
        <v>183</v>
      </c>
      <c r="O521" s="1179" t="s">
        <v>2317</v>
      </c>
      <c r="P521" s="726"/>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5" customFormat="1" ht="12" customHeight="1">
      <c r="B522" s="634"/>
      <c r="J522" s="727" t="s">
        <v>1152</v>
      </c>
      <c r="K522" s="728"/>
      <c r="L522" s="725"/>
      <c r="M522" s="726"/>
      <c r="N522" s="1179" t="s">
        <v>1488</v>
      </c>
      <c r="O522" s="1179" t="s">
        <v>2012</v>
      </c>
      <c r="P522" s="726"/>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5" customFormat="1" ht="12" customHeight="1">
      <c r="B523" s="634"/>
      <c r="J523" s="727" t="s">
        <v>1154</v>
      </c>
      <c r="K523" s="728"/>
      <c r="L523" s="725"/>
      <c r="M523" s="726"/>
      <c r="N523" s="1179" t="s">
        <v>1490</v>
      </c>
      <c r="O523" s="1179" t="s">
        <v>169</v>
      </c>
      <c r="P523" s="726"/>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5" customFormat="1" ht="12" customHeight="1">
      <c r="B524" s="634"/>
      <c r="J524" s="727" t="s">
        <v>271</v>
      </c>
      <c r="K524" s="728"/>
      <c r="L524" s="725"/>
      <c r="M524" s="726"/>
      <c r="N524" s="1179" t="s">
        <v>2662</v>
      </c>
      <c r="O524" s="1179" t="s">
        <v>2044</v>
      </c>
      <c r="P524" s="726"/>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5" customFormat="1" ht="12" customHeight="1">
      <c r="B525" s="634"/>
      <c r="J525" s="727" t="s">
        <v>273</v>
      </c>
      <c r="K525" s="728"/>
      <c r="L525" s="725"/>
      <c r="M525" s="726"/>
      <c r="N525" s="1179" t="s">
        <v>1122</v>
      </c>
      <c r="O525" s="1179" t="s">
        <v>2656</v>
      </c>
      <c r="P525" s="726"/>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5" customFormat="1" ht="12" customHeight="1">
      <c r="B526" s="634"/>
      <c r="J526" s="727" t="s">
        <v>1738</v>
      </c>
      <c r="K526" s="728"/>
      <c r="L526" s="725"/>
      <c r="M526" s="726"/>
      <c r="N526" s="1179" t="s">
        <v>1406</v>
      </c>
      <c r="O526" s="1179" t="s">
        <v>1405</v>
      </c>
      <c r="P526" s="726"/>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5" customFormat="1" ht="12" customHeight="1">
      <c r="B527" s="634"/>
      <c r="J527" s="727" t="s">
        <v>2475</v>
      </c>
      <c r="K527" s="728"/>
      <c r="L527" s="725"/>
      <c r="M527" s="726"/>
      <c r="N527" s="1179" t="s">
        <v>186</v>
      </c>
      <c r="O527" s="1179" t="s">
        <v>2768</v>
      </c>
      <c r="P527" s="726"/>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5" customFormat="1" ht="12" customHeight="1">
      <c r="B528" s="634"/>
      <c r="J528" s="727" t="s">
        <v>510</v>
      </c>
      <c r="K528" s="728"/>
      <c r="L528" s="725"/>
      <c r="M528" s="726"/>
      <c r="N528" s="1179" t="s">
        <v>1681</v>
      </c>
      <c r="O528" s="1179" t="s">
        <v>2325</v>
      </c>
      <c r="P528" s="726"/>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5" customFormat="1" ht="12" customHeight="1">
      <c r="B529" s="634"/>
      <c r="J529" s="727" t="s">
        <v>1387</v>
      </c>
      <c r="K529" s="728"/>
      <c r="L529" s="725"/>
      <c r="M529" s="726"/>
      <c r="N529" s="1179" t="s">
        <v>1683</v>
      </c>
      <c r="O529" s="1179" t="s">
        <v>2012</v>
      </c>
      <c r="P529" s="726"/>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5" customFormat="1" ht="12" customHeight="1">
      <c r="B530" s="634"/>
      <c r="J530" s="727" t="s">
        <v>692</v>
      </c>
      <c r="K530" s="728"/>
      <c r="L530" s="725"/>
      <c r="M530" s="726"/>
      <c r="N530" s="1179" t="s">
        <v>1686</v>
      </c>
      <c r="O530" s="1179" t="s">
        <v>2773</v>
      </c>
      <c r="P530" s="726"/>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5" customFormat="1" ht="12" customHeight="1">
      <c r="B531" s="634"/>
      <c r="J531" s="727" t="s">
        <v>733</v>
      </c>
      <c r="K531" s="728"/>
      <c r="L531" s="725"/>
      <c r="M531" s="726"/>
      <c r="N531" s="1179" t="s">
        <v>396</v>
      </c>
      <c r="O531" s="1179" t="s">
        <v>2656</v>
      </c>
      <c r="P531" s="726"/>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5" customFormat="1" ht="12" customHeight="1">
      <c r="B532" s="634"/>
      <c r="J532" s="727" t="s">
        <v>734</v>
      </c>
      <c r="K532" s="728"/>
      <c r="L532" s="725"/>
      <c r="M532" s="726"/>
      <c r="N532" s="636" t="s">
        <v>398</v>
      </c>
      <c r="O532" s="1179" t="s">
        <v>1406</v>
      </c>
      <c r="P532" s="726"/>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5" customFormat="1" ht="12" customHeight="1">
      <c r="B533" s="634"/>
      <c r="J533" s="727" t="s">
        <v>555</v>
      </c>
      <c r="K533" s="728"/>
      <c r="L533" s="725"/>
      <c r="M533" s="726"/>
      <c r="N533" s="636" t="s">
        <v>260</v>
      </c>
      <c r="O533" s="1179" t="s">
        <v>2315</v>
      </c>
      <c r="P533" s="726"/>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5" customFormat="1" ht="12" customHeight="1">
      <c r="B534" s="634"/>
      <c r="J534" s="727" t="s">
        <v>557</v>
      </c>
      <c r="K534" s="728"/>
      <c r="L534" s="725"/>
      <c r="M534" s="726"/>
      <c r="N534" s="1179" t="s">
        <v>1716</v>
      </c>
      <c r="O534" s="1179" t="s">
        <v>2703</v>
      </c>
      <c r="P534" s="2033"/>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5" customFormat="1" ht="12" customHeight="1">
      <c r="B535" s="634"/>
      <c r="J535" s="727" t="s">
        <v>559</v>
      </c>
      <c r="K535" s="728"/>
      <c r="L535" s="725"/>
      <c r="M535" s="726"/>
      <c r="N535" s="1179" t="s">
        <v>3504</v>
      </c>
      <c r="O535" s="1179" t="s">
        <v>346</v>
      </c>
      <c r="P535" s="726"/>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5" customFormat="1" ht="12" customHeight="1">
      <c r="B536" s="634"/>
      <c r="J536" s="727" t="s">
        <v>561</v>
      </c>
      <c r="K536" s="728"/>
      <c r="L536" s="725"/>
      <c r="M536" s="726"/>
      <c r="N536" s="1179" t="s">
        <v>1151</v>
      </c>
      <c r="O536" s="1179" t="s">
        <v>2775</v>
      </c>
      <c r="P536" s="726"/>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5" customFormat="1" ht="12" customHeight="1">
      <c r="B537" s="634"/>
      <c r="J537" s="727" t="s">
        <v>574</v>
      </c>
      <c r="K537" s="728"/>
      <c r="L537" s="725"/>
      <c r="M537" s="726"/>
      <c r="N537" s="1179" t="s">
        <v>1153</v>
      </c>
      <c r="O537" s="1179" t="s">
        <v>1396</v>
      </c>
      <c r="P537" s="726"/>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5" customFormat="1" ht="12" customHeight="1">
      <c r="B538" s="634"/>
      <c r="J538" s="727" t="s">
        <v>576</v>
      </c>
      <c r="K538" s="728"/>
      <c r="L538" s="725"/>
      <c r="M538" s="726"/>
      <c r="N538" s="703" t="s">
        <v>1155</v>
      </c>
      <c r="O538" s="703" t="s">
        <v>701</v>
      </c>
      <c r="P538" s="726"/>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5" customFormat="1" ht="12" customHeight="1">
      <c r="B539" s="634"/>
      <c r="J539" s="727" t="s">
        <v>763</v>
      </c>
      <c r="K539" s="728"/>
      <c r="L539" s="725"/>
      <c r="M539" s="726"/>
      <c r="N539" s="1179" t="s">
        <v>272</v>
      </c>
      <c r="O539" s="1179" t="s">
        <v>337</v>
      </c>
      <c r="P539" s="2032"/>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5" customFormat="1" ht="12" customHeight="1">
      <c r="B540" s="634"/>
      <c r="J540" s="727" t="s">
        <v>624</v>
      </c>
      <c r="K540" s="728"/>
      <c r="L540" s="725"/>
      <c r="M540" s="726"/>
      <c r="N540" s="1179" t="s">
        <v>274</v>
      </c>
      <c r="O540" s="1179" t="s">
        <v>2560</v>
      </c>
      <c r="P540" s="726"/>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5" customFormat="1" ht="12" customHeight="1">
      <c r="B541" s="634"/>
      <c r="J541" s="727" t="s">
        <v>625</v>
      </c>
      <c r="K541" s="728"/>
      <c r="L541" s="725"/>
      <c r="M541" s="726"/>
      <c r="N541" s="703" t="s">
        <v>1739</v>
      </c>
      <c r="O541" s="703" t="s">
        <v>926</v>
      </c>
      <c r="P541" s="726"/>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5" customFormat="1" ht="12" customHeight="1">
      <c r="B542" s="634"/>
      <c r="J542" s="727" t="s">
        <v>2216</v>
      </c>
      <c r="K542" s="728"/>
      <c r="L542" s="725"/>
      <c r="M542" s="726"/>
      <c r="N542" s="1179" t="s">
        <v>2476</v>
      </c>
      <c r="O542" s="1179" t="s">
        <v>1161</v>
      </c>
      <c r="P542" s="2032"/>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5" customFormat="1" ht="12" customHeight="1">
      <c r="B543" s="634"/>
      <c r="J543" s="727" t="s">
        <v>490</v>
      </c>
      <c r="K543" s="728"/>
      <c r="L543" s="725"/>
      <c r="M543" s="726"/>
      <c r="N543" s="1179" t="s">
        <v>511</v>
      </c>
      <c r="O543" s="1179" t="s">
        <v>1779</v>
      </c>
      <c r="P543" s="726"/>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5" customFormat="1" ht="12" customHeight="1">
      <c r="B544" s="634"/>
      <c r="J544" s="727" t="s">
        <v>491</v>
      </c>
      <c r="K544" s="728"/>
      <c r="L544" s="725"/>
      <c r="M544" s="726"/>
      <c r="N544" s="1179" t="s">
        <v>3505</v>
      </c>
      <c r="O544" s="1179" t="s">
        <v>2325</v>
      </c>
      <c r="P544" s="726"/>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5" customFormat="1" ht="12" customHeight="1">
      <c r="B545" s="634"/>
      <c r="J545" s="727" t="s">
        <v>1344</v>
      </c>
      <c r="K545" s="728"/>
      <c r="L545" s="725"/>
      <c r="M545" s="726"/>
      <c r="N545" s="1179" t="s">
        <v>732</v>
      </c>
      <c r="O545" s="1179" t="s">
        <v>169</v>
      </c>
      <c r="P545" s="726"/>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5" customFormat="1" ht="12" customHeight="1">
      <c r="B546" s="634"/>
      <c r="J546" s="727" t="s">
        <v>1054</v>
      </c>
      <c r="K546" s="728"/>
      <c r="L546" s="725"/>
      <c r="M546" s="726"/>
      <c r="N546" s="1179" t="s">
        <v>554</v>
      </c>
      <c r="O546" s="1179" t="s">
        <v>781</v>
      </c>
      <c r="P546" s="726"/>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5" customFormat="1" ht="12" customHeight="1">
      <c r="B547" s="634"/>
      <c r="J547" s="727" t="s">
        <v>1056</v>
      </c>
      <c r="K547" s="728"/>
      <c r="L547" s="725"/>
      <c r="M547" s="726"/>
      <c r="N547" s="1179" t="s">
        <v>556</v>
      </c>
      <c r="O547" s="1179" t="s">
        <v>1415</v>
      </c>
      <c r="P547" s="726"/>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5" customFormat="1" ht="12" customHeight="1">
      <c r="B548" s="634"/>
      <c r="J548" s="727" t="s">
        <v>1057</v>
      </c>
      <c r="K548" s="728"/>
      <c r="L548" s="725"/>
      <c r="M548" s="726"/>
      <c r="N548" s="1179" t="s">
        <v>558</v>
      </c>
      <c r="O548" s="1179" t="s">
        <v>1552</v>
      </c>
      <c r="P548" s="726"/>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5" customFormat="1" ht="12" customHeight="1">
      <c r="B549" s="634"/>
      <c r="J549" s="727" t="s">
        <v>142</v>
      </c>
      <c r="K549" s="728"/>
      <c r="L549" s="725"/>
      <c r="M549" s="726"/>
      <c r="N549" s="1179" t="s">
        <v>560</v>
      </c>
      <c r="O549" s="1179" t="s">
        <v>926</v>
      </c>
      <c r="P549" s="726"/>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5" customFormat="1" ht="12" customHeight="1">
      <c r="B550" s="634"/>
      <c r="J550" s="727" t="s">
        <v>143</v>
      </c>
      <c r="K550" s="728"/>
      <c r="L550" s="725"/>
      <c r="M550" s="726"/>
      <c r="N550" s="1179" t="s">
        <v>562</v>
      </c>
      <c r="O550" s="1179" t="s">
        <v>1907</v>
      </c>
      <c r="P550" s="726"/>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5" customFormat="1" ht="12" customHeight="1">
      <c r="B551" s="634"/>
      <c r="J551" s="727" t="s">
        <v>145</v>
      </c>
      <c r="K551" s="728"/>
      <c r="L551" s="725"/>
      <c r="M551" s="726"/>
      <c r="N551" s="1179" t="s">
        <v>575</v>
      </c>
      <c r="O551" s="1179" t="s">
        <v>348</v>
      </c>
      <c r="P551" s="726"/>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5" customFormat="1" ht="12" customHeight="1">
      <c r="B552" s="634"/>
      <c r="J552" s="727" t="s">
        <v>2778</v>
      </c>
      <c r="K552" s="728"/>
      <c r="L552" s="725"/>
      <c r="M552" s="726"/>
      <c r="N552" s="1179" t="s">
        <v>577</v>
      </c>
      <c r="O552" s="1179" t="s">
        <v>450</v>
      </c>
      <c r="P552" s="726"/>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5" customFormat="1" ht="12" customHeight="1">
      <c r="B553" s="634"/>
      <c r="J553" s="727" t="s">
        <v>2233</v>
      </c>
      <c r="K553" s="728"/>
      <c r="L553" s="725"/>
      <c r="M553" s="726"/>
      <c r="N553" s="703" t="s">
        <v>739</v>
      </c>
      <c r="O553" s="703" t="s">
        <v>1283</v>
      </c>
      <c r="P553" s="726"/>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5" customFormat="1" ht="12" customHeight="1">
      <c r="B554" s="634"/>
      <c r="J554" s="727" t="s">
        <v>2235</v>
      </c>
      <c r="K554" s="728"/>
      <c r="L554" s="725"/>
      <c r="M554" s="726"/>
      <c r="N554" s="1179" t="s">
        <v>883</v>
      </c>
      <c r="O554" s="1179" t="s">
        <v>701</v>
      </c>
      <c r="P554" s="2032"/>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5" customFormat="1" ht="12" customHeight="1">
      <c r="B555" s="634"/>
      <c r="J555" s="727" t="s">
        <v>626</v>
      </c>
      <c r="K555" s="728"/>
      <c r="L555" s="725"/>
      <c r="M555" s="726"/>
      <c r="N555" s="1179" t="s">
        <v>1744</v>
      </c>
      <c r="O555" s="1179" t="s">
        <v>710</v>
      </c>
      <c r="P555" s="726"/>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5" customFormat="1" ht="12" customHeight="1">
      <c r="B556" s="634"/>
      <c r="J556" s="727" t="s">
        <v>2494</v>
      </c>
      <c r="K556" s="728"/>
      <c r="L556" s="725"/>
      <c r="M556" s="726"/>
      <c r="N556" s="1179" t="s">
        <v>2217</v>
      </c>
      <c r="O556" s="1179" t="s">
        <v>1161</v>
      </c>
      <c r="P556" s="726"/>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5" customFormat="1" ht="12" customHeight="1">
      <c r="B557" s="634"/>
      <c r="J557" s="727" t="s">
        <v>751</v>
      </c>
      <c r="K557" s="728"/>
      <c r="L557" s="725"/>
      <c r="M557" s="726"/>
      <c r="N557" s="1179" t="s">
        <v>1746</v>
      </c>
      <c r="O557" s="1179" t="s">
        <v>2145</v>
      </c>
      <c r="P557" s="2033"/>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5" customFormat="1" ht="12" customHeight="1">
      <c r="B558" s="634"/>
      <c r="J558" s="727" t="s">
        <v>753</v>
      </c>
      <c r="K558" s="728"/>
      <c r="L558" s="725"/>
      <c r="M558" s="726"/>
      <c r="N558" s="1179" t="s">
        <v>492</v>
      </c>
      <c r="O558" s="1179" t="s">
        <v>1406</v>
      </c>
      <c r="P558" s="726"/>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5" customFormat="1" ht="12" customHeight="1">
      <c r="B559" s="634"/>
      <c r="J559" s="727" t="s">
        <v>2434</v>
      </c>
      <c r="K559" s="728"/>
      <c r="L559" s="725"/>
      <c r="M559" s="726"/>
      <c r="N559" s="1179" t="s">
        <v>191</v>
      </c>
      <c r="O559" s="1179" t="s">
        <v>166</v>
      </c>
      <c r="P559" s="726"/>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5" customFormat="1" ht="12" customHeight="1">
      <c r="B560" s="634"/>
      <c r="J560" s="727" t="s">
        <v>45</v>
      </c>
      <c r="K560" s="728"/>
      <c r="L560" s="725"/>
      <c r="M560" s="726"/>
      <c r="N560" s="1179" t="s">
        <v>1345</v>
      </c>
      <c r="O560" s="1179" t="s">
        <v>343</v>
      </c>
      <c r="P560" s="726"/>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5" customFormat="1" ht="12" customHeight="1">
      <c r="B561" s="634"/>
      <c r="J561" s="727" t="s">
        <v>46</v>
      </c>
      <c r="K561" s="728"/>
      <c r="L561" s="725"/>
      <c r="M561" s="726"/>
      <c r="N561" s="1179" t="s">
        <v>1055</v>
      </c>
      <c r="O561" s="1179" t="s">
        <v>1549</v>
      </c>
      <c r="P561" s="726"/>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5" customFormat="1" ht="12" customHeight="1">
      <c r="B562" s="634"/>
      <c r="J562" s="727" t="s">
        <v>2397</v>
      </c>
      <c r="K562" s="728"/>
      <c r="L562" s="725"/>
      <c r="M562" s="726"/>
      <c r="N562" s="1179" t="s">
        <v>1124</v>
      </c>
      <c r="O562" s="1179" t="s">
        <v>182</v>
      </c>
      <c r="P562" s="726"/>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5" customFormat="1" ht="12" customHeight="1">
      <c r="B563" s="634"/>
      <c r="J563" s="727" t="s">
        <v>2425</v>
      </c>
      <c r="K563" s="728"/>
      <c r="L563" s="725"/>
      <c r="M563" s="726"/>
      <c r="N563" s="1179" t="s">
        <v>141</v>
      </c>
      <c r="O563" s="1179" t="s">
        <v>2706</v>
      </c>
      <c r="P563" s="726"/>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5" customFormat="1" ht="12" customHeight="1">
      <c r="B564" s="634"/>
      <c r="J564" s="727" t="s">
        <v>412</v>
      </c>
      <c r="K564" s="728"/>
      <c r="L564" s="725"/>
      <c r="M564" s="726"/>
      <c r="N564" s="1179" t="s">
        <v>2768</v>
      </c>
      <c r="O564" s="1179" t="s">
        <v>1418</v>
      </c>
      <c r="P564" s="726"/>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5" customFormat="1" ht="12" customHeight="1">
      <c r="B565" s="634"/>
      <c r="J565" s="727" t="s">
        <v>414</v>
      </c>
      <c r="K565" s="728"/>
      <c r="L565" s="725"/>
      <c r="M565" s="726"/>
      <c r="N565" s="1179" t="s">
        <v>144</v>
      </c>
      <c r="O565" s="1179" t="s">
        <v>701</v>
      </c>
      <c r="P565" s="726"/>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5" customFormat="1" ht="12" customHeight="1">
      <c r="B566" s="634"/>
      <c r="J566" s="727" t="s">
        <v>416</v>
      </c>
      <c r="K566" s="728"/>
      <c r="L566" s="725"/>
      <c r="M566" s="726"/>
      <c r="N566" s="703" t="s">
        <v>146</v>
      </c>
      <c r="O566" s="703" t="s">
        <v>2653</v>
      </c>
      <c r="P566" s="726"/>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5" customFormat="1" ht="12" customHeight="1">
      <c r="B567" s="634"/>
      <c r="J567" s="727" t="s">
        <v>418</v>
      </c>
      <c r="K567" s="728"/>
      <c r="L567" s="725"/>
      <c r="M567" s="726"/>
      <c r="N567" s="703" t="s">
        <v>2779</v>
      </c>
      <c r="O567" s="703" t="s">
        <v>1410</v>
      </c>
      <c r="P567" s="2032"/>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5" customFormat="1" ht="12" customHeight="1">
      <c r="B568" s="634"/>
      <c r="J568" s="727" t="s">
        <v>1691</v>
      </c>
      <c r="K568" s="728"/>
      <c r="L568" s="725"/>
      <c r="M568" s="726"/>
      <c r="N568" s="703" t="s">
        <v>2234</v>
      </c>
      <c r="O568" s="703" t="s">
        <v>2659</v>
      </c>
      <c r="P568" s="2032"/>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5" customFormat="1" ht="12" customHeight="1">
      <c r="B569" s="634"/>
      <c r="J569" s="727" t="s">
        <v>1693</v>
      </c>
      <c r="K569" s="728"/>
      <c r="L569" s="725"/>
      <c r="M569" s="726"/>
      <c r="N569" s="1179" t="s">
        <v>804</v>
      </c>
      <c r="O569" s="1179" t="s">
        <v>125</v>
      </c>
      <c r="P569" s="2032"/>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5" customFormat="1" ht="12" customHeight="1">
      <c r="B570" s="634"/>
      <c r="J570" s="727" t="s">
        <v>1695</v>
      </c>
      <c r="K570" s="728"/>
      <c r="L570" s="725"/>
      <c r="M570" s="726"/>
      <c r="N570" s="1179" t="s">
        <v>805</v>
      </c>
      <c r="O570" s="1179" t="s">
        <v>191</v>
      </c>
      <c r="P570" s="726"/>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5" customFormat="1" ht="12" customHeight="1">
      <c r="B571" s="634"/>
      <c r="J571" s="727" t="s">
        <v>2777</v>
      </c>
      <c r="K571" s="728"/>
      <c r="L571" s="725"/>
      <c r="M571" s="726"/>
      <c r="N571" s="1179" t="s">
        <v>752</v>
      </c>
      <c r="O571" s="1179" t="s">
        <v>783</v>
      </c>
      <c r="P571" s="726"/>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5" customFormat="1" ht="12" customHeight="1">
      <c r="B572" s="634"/>
      <c r="J572" s="727" t="s">
        <v>2620</v>
      </c>
      <c r="K572" s="728"/>
      <c r="L572" s="725"/>
      <c r="M572" s="726"/>
      <c r="N572" s="1179" t="s">
        <v>754</v>
      </c>
      <c r="O572" s="1179" t="s">
        <v>1170</v>
      </c>
      <c r="P572" s="726"/>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5" customFormat="1" ht="12" customHeight="1">
      <c r="B573" s="634"/>
      <c r="J573" s="727" t="s">
        <v>1956</v>
      </c>
      <c r="K573" s="728"/>
      <c r="L573" s="725"/>
      <c r="M573" s="726"/>
      <c r="N573" s="1179" t="s">
        <v>2435</v>
      </c>
      <c r="O573" s="1179" t="s">
        <v>1283</v>
      </c>
      <c r="P573" s="726"/>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5" customFormat="1" ht="12" customHeight="1">
      <c r="B574" s="634"/>
      <c r="J574" s="727" t="s">
        <v>1958</v>
      </c>
      <c r="K574" s="728"/>
      <c r="L574" s="725"/>
      <c r="M574" s="726"/>
      <c r="N574" s="1179" t="s">
        <v>2435</v>
      </c>
      <c r="O574" s="1179" t="s">
        <v>1283</v>
      </c>
      <c r="P574" s="726"/>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5" customFormat="1" ht="12" customHeight="1">
      <c r="B575" s="634"/>
      <c r="J575" s="727" t="s">
        <v>1960</v>
      </c>
      <c r="K575" s="728"/>
      <c r="L575" s="725"/>
      <c r="M575" s="726"/>
      <c r="N575" s="1179" t="s">
        <v>47</v>
      </c>
      <c r="O575" s="1179" t="s">
        <v>1409</v>
      </c>
      <c r="P575" s="726"/>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5" customFormat="1" ht="12" customHeight="1">
      <c r="B576" s="634"/>
      <c r="J576" s="727" t="s">
        <v>1961</v>
      </c>
      <c r="K576" s="728"/>
      <c r="L576" s="725"/>
      <c r="M576" s="726"/>
      <c r="N576" s="1179" t="s">
        <v>2398</v>
      </c>
      <c r="O576" s="1179" t="s">
        <v>1403</v>
      </c>
      <c r="P576" s="726"/>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5" customFormat="1" ht="12" customHeight="1">
      <c r="B577" s="634"/>
      <c r="J577" s="727" t="s">
        <v>1963</v>
      </c>
      <c r="K577" s="728"/>
      <c r="L577" s="725"/>
      <c r="M577" s="726"/>
      <c r="N577" s="1179" t="s">
        <v>884</v>
      </c>
      <c r="O577" s="1179" t="s">
        <v>182</v>
      </c>
      <c r="P577" s="726"/>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5" customFormat="1" ht="12" customHeight="1">
      <c r="B578" s="634"/>
      <c r="J578" s="727" t="s">
        <v>1965</v>
      </c>
      <c r="K578" s="728"/>
      <c r="L578" s="725"/>
      <c r="M578" s="726"/>
      <c r="N578" s="1179" t="s">
        <v>1092</v>
      </c>
      <c r="O578" s="1179" t="s">
        <v>1158</v>
      </c>
      <c r="P578" s="726"/>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5" customFormat="1" ht="12" customHeight="1">
      <c r="B579" s="634"/>
      <c r="J579" s="727" t="s">
        <v>1967</v>
      </c>
      <c r="K579" s="728"/>
      <c r="L579" s="725"/>
      <c r="M579" s="726"/>
      <c r="N579" s="1179" t="s">
        <v>413</v>
      </c>
      <c r="O579" s="1179" t="s">
        <v>2773</v>
      </c>
      <c r="P579" s="726"/>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5" customFormat="1" ht="12" customHeight="1">
      <c r="B580" s="634"/>
      <c r="J580" s="727" t="s">
        <v>1969</v>
      </c>
      <c r="K580" s="728"/>
      <c r="L580" s="725"/>
      <c r="M580" s="726"/>
      <c r="N580" s="1179" t="s">
        <v>415</v>
      </c>
      <c r="O580" s="1179" t="s">
        <v>2310</v>
      </c>
      <c r="P580" s="726"/>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5" customFormat="1" ht="12" customHeight="1">
      <c r="B581" s="634"/>
      <c r="J581" s="727" t="s">
        <v>1970</v>
      </c>
      <c r="K581" s="728"/>
      <c r="L581" s="725"/>
      <c r="M581" s="726"/>
      <c r="N581" s="1179" t="s">
        <v>417</v>
      </c>
      <c r="O581" s="1179" t="s">
        <v>2706</v>
      </c>
      <c r="P581" s="726"/>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5" customFormat="1" ht="12" customHeight="1">
      <c r="B582" s="634"/>
      <c r="J582" s="727" t="s">
        <v>1936</v>
      </c>
      <c r="K582" s="728"/>
      <c r="L582" s="725"/>
      <c r="M582" s="726"/>
      <c r="N582" s="1179" t="s">
        <v>2773</v>
      </c>
      <c r="O582" s="1179" t="s">
        <v>1905</v>
      </c>
      <c r="P582" s="2033"/>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5" customFormat="1" ht="12" customHeight="1">
      <c r="B583" s="634"/>
      <c r="J583" s="727" t="s">
        <v>1754</v>
      </c>
      <c r="K583" s="728"/>
      <c r="L583" s="725"/>
      <c r="M583" s="726"/>
      <c r="N583" s="1179" t="s">
        <v>1692</v>
      </c>
      <c r="O583" s="1179" t="s">
        <v>2657</v>
      </c>
      <c r="P583" s="726"/>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5" customFormat="1" ht="12" customHeight="1">
      <c r="B584" s="634"/>
      <c r="J584" s="727" t="s">
        <v>1755</v>
      </c>
      <c r="K584" s="728"/>
      <c r="L584" s="725"/>
      <c r="M584" s="726"/>
      <c r="N584" s="1179" t="s">
        <v>1694</v>
      </c>
      <c r="O584" s="1179" t="s">
        <v>341</v>
      </c>
      <c r="P584" s="726"/>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5" customFormat="1" ht="12" customHeight="1">
      <c r="B585" s="634"/>
      <c r="J585" s="727" t="s">
        <v>1757</v>
      </c>
      <c r="K585" s="728"/>
      <c r="L585" s="725"/>
      <c r="M585" s="726"/>
      <c r="N585" s="1179" t="s">
        <v>1533</v>
      </c>
      <c r="O585" s="1179" t="s">
        <v>124</v>
      </c>
      <c r="P585" s="726"/>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5" customFormat="1" ht="12" customHeight="1">
      <c r="B586" s="634"/>
      <c r="J586" s="727" t="s">
        <v>2423</v>
      </c>
      <c r="K586" s="728"/>
      <c r="L586" s="725"/>
      <c r="M586" s="726"/>
      <c r="N586" s="703" t="s">
        <v>2619</v>
      </c>
      <c r="O586" s="703" t="s">
        <v>2659</v>
      </c>
      <c r="P586" s="726"/>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5" customFormat="1" ht="12" customHeight="1">
      <c r="B587" s="634"/>
      <c r="J587" s="727" t="s">
        <v>592</v>
      </c>
      <c r="K587" s="728"/>
      <c r="L587" s="725"/>
      <c r="M587" s="726"/>
      <c r="N587" s="1179" t="s">
        <v>1125</v>
      </c>
      <c r="O587" s="1179" t="s">
        <v>669</v>
      </c>
      <c r="P587" s="2032"/>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5" customFormat="1" ht="12" customHeight="1">
      <c r="B588" s="634"/>
      <c r="J588" s="727" t="s">
        <v>594</v>
      </c>
      <c r="K588" s="728"/>
      <c r="L588" s="725"/>
      <c r="M588" s="726"/>
      <c r="N588" s="1179" t="s">
        <v>1126</v>
      </c>
      <c r="O588" s="1179" t="s">
        <v>669</v>
      </c>
      <c r="P588" s="726"/>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5" customFormat="1" ht="12" customHeight="1">
      <c r="B589" s="634"/>
      <c r="J589" s="727" t="s">
        <v>596</v>
      </c>
      <c r="K589" s="728"/>
      <c r="L589" s="725"/>
      <c r="M589" s="726"/>
      <c r="N589" s="1179" t="s">
        <v>1127</v>
      </c>
      <c r="O589" s="1179" t="s">
        <v>669</v>
      </c>
      <c r="P589" s="726"/>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5" customFormat="1" ht="12" customHeight="1">
      <c r="B590" s="634"/>
      <c r="J590" s="727" t="s">
        <v>2192</v>
      </c>
      <c r="K590" s="728"/>
      <c r="L590" s="725"/>
      <c r="M590" s="726"/>
      <c r="N590" s="1179" t="s">
        <v>1946</v>
      </c>
      <c r="O590" s="1179" t="s">
        <v>2774</v>
      </c>
      <c r="P590" s="726"/>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5" customFormat="1" ht="12" customHeight="1">
      <c r="B591" s="634"/>
      <c r="J591" s="727" t="s">
        <v>1543</v>
      </c>
      <c r="K591" s="728"/>
      <c r="L591" s="725"/>
      <c r="M591" s="726"/>
      <c r="N591" s="1179" t="s">
        <v>1957</v>
      </c>
      <c r="O591" s="1179" t="s">
        <v>107</v>
      </c>
      <c r="P591" s="726"/>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5" customFormat="1" ht="12" customHeight="1">
      <c r="B592" s="634"/>
      <c r="J592" s="727" t="s">
        <v>1545</v>
      </c>
      <c r="K592" s="728"/>
      <c r="L592" s="725"/>
      <c r="M592" s="726"/>
      <c r="N592" s="1179" t="s">
        <v>1959</v>
      </c>
      <c r="O592" s="1179" t="s">
        <v>2392</v>
      </c>
      <c r="P592" s="726"/>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5" customFormat="1" ht="12" customHeight="1">
      <c r="B593" s="634"/>
      <c r="J593" s="727" t="s">
        <v>1546</v>
      </c>
      <c r="K593" s="728"/>
      <c r="L593" s="725"/>
      <c r="M593" s="726"/>
      <c r="N593" s="1179" t="s">
        <v>1962</v>
      </c>
      <c r="O593" s="1179" t="s">
        <v>2392</v>
      </c>
      <c r="P593" s="726"/>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5" customFormat="1" ht="12" customHeight="1">
      <c r="B594" s="634"/>
      <c r="J594" s="727" t="s">
        <v>1689</v>
      </c>
      <c r="K594" s="728"/>
      <c r="L594" s="725"/>
      <c r="M594" s="726"/>
      <c r="N594" s="1179" t="s">
        <v>1964</v>
      </c>
      <c r="O594" s="1179" t="s">
        <v>329</v>
      </c>
      <c r="P594" s="726"/>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5" customFormat="1" ht="12" customHeight="1">
      <c r="B595" s="634"/>
      <c r="J595" s="727" t="s">
        <v>2258</v>
      </c>
      <c r="K595" s="728"/>
      <c r="L595" s="725"/>
      <c r="M595" s="726"/>
      <c r="N595" s="1179" t="s">
        <v>1966</v>
      </c>
      <c r="O595" s="1179" t="s">
        <v>1779</v>
      </c>
      <c r="P595" s="726"/>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5" customFormat="1" ht="12" customHeight="1">
      <c r="B596" s="634"/>
      <c r="J596" s="727" t="s">
        <v>2260</v>
      </c>
      <c r="K596" s="728"/>
      <c r="L596" s="725"/>
      <c r="M596" s="726"/>
      <c r="N596" s="1179" t="s">
        <v>1968</v>
      </c>
      <c r="O596" s="1179" t="s">
        <v>339</v>
      </c>
      <c r="P596" s="726"/>
      <c r="R596" s="703" t="s">
        <v>97</v>
      </c>
      <c r="S596" s="703" t="s">
        <v>99</v>
      </c>
      <c r="T596" s="703"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5" customFormat="1" ht="12" customHeight="1">
      <c r="B597" s="634"/>
      <c r="J597" s="727" t="s">
        <v>2262</v>
      </c>
      <c r="K597" s="728"/>
      <c r="L597" s="725"/>
      <c r="M597" s="726"/>
      <c r="N597" s="703" t="s">
        <v>2774</v>
      </c>
      <c r="O597" s="703" t="s">
        <v>109</v>
      </c>
      <c r="P597" s="726"/>
      <c r="R597" s="703" t="s">
        <v>2745</v>
      </c>
      <c r="S597" s="703" t="s">
        <v>669</v>
      </c>
      <c r="T597" s="2032" t="s">
        <v>2281</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5" customFormat="1" ht="12" customHeight="1">
      <c r="B598" s="634"/>
      <c r="J598" s="727" t="s">
        <v>1535</v>
      </c>
      <c r="K598" s="728"/>
      <c r="L598" s="725"/>
      <c r="M598" s="726"/>
      <c r="N598" s="1179" t="s">
        <v>2081</v>
      </c>
      <c r="O598" s="1179" t="s">
        <v>111</v>
      </c>
      <c r="P598" s="2032"/>
      <c r="R598" s="703" t="s">
        <v>2746</v>
      </c>
      <c r="S598" s="703" t="s">
        <v>337</v>
      </c>
      <c r="T598" s="2032" t="s">
        <v>2281</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5" customFormat="1" ht="12" customHeight="1">
      <c r="B599" s="634"/>
      <c r="J599" s="727" t="s">
        <v>1537</v>
      </c>
      <c r="K599" s="728"/>
      <c r="L599" s="725"/>
      <c r="M599" s="726"/>
      <c r="N599" s="1179" t="s">
        <v>1937</v>
      </c>
      <c r="O599" s="1179" t="s">
        <v>1159</v>
      </c>
      <c r="P599" s="726"/>
      <c r="R599" s="703" t="s">
        <v>2747</v>
      </c>
      <c r="S599" s="703" t="s">
        <v>2653</v>
      </c>
      <c r="T599" s="2032" t="s">
        <v>2281</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5" customFormat="1" ht="12" customHeight="1">
      <c r="B600" s="634"/>
      <c r="J600" s="727" t="s">
        <v>1663</v>
      </c>
      <c r="K600" s="728"/>
      <c r="L600" s="725"/>
      <c r="M600" s="726"/>
      <c r="N600" s="1179" t="s">
        <v>2775</v>
      </c>
      <c r="O600" s="1179" t="s">
        <v>1406</v>
      </c>
      <c r="P600" s="726"/>
      <c r="R600" s="703" t="s">
        <v>2748</v>
      </c>
      <c r="S600" s="703"/>
      <c r="T600" s="2032" t="s">
        <v>2281</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5" customFormat="1" ht="12" customHeight="1">
      <c r="B601" s="634"/>
      <c r="J601" s="727" t="s">
        <v>1665</v>
      </c>
      <c r="K601" s="728"/>
      <c r="L601" s="725"/>
      <c r="M601" s="726"/>
      <c r="N601" s="1179" t="s">
        <v>1756</v>
      </c>
      <c r="O601" s="1179" t="s">
        <v>2310</v>
      </c>
      <c r="P601" s="726"/>
      <c r="R601" s="703" t="s">
        <v>2749</v>
      </c>
      <c r="S601" s="703" t="s">
        <v>2144</v>
      </c>
      <c r="T601" s="2032" t="s">
        <v>2281</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5" customFormat="1" ht="12" customHeight="1">
      <c r="B602" s="634"/>
      <c r="J602" s="727" t="s">
        <v>2190</v>
      </c>
      <c r="K602" s="728"/>
      <c r="L602" s="725"/>
      <c r="M602" s="726"/>
      <c r="N602" s="1179" t="s">
        <v>885</v>
      </c>
      <c r="O602" s="1179" t="s">
        <v>2317</v>
      </c>
      <c r="P602" s="726"/>
      <c r="R602" s="703" t="s">
        <v>2750</v>
      </c>
      <c r="S602" s="703" t="s">
        <v>2653</v>
      </c>
      <c r="T602" s="2032" t="s">
        <v>2281</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5" customFormat="1" ht="12" customHeight="1">
      <c r="B603" s="634"/>
      <c r="J603" s="727" t="s">
        <v>2003</v>
      </c>
      <c r="K603" s="728"/>
      <c r="L603" s="725"/>
      <c r="M603" s="726"/>
      <c r="N603" s="1179" t="s">
        <v>2422</v>
      </c>
      <c r="O603" s="1179" t="s">
        <v>1781</v>
      </c>
      <c r="P603" s="726"/>
      <c r="R603" s="703" t="s">
        <v>2751</v>
      </c>
      <c r="S603" s="703" t="s">
        <v>1413</v>
      </c>
      <c r="T603" s="2032" t="s">
        <v>2281</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5" customFormat="1" ht="12" customHeight="1">
      <c r="B604" s="634"/>
      <c r="J604" s="727" t="s">
        <v>292</v>
      </c>
      <c r="K604" s="728"/>
      <c r="L604" s="725"/>
      <c r="M604" s="726"/>
      <c r="N604" s="1179" t="s">
        <v>2424</v>
      </c>
      <c r="O604" s="1179" t="s">
        <v>2314</v>
      </c>
      <c r="P604" s="726"/>
      <c r="R604" s="703" t="s">
        <v>2752</v>
      </c>
      <c r="S604" s="703" t="s">
        <v>2146</v>
      </c>
      <c r="T604" s="2032" t="s">
        <v>2281</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5" customFormat="1" ht="12" customHeight="1">
      <c r="B605" s="634"/>
      <c r="J605" s="727" t="s">
        <v>1803</v>
      </c>
      <c r="K605" s="728"/>
      <c r="L605" s="725"/>
      <c r="M605" s="726"/>
      <c r="N605" s="1179" t="s">
        <v>593</v>
      </c>
      <c r="O605" s="1179" t="s">
        <v>2773</v>
      </c>
      <c r="P605" s="726"/>
      <c r="R605" s="703" t="s">
        <v>2753</v>
      </c>
      <c r="S605" s="703" t="s">
        <v>712</v>
      </c>
      <c r="T605" s="2032" t="s">
        <v>2281</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5" customFormat="1" ht="12" customHeight="1">
      <c r="B606" s="634"/>
      <c r="J606" s="727" t="s">
        <v>275</v>
      </c>
      <c r="K606" s="728"/>
      <c r="L606" s="725"/>
      <c r="M606" s="726"/>
      <c r="N606" s="1179" t="s">
        <v>595</v>
      </c>
      <c r="O606" s="1179" t="s">
        <v>1283</v>
      </c>
      <c r="P606" s="726"/>
      <c r="R606" s="703" t="s">
        <v>2754</v>
      </c>
      <c r="S606" s="703" t="s">
        <v>669</v>
      </c>
      <c r="T606" s="2032" t="s">
        <v>2281</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5" customFormat="1" ht="12" customHeight="1">
      <c r="B607" s="634"/>
      <c r="J607" s="727" t="s">
        <v>289</v>
      </c>
      <c r="K607" s="728"/>
      <c r="L607" s="725"/>
      <c r="M607" s="726"/>
      <c r="N607" s="1179" t="s">
        <v>1128</v>
      </c>
      <c r="O607" s="1179" t="s">
        <v>669</v>
      </c>
      <c r="P607" s="726"/>
      <c r="R607" s="703" t="s">
        <v>2755</v>
      </c>
      <c r="S607" s="703" t="s">
        <v>2314</v>
      </c>
      <c r="T607" s="2032" t="s">
        <v>2281</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5" customFormat="1" ht="12" customHeight="1">
      <c r="B608" s="634"/>
      <c r="J608" s="727" t="s">
        <v>1255</v>
      </c>
      <c r="K608" s="728"/>
      <c r="L608" s="725"/>
      <c r="M608" s="726"/>
      <c r="N608" s="1179" t="s">
        <v>597</v>
      </c>
      <c r="O608" s="1179" t="s">
        <v>1778</v>
      </c>
      <c r="P608" s="726"/>
      <c r="R608" s="703" t="s">
        <v>2756</v>
      </c>
      <c r="S608" s="703" t="s">
        <v>2706</v>
      </c>
      <c r="T608" s="2032" t="s">
        <v>2281</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5" customFormat="1" ht="12" customHeight="1">
      <c r="B609" s="634"/>
      <c r="J609" s="727" t="s">
        <v>793</v>
      </c>
      <c r="K609" s="728"/>
      <c r="L609" s="725"/>
      <c r="M609" s="726"/>
      <c r="N609" s="1179" t="s">
        <v>1249</v>
      </c>
      <c r="O609" s="1179" t="s">
        <v>1159</v>
      </c>
      <c r="P609" s="726"/>
      <c r="R609" s="703" t="s">
        <v>2394</v>
      </c>
      <c r="S609" s="703" t="s">
        <v>2703</v>
      </c>
      <c r="T609" s="2032" t="s">
        <v>2281</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5" customFormat="1" ht="12" customHeight="1">
      <c r="B610" s="634"/>
      <c r="J610" s="727" t="s">
        <v>795</v>
      </c>
      <c r="K610" s="728"/>
      <c r="L610" s="725"/>
      <c r="M610" s="726"/>
      <c r="N610" s="1179" t="s">
        <v>1544</v>
      </c>
      <c r="O610" s="1179" t="s">
        <v>1779</v>
      </c>
      <c r="P610" s="726"/>
      <c r="R610" s="703" t="s">
        <v>2757</v>
      </c>
      <c r="S610" s="703" t="s">
        <v>2314</v>
      </c>
      <c r="T610" s="2032" t="s">
        <v>2281</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5" customFormat="1" ht="12" customHeight="1">
      <c r="B611" s="634"/>
      <c r="J611" s="727" t="s">
        <v>1089</v>
      </c>
      <c r="K611" s="728"/>
      <c r="L611" s="725"/>
      <c r="M611" s="726"/>
      <c r="N611" s="1179" t="s">
        <v>3506</v>
      </c>
      <c r="O611" s="1179" t="s">
        <v>1405</v>
      </c>
      <c r="P611" s="726"/>
      <c r="R611" s="703" t="s">
        <v>2758</v>
      </c>
      <c r="S611" s="703" t="s">
        <v>2656</v>
      </c>
      <c r="T611" s="2032" t="s">
        <v>2281</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5" customFormat="1" ht="12" customHeight="1">
      <c r="B612" s="634"/>
      <c r="J612" s="727" t="s">
        <v>1091</v>
      </c>
      <c r="K612" s="728"/>
      <c r="L612" s="725"/>
      <c r="M612" s="726"/>
      <c r="N612" s="1179" t="s">
        <v>1547</v>
      </c>
      <c r="O612" s="1179" t="s">
        <v>703</v>
      </c>
      <c r="P612" s="2033"/>
      <c r="R612" s="703" t="s">
        <v>2759</v>
      </c>
      <c r="S612" s="703" t="s">
        <v>2144</v>
      </c>
      <c r="T612" s="2032" t="s">
        <v>2281</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5" customFormat="1" ht="12" customHeight="1">
      <c r="B613" s="634"/>
      <c r="J613" s="727" t="s">
        <v>1941</v>
      </c>
      <c r="K613" s="728"/>
      <c r="L613" s="725"/>
      <c r="M613" s="726"/>
      <c r="N613" s="703" t="s">
        <v>3507</v>
      </c>
      <c r="O613" s="703" t="s">
        <v>124</v>
      </c>
      <c r="P613" s="726"/>
      <c r="R613" s="703" t="s">
        <v>1110</v>
      </c>
      <c r="S613" s="703" t="s">
        <v>1552</v>
      </c>
      <c r="T613" s="2032" t="s">
        <v>2281</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5" customFormat="1" ht="12" customHeight="1">
      <c r="B614" s="634"/>
      <c r="J614" s="727" t="s">
        <v>1943</v>
      </c>
      <c r="K614" s="728"/>
      <c r="L614" s="725"/>
      <c r="M614" s="726"/>
      <c r="N614" s="1179" t="s">
        <v>1690</v>
      </c>
      <c r="O614" s="1179" t="s">
        <v>1901</v>
      </c>
      <c r="P614" s="2032"/>
      <c r="R614" s="703" t="s">
        <v>960</v>
      </c>
      <c r="S614" s="703" t="s">
        <v>1168</v>
      </c>
      <c r="T614" s="2032" t="s">
        <v>2281</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5" customFormat="1" ht="12" customHeight="1">
      <c r="B615" s="634"/>
      <c r="J615" s="727" t="s">
        <v>1944</v>
      </c>
      <c r="K615" s="728"/>
      <c r="L615" s="725"/>
      <c r="M615" s="726"/>
      <c r="N615" s="1179" t="s">
        <v>2259</v>
      </c>
      <c r="O615" s="1179" t="s">
        <v>1744</v>
      </c>
      <c r="P615" s="726"/>
      <c r="R615" s="703" t="s">
        <v>1111</v>
      </c>
      <c r="S615" s="703" t="s">
        <v>669</v>
      </c>
      <c r="T615" s="2032" t="s">
        <v>2281</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5" customFormat="1" ht="12" customHeight="1">
      <c r="B616" s="634"/>
      <c r="J616" s="727" t="s">
        <v>1203</v>
      </c>
      <c r="K616" s="728"/>
      <c r="L616" s="725"/>
      <c r="M616" s="726"/>
      <c r="N616" s="703" t="s">
        <v>2261</v>
      </c>
      <c r="O616" s="703" t="s">
        <v>1411</v>
      </c>
      <c r="P616" s="726"/>
      <c r="R616" s="703" t="s">
        <v>1112</v>
      </c>
      <c r="S616" s="703" t="s">
        <v>2046</v>
      </c>
      <c r="T616" s="2032" t="s">
        <v>2281</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5" customFormat="1" ht="12" customHeight="1">
      <c r="B617" s="634"/>
      <c r="J617" s="727" t="s">
        <v>420</v>
      </c>
      <c r="K617" s="728"/>
      <c r="L617" s="725"/>
      <c r="M617" s="726"/>
      <c r="N617" s="1179" t="s">
        <v>1534</v>
      </c>
      <c r="O617" s="1179" t="s">
        <v>341</v>
      </c>
      <c r="P617" s="2032"/>
      <c r="R617" s="703" t="s">
        <v>1113</v>
      </c>
      <c r="S617" s="703" t="s">
        <v>2142</v>
      </c>
      <c r="T617" s="2032" t="s">
        <v>2281</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5" customFormat="1" ht="12" customHeight="1">
      <c r="B618" s="634"/>
      <c r="J618" s="727" t="s">
        <v>4</v>
      </c>
      <c r="K618" s="728"/>
      <c r="L618" s="725"/>
      <c r="M618" s="726"/>
      <c r="N618" s="1179" t="s">
        <v>3508</v>
      </c>
      <c r="O618" s="1179" t="s">
        <v>348</v>
      </c>
      <c r="P618" s="726"/>
      <c r="R618" s="703" t="s">
        <v>1114</v>
      </c>
      <c r="S618" s="703" t="s">
        <v>1161</v>
      </c>
      <c r="T618" s="2032" t="s">
        <v>2281</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5" customFormat="1" ht="12" customHeight="1">
      <c r="B619" s="634"/>
      <c r="J619" s="727" t="s">
        <v>6</v>
      </c>
      <c r="K619" s="728"/>
      <c r="L619" s="725"/>
      <c r="M619" s="726"/>
      <c r="N619" s="1179" t="s">
        <v>1536</v>
      </c>
      <c r="O619" s="1179" t="s">
        <v>338</v>
      </c>
      <c r="P619" s="726"/>
      <c r="Q619" s="2034"/>
      <c r="R619" s="703" t="s">
        <v>1115</v>
      </c>
      <c r="S619" s="703" t="s">
        <v>1626</v>
      </c>
      <c r="T619" s="2032" t="s">
        <v>2281</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5" customFormat="1" ht="12" customHeight="1">
      <c r="B620" s="634"/>
      <c r="J620" s="727" t="s">
        <v>8</v>
      </c>
      <c r="K620" s="728"/>
      <c r="L620" s="725"/>
      <c r="M620" s="726"/>
      <c r="N620" s="703" t="s">
        <v>1129</v>
      </c>
      <c r="O620" s="703" t="s">
        <v>1781</v>
      </c>
      <c r="P620" s="726"/>
      <c r="R620" s="703" t="s">
        <v>1116</v>
      </c>
      <c r="S620" s="703" t="s">
        <v>2653</v>
      </c>
      <c r="T620" s="2032" t="s">
        <v>2281</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5" customFormat="1" ht="12" customHeight="1">
      <c r="B621" s="634"/>
      <c r="J621" s="727" t="s">
        <v>10</v>
      </c>
      <c r="K621" s="728"/>
      <c r="L621" s="725"/>
      <c r="M621" s="726"/>
      <c r="N621" s="703" t="s">
        <v>1538</v>
      </c>
      <c r="O621" s="703" t="s">
        <v>669</v>
      </c>
      <c r="P621" s="2032"/>
      <c r="R621" s="703" t="s">
        <v>1117</v>
      </c>
      <c r="S621" s="703" t="s">
        <v>166</v>
      </c>
      <c r="T621" s="2032" t="s">
        <v>2281</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5" customFormat="1" ht="12" customHeight="1">
      <c r="B622" s="634"/>
      <c r="J622" s="727" t="s">
        <v>2283</v>
      </c>
      <c r="K622" s="728"/>
      <c r="L622" s="725"/>
      <c r="M622" s="726"/>
      <c r="N622" s="1179" t="s">
        <v>1664</v>
      </c>
      <c r="O622" s="1179" t="s">
        <v>333</v>
      </c>
      <c r="P622" s="2032"/>
      <c r="R622" s="703" t="s">
        <v>1118</v>
      </c>
      <c r="S622" s="703" t="s">
        <v>1420</v>
      </c>
      <c r="T622" s="2032" t="s">
        <v>2281</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5" customFormat="1" ht="12" customHeight="1">
      <c r="B623" s="634"/>
      <c r="J623" s="727" t="s">
        <v>2285</v>
      </c>
      <c r="K623" s="728"/>
      <c r="L623" s="725"/>
      <c r="M623" s="726"/>
      <c r="N623" s="1179" t="s">
        <v>2191</v>
      </c>
      <c r="O623" s="1179" t="s">
        <v>1010</v>
      </c>
      <c r="P623" s="726"/>
      <c r="R623" s="703" t="s">
        <v>1119</v>
      </c>
      <c r="S623" s="703" t="s">
        <v>1626</v>
      </c>
      <c r="T623" s="2032" t="s">
        <v>2281</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5" customFormat="1" ht="12" customHeight="1">
      <c r="B624" s="634"/>
      <c r="J624" s="727" t="s">
        <v>2287</v>
      </c>
      <c r="K624" s="728"/>
      <c r="L624" s="725"/>
      <c r="M624" s="726"/>
      <c r="N624" s="1179" t="s">
        <v>2004</v>
      </c>
      <c r="O624" s="1179" t="s">
        <v>2086</v>
      </c>
      <c r="P624" s="726"/>
      <c r="R624" s="703" t="s">
        <v>1120</v>
      </c>
      <c r="S624" s="703" t="s">
        <v>1175</v>
      </c>
      <c r="T624" s="2032" t="s">
        <v>2281</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5" customFormat="1" ht="12" customHeight="1">
      <c r="B625" s="634"/>
      <c r="J625" s="727" t="s">
        <v>2289</v>
      </c>
      <c r="K625" s="728"/>
      <c r="L625" s="725"/>
      <c r="M625" s="726"/>
      <c r="N625" s="1179" t="s">
        <v>293</v>
      </c>
      <c r="O625" s="1179" t="s">
        <v>2086</v>
      </c>
      <c r="P625" s="726"/>
      <c r="R625" s="703" t="s">
        <v>1121</v>
      </c>
      <c r="S625" s="703" t="s">
        <v>2142</v>
      </c>
      <c r="T625" s="2032" t="s">
        <v>2281</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5" customFormat="1" ht="12" customHeight="1">
      <c r="B626" s="634"/>
      <c r="J626" s="727" t="s">
        <v>2291</v>
      </c>
      <c r="K626" s="728"/>
      <c r="L626" s="725"/>
      <c r="M626" s="726"/>
      <c r="N626" s="1179" t="s">
        <v>1804</v>
      </c>
      <c r="O626" s="1179" t="s">
        <v>2319</v>
      </c>
      <c r="P626" s="726"/>
      <c r="R626" s="1179" t="s">
        <v>882</v>
      </c>
      <c r="S626" s="1179" t="s">
        <v>928</v>
      </c>
      <c r="T626" s="2032" t="s">
        <v>2281</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5" customFormat="1" ht="12" customHeight="1">
      <c r="B627" s="634"/>
      <c r="J627" s="727" t="s">
        <v>91</v>
      </c>
      <c r="K627" s="728"/>
      <c r="L627" s="725"/>
      <c r="M627" s="726"/>
      <c r="N627" s="1179" t="s">
        <v>276</v>
      </c>
      <c r="O627" s="1179" t="s">
        <v>713</v>
      </c>
      <c r="P627" s="726"/>
      <c r="R627" s="703" t="s">
        <v>1122</v>
      </c>
      <c r="S627" s="703" t="s">
        <v>2656</v>
      </c>
      <c r="T627" s="2032" t="s">
        <v>2281</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5" customFormat="1" ht="12" customHeight="1">
      <c r="B628" s="634"/>
      <c r="J628" s="727" t="s">
        <v>2154</v>
      </c>
      <c r="K628" s="728"/>
      <c r="L628" s="725"/>
      <c r="M628" s="726"/>
      <c r="N628" s="1179" t="s">
        <v>1254</v>
      </c>
      <c r="O628" s="1179" t="s">
        <v>166</v>
      </c>
      <c r="P628" s="726"/>
      <c r="R628" s="703" t="s">
        <v>1716</v>
      </c>
      <c r="S628" s="703" t="s">
        <v>2703</v>
      </c>
      <c r="T628" s="2032" t="s">
        <v>2281</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5" customFormat="1" ht="12" customHeight="1">
      <c r="B629" s="634"/>
      <c r="J629" s="727" t="s">
        <v>1620</v>
      </c>
      <c r="K629" s="728"/>
      <c r="L629" s="725"/>
      <c r="M629" s="726"/>
      <c r="N629" s="1179" t="s">
        <v>1256</v>
      </c>
      <c r="O629" s="1179" t="s">
        <v>166</v>
      </c>
      <c r="P629" s="726"/>
      <c r="R629" s="703" t="s">
        <v>1123</v>
      </c>
      <c r="S629" s="703"/>
      <c r="T629" s="2032" t="s">
        <v>2281</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5" customFormat="1" ht="12" customHeight="1">
      <c r="B630" s="634"/>
      <c r="J630" s="727" t="s">
        <v>1622</v>
      </c>
      <c r="K630" s="728"/>
      <c r="L630" s="725"/>
      <c r="M630" s="726"/>
      <c r="N630" s="1179" t="s">
        <v>794</v>
      </c>
      <c r="O630" s="1179" t="s">
        <v>1413</v>
      </c>
      <c r="P630" s="726"/>
      <c r="R630" s="703" t="s">
        <v>191</v>
      </c>
      <c r="S630" s="703" t="s">
        <v>166</v>
      </c>
      <c r="T630" s="2032" t="s">
        <v>2281</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5" customFormat="1" ht="12" customHeight="1">
      <c r="B631" s="634"/>
      <c r="J631" s="727" t="s">
        <v>1624</v>
      </c>
      <c r="K631" s="728"/>
      <c r="L631" s="725"/>
      <c r="M631" s="726"/>
      <c r="N631" s="1179" t="s">
        <v>258</v>
      </c>
      <c r="O631" s="1179" t="s">
        <v>2773</v>
      </c>
      <c r="P631" s="726"/>
      <c r="R631" s="703" t="s">
        <v>1124</v>
      </c>
      <c r="S631" s="703" t="s">
        <v>182</v>
      </c>
      <c r="T631" s="2032" t="s">
        <v>2281</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5" customFormat="1" ht="12" customHeight="1">
      <c r="B632" s="634"/>
      <c r="J632" s="727" t="s">
        <v>65</v>
      </c>
      <c r="K632" s="728"/>
      <c r="L632" s="725"/>
      <c r="M632" s="726"/>
      <c r="N632" s="1179" t="s">
        <v>1090</v>
      </c>
      <c r="O632" s="1179" t="s">
        <v>2562</v>
      </c>
      <c r="P632" s="726"/>
      <c r="R632" s="703" t="s">
        <v>2435</v>
      </c>
      <c r="S632" s="703" t="s">
        <v>1283</v>
      </c>
      <c r="T632" s="2032" t="s">
        <v>2281</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5" customFormat="1" ht="12" customHeight="1">
      <c r="B633" s="634"/>
      <c r="J633" s="727" t="s">
        <v>67</v>
      </c>
      <c r="K633" s="728"/>
      <c r="L633" s="725"/>
      <c r="M633" s="726"/>
      <c r="N633" s="1179" t="s">
        <v>1873</v>
      </c>
      <c r="O633" s="1179" t="s">
        <v>2656</v>
      </c>
      <c r="P633" s="726"/>
      <c r="R633" s="703" t="s">
        <v>1125</v>
      </c>
      <c r="S633" s="703" t="s">
        <v>669</v>
      </c>
      <c r="T633" s="2032" t="s">
        <v>2281</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5" customFormat="1" ht="12" customHeight="1">
      <c r="B634" s="634"/>
      <c r="J634" s="727" t="s">
        <v>69</v>
      </c>
      <c r="K634" s="728"/>
      <c r="L634" s="725"/>
      <c r="M634" s="726"/>
      <c r="N634" s="1179" t="s">
        <v>1942</v>
      </c>
      <c r="O634" s="1179" t="s">
        <v>113</v>
      </c>
      <c r="P634" s="726"/>
      <c r="R634" s="703" t="s">
        <v>1126</v>
      </c>
      <c r="S634" s="703" t="s">
        <v>669</v>
      </c>
      <c r="T634" s="2032" t="s">
        <v>2281</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5" customFormat="1" ht="12" customHeight="1">
      <c r="B635" s="634"/>
      <c r="J635" s="727" t="s">
        <v>71</v>
      </c>
      <c r="K635" s="728"/>
      <c r="L635" s="725"/>
      <c r="M635" s="726"/>
      <c r="N635" s="1179" t="s">
        <v>1164</v>
      </c>
      <c r="O635" s="1179" t="s">
        <v>781</v>
      </c>
      <c r="P635" s="726"/>
      <c r="R635" s="703" t="s">
        <v>1127</v>
      </c>
      <c r="S635" s="703" t="s">
        <v>669</v>
      </c>
      <c r="T635" s="2032" t="s">
        <v>2281</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5" customFormat="1" ht="12" customHeight="1">
      <c r="B636" s="634"/>
      <c r="J636" s="727" t="s">
        <v>73</v>
      </c>
      <c r="K636" s="728"/>
      <c r="L636" s="725"/>
      <c r="M636" s="726"/>
      <c r="N636" s="1179" t="s">
        <v>1130</v>
      </c>
      <c r="O636" s="1179" t="s">
        <v>1012</v>
      </c>
      <c r="P636" s="726"/>
      <c r="R636" s="703" t="s">
        <v>1128</v>
      </c>
      <c r="S636" s="703" t="s">
        <v>669</v>
      </c>
      <c r="T636" s="2032" t="s">
        <v>2281</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5" customFormat="1" ht="12" customHeight="1">
      <c r="B637" s="634"/>
      <c r="J637" s="727" t="s">
        <v>828</v>
      </c>
      <c r="K637" s="728"/>
      <c r="L637" s="725"/>
      <c r="M637" s="726"/>
      <c r="N637" s="1179" t="s">
        <v>1168</v>
      </c>
      <c r="O637" s="1179" t="s">
        <v>1410</v>
      </c>
      <c r="P637" s="726"/>
      <c r="R637" s="703" t="s">
        <v>1129</v>
      </c>
      <c r="S637" s="703" t="s">
        <v>1781</v>
      </c>
      <c r="T637" s="2032" t="s">
        <v>2281</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5" customFormat="1" ht="12" customHeight="1">
      <c r="B638" s="634"/>
      <c r="J638" s="727" t="s">
        <v>777</v>
      </c>
      <c r="K638" s="728"/>
      <c r="L638" s="725"/>
      <c r="M638" s="726"/>
      <c r="N638" s="1179" t="s">
        <v>421</v>
      </c>
      <c r="O638" s="1179" t="s">
        <v>713</v>
      </c>
      <c r="P638" s="726"/>
      <c r="R638" s="703" t="s">
        <v>1130</v>
      </c>
      <c r="S638" s="703" t="s">
        <v>1012</v>
      </c>
      <c r="T638" s="2032" t="s">
        <v>2281</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5" customFormat="1" ht="12" customHeight="1">
      <c r="B639" s="634"/>
      <c r="J639" s="727" t="s">
        <v>779</v>
      </c>
      <c r="K639" s="728"/>
      <c r="L639" s="725"/>
      <c r="M639" s="726"/>
      <c r="N639" s="703" t="s">
        <v>1131</v>
      </c>
      <c r="O639" s="703" t="s">
        <v>125</v>
      </c>
      <c r="P639" s="726"/>
      <c r="R639" s="703" t="s">
        <v>1131</v>
      </c>
      <c r="S639" s="703" t="s">
        <v>125</v>
      </c>
      <c r="T639" s="2032" t="s">
        <v>2281</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5" customFormat="1" ht="12" customHeight="1">
      <c r="B640" s="634"/>
      <c r="J640" s="727" t="s">
        <v>1250</v>
      </c>
      <c r="K640" s="728"/>
      <c r="L640" s="725"/>
      <c r="M640" s="726"/>
      <c r="N640" s="1179" t="s">
        <v>5</v>
      </c>
      <c r="O640" s="1179" t="s">
        <v>1403</v>
      </c>
      <c r="P640" s="2032"/>
      <c r="R640" s="703" t="s">
        <v>1132</v>
      </c>
      <c r="S640" s="703" t="s">
        <v>669</v>
      </c>
      <c r="T640" s="2032" t="s">
        <v>2281</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5" customFormat="1" ht="12" customHeight="1">
      <c r="B641" s="634"/>
      <c r="J641" s="727" t="s">
        <v>1105</v>
      </c>
      <c r="K641" s="728"/>
      <c r="L641" s="725"/>
      <c r="M641" s="726"/>
      <c r="N641" s="1179" t="s">
        <v>7</v>
      </c>
      <c r="O641" s="1179" t="s">
        <v>2558</v>
      </c>
      <c r="P641" s="726"/>
      <c r="R641" s="703" t="s">
        <v>1133</v>
      </c>
      <c r="S641" s="703" t="s">
        <v>334</v>
      </c>
      <c r="T641" s="2032" t="s">
        <v>2281</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5" customFormat="1" ht="12" customHeight="1">
      <c r="B642" s="634"/>
      <c r="J642" s="727" t="s">
        <v>1106</v>
      </c>
      <c r="K642" s="728"/>
      <c r="L642" s="725"/>
      <c r="M642" s="726"/>
      <c r="N642" s="1179" t="s">
        <v>9</v>
      </c>
      <c r="O642" s="1179" t="s">
        <v>2052</v>
      </c>
      <c r="P642" s="726"/>
      <c r="R642" s="703" t="s">
        <v>1134</v>
      </c>
      <c r="S642" s="703" t="s">
        <v>338</v>
      </c>
      <c r="T642" s="2032" t="s">
        <v>2281</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5" customFormat="1" ht="12" customHeight="1">
      <c r="B643" s="634"/>
      <c r="J643" s="727" t="s">
        <v>1108</v>
      </c>
      <c r="K643" s="728"/>
      <c r="L643" s="725"/>
      <c r="M643" s="726"/>
      <c r="N643" s="1179" t="s">
        <v>1132</v>
      </c>
      <c r="O643" s="1179" t="s">
        <v>669</v>
      </c>
      <c r="P643" s="726"/>
      <c r="R643" s="703" t="s">
        <v>886</v>
      </c>
      <c r="S643" s="703" t="s">
        <v>1399</v>
      </c>
      <c r="T643" s="2032" t="s">
        <v>2281</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5" customFormat="1" ht="12" customHeight="1">
      <c r="B644" s="634"/>
      <c r="J644" s="727" t="s">
        <v>2415</v>
      </c>
      <c r="K644" s="728"/>
      <c r="L644" s="725"/>
      <c r="M644" s="726"/>
      <c r="N644" s="1179" t="s">
        <v>1133</v>
      </c>
      <c r="O644" s="1179" t="s">
        <v>334</v>
      </c>
      <c r="P644" s="726"/>
      <c r="R644" s="703" t="s">
        <v>1135</v>
      </c>
      <c r="S644" s="703" t="s">
        <v>712</v>
      </c>
      <c r="T644" s="2032" t="s">
        <v>2281</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5" customFormat="1" ht="12" customHeight="1">
      <c r="B645" s="634"/>
      <c r="J645" s="727" t="s">
        <v>2417</v>
      </c>
      <c r="K645" s="728"/>
      <c r="L645" s="725"/>
      <c r="M645" s="726"/>
      <c r="N645" s="1179" t="s">
        <v>2282</v>
      </c>
      <c r="O645" s="1179" t="s">
        <v>1413</v>
      </c>
      <c r="P645" s="726"/>
      <c r="R645" s="703" t="s">
        <v>1136</v>
      </c>
      <c r="S645" s="703" t="s">
        <v>1626</v>
      </c>
      <c r="T645" s="2032" t="s">
        <v>2281</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5" customFormat="1" ht="12" customHeight="1">
      <c r="B646" s="634"/>
      <c r="J646" s="727" t="s">
        <v>1893</v>
      </c>
      <c r="K646" s="728"/>
      <c r="L646" s="725"/>
      <c r="M646" s="726"/>
      <c r="N646" s="1179" t="s">
        <v>2284</v>
      </c>
      <c r="O646" s="1179" t="s">
        <v>2325</v>
      </c>
      <c r="P646" s="726"/>
      <c r="R646" s="703" t="s">
        <v>1137</v>
      </c>
      <c r="S646" s="703" t="s">
        <v>669</v>
      </c>
      <c r="T646" s="2032" t="s">
        <v>2281</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5" customFormat="1" ht="12" customHeight="1">
      <c r="B647" s="634"/>
      <c r="J647" s="727" t="s">
        <v>2693</v>
      </c>
      <c r="K647" s="728"/>
      <c r="L647" s="725"/>
      <c r="M647" s="726"/>
      <c r="N647" s="1179" t="s">
        <v>2286</v>
      </c>
      <c r="O647" s="1179" t="s">
        <v>182</v>
      </c>
      <c r="P647" s="726"/>
      <c r="R647" s="703" t="s">
        <v>1138</v>
      </c>
      <c r="S647" s="703" t="s">
        <v>704</v>
      </c>
      <c r="T647" s="2032" t="s">
        <v>2281</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5" customFormat="1" ht="12" customHeight="1">
      <c r="B648" s="634"/>
      <c r="J648" s="727" t="s">
        <v>2304</v>
      </c>
      <c r="K648" s="728"/>
      <c r="L648" s="725"/>
      <c r="M648" s="726"/>
      <c r="N648" s="1179" t="s">
        <v>2288</v>
      </c>
      <c r="O648" s="1179" t="s">
        <v>1549</v>
      </c>
      <c r="P648" s="726"/>
      <c r="R648" s="703" t="s">
        <v>1139</v>
      </c>
      <c r="S648" s="703" t="s">
        <v>166</v>
      </c>
      <c r="T648" s="2032" t="s">
        <v>2281</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5" customFormat="1" ht="12" customHeight="1">
      <c r="B649" s="634"/>
      <c r="J649" s="727" t="s">
        <v>1721</v>
      </c>
      <c r="K649" s="728"/>
      <c r="L649" s="725"/>
      <c r="M649" s="726"/>
      <c r="N649" s="703" t="s">
        <v>2290</v>
      </c>
      <c r="O649" s="703" t="s">
        <v>713</v>
      </c>
      <c r="P649" s="2033"/>
      <c r="R649" s="703" t="s">
        <v>1140</v>
      </c>
      <c r="S649" s="703" t="s">
        <v>2046</v>
      </c>
      <c r="T649" s="2032" t="s">
        <v>2281</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5" customFormat="1" ht="12" customHeight="1">
      <c r="B650" s="634"/>
      <c r="J650" s="727" t="s">
        <v>1722</v>
      </c>
      <c r="K650" s="728"/>
      <c r="L650" s="725"/>
      <c r="M650" s="726"/>
      <c r="N650" s="1179" t="s">
        <v>92</v>
      </c>
      <c r="O650" s="1179" t="s">
        <v>124</v>
      </c>
      <c r="P650" s="2032"/>
      <c r="R650" s="703" t="s">
        <v>1141</v>
      </c>
      <c r="S650" s="703" t="s">
        <v>2142</v>
      </c>
      <c r="T650" s="2032" t="s">
        <v>2281</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5" customFormat="1" ht="12" customHeight="1">
      <c r="B651" s="634"/>
      <c r="J651" s="727" t="s">
        <v>1724</v>
      </c>
      <c r="K651" s="728"/>
      <c r="L651" s="725"/>
      <c r="M651" s="726"/>
      <c r="N651" s="1179" t="s">
        <v>1619</v>
      </c>
      <c r="O651" s="1179" t="s">
        <v>2327</v>
      </c>
      <c r="P651" s="726"/>
      <c r="R651" s="703" t="s">
        <v>1142</v>
      </c>
      <c r="S651" s="703" t="s">
        <v>669</v>
      </c>
      <c r="T651" s="2032" t="s">
        <v>2281</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5" customFormat="1" ht="12" customHeight="1">
      <c r="B652" s="634"/>
      <c r="J652" s="727" t="s">
        <v>1725</v>
      </c>
      <c r="K652" s="728"/>
      <c r="L652" s="725"/>
      <c r="M652" s="726"/>
      <c r="N652" s="703" t="s">
        <v>1621</v>
      </c>
      <c r="O652" s="703" t="s">
        <v>207</v>
      </c>
      <c r="P652" s="726"/>
      <c r="R652" s="703" t="s">
        <v>1143</v>
      </c>
      <c r="S652" s="703" t="s">
        <v>1781</v>
      </c>
      <c r="T652" s="2032" t="s">
        <v>2281</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5" customFormat="1" ht="12" customHeight="1">
      <c r="B653" s="634"/>
      <c r="J653" s="727" t="s">
        <v>1727</v>
      </c>
      <c r="K653" s="728"/>
      <c r="L653" s="725"/>
      <c r="M653" s="726"/>
      <c r="N653" s="1179" t="s">
        <v>1623</v>
      </c>
      <c r="O653" s="1179" t="s">
        <v>1552</v>
      </c>
      <c r="P653" s="2032"/>
      <c r="R653" s="703" t="s">
        <v>1144</v>
      </c>
      <c r="S653" s="703" t="s">
        <v>2656</v>
      </c>
      <c r="T653" s="2032" t="s">
        <v>2281</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5" customFormat="1" ht="12" customHeight="1">
      <c r="B654" s="634"/>
      <c r="J654" s="727" t="s">
        <v>1728</v>
      </c>
      <c r="K654" s="728"/>
      <c r="L654" s="725"/>
      <c r="M654" s="726"/>
      <c r="N654" s="1179" t="s">
        <v>1625</v>
      </c>
      <c r="O654" s="1179" t="s">
        <v>2317</v>
      </c>
      <c r="P654" s="726"/>
      <c r="R654" s="703" t="s">
        <v>1145</v>
      </c>
      <c r="S654" s="703" t="s">
        <v>166</v>
      </c>
      <c r="T654" s="2032" t="s">
        <v>2281</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5" customFormat="1" ht="12" customHeight="1">
      <c r="B655" s="634"/>
      <c r="J655" s="727" t="s">
        <v>1730</v>
      </c>
      <c r="K655" s="728"/>
      <c r="L655" s="725"/>
      <c r="M655" s="726"/>
      <c r="N655" s="1179" t="s">
        <v>66</v>
      </c>
      <c r="O655" s="1179" t="s">
        <v>1411</v>
      </c>
      <c r="P655" s="726"/>
      <c r="R655" s="703" t="s">
        <v>1146</v>
      </c>
      <c r="S655" s="703" t="s">
        <v>166</v>
      </c>
      <c r="T655" s="2032" t="s">
        <v>2281</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5" customFormat="1" ht="12" customHeight="1">
      <c r="B656" s="634"/>
      <c r="J656" s="727" t="s">
        <v>2582</v>
      </c>
      <c r="K656" s="728"/>
      <c r="L656" s="725"/>
      <c r="M656" s="726"/>
      <c r="N656" s="1179" t="s">
        <v>68</v>
      </c>
      <c r="O656" s="1179" t="s">
        <v>109</v>
      </c>
      <c r="P656" s="726"/>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5" customFormat="1" ht="12" customHeight="1">
      <c r="B657" s="634"/>
      <c r="J657" s="727" t="s">
        <v>174</v>
      </c>
      <c r="K657" s="728"/>
      <c r="L657" s="725"/>
      <c r="M657" s="726"/>
      <c r="N657" s="1179" t="s">
        <v>70</v>
      </c>
      <c r="O657" s="1179" t="s">
        <v>932</v>
      </c>
      <c r="P657" s="726"/>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5" customFormat="1" ht="12" customHeight="1">
      <c r="B658" s="634"/>
      <c r="J658" s="727" t="s">
        <v>1048</v>
      </c>
      <c r="K658" s="728"/>
      <c r="L658" s="725"/>
      <c r="M658" s="726"/>
      <c r="N658" s="1179" t="s">
        <v>72</v>
      </c>
      <c r="O658" s="1179" t="s">
        <v>1626</v>
      </c>
      <c r="P658" s="726"/>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5" customFormat="1" ht="12" customHeight="1">
      <c r="B659" s="634"/>
      <c r="J659" s="727" t="s">
        <v>1049</v>
      </c>
      <c r="K659" s="728"/>
      <c r="L659" s="725"/>
      <c r="M659" s="726"/>
      <c r="N659" s="1179" t="s">
        <v>829</v>
      </c>
      <c r="O659" s="1179" t="s">
        <v>2653</v>
      </c>
      <c r="P659" s="726"/>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5" customFormat="1" ht="12" customHeight="1">
      <c r="B660" s="634"/>
      <c r="J660" s="727" t="s">
        <v>1051</v>
      </c>
      <c r="K660" s="728"/>
      <c r="L660" s="725"/>
      <c r="M660" s="726"/>
      <c r="N660" s="703" t="s">
        <v>778</v>
      </c>
      <c r="O660" s="703" t="s">
        <v>2659</v>
      </c>
      <c r="P660" s="726"/>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5" customFormat="1" ht="12" customHeight="1">
      <c r="B661" s="634"/>
      <c r="J661" s="727" t="s">
        <v>2538</v>
      </c>
      <c r="K661" s="728"/>
      <c r="L661" s="725"/>
      <c r="M661" s="726"/>
      <c r="N661" s="1179" t="s">
        <v>997</v>
      </c>
      <c r="O661" s="1179" t="s">
        <v>2707</v>
      </c>
      <c r="P661" s="2032"/>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5" customFormat="1" ht="12" customHeight="1">
      <c r="B662" s="634"/>
      <c r="J662" s="727" t="s">
        <v>2700</v>
      </c>
      <c r="K662" s="728"/>
      <c r="L662" s="725"/>
      <c r="M662" s="726"/>
      <c r="N662" s="1179" t="s">
        <v>1134</v>
      </c>
      <c r="O662" s="1179" t="s">
        <v>338</v>
      </c>
      <c r="P662" s="726"/>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5" customFormat="1" ht="12" customHeight="1">
      <c r="B663" s="634"/>
      <c r="J663" s="727" t="s">
        <v>2138</v>
      </c>
      <c r="K663" s="728"/>
      <c r="L663" s="725"/>
      <c r="M663" s="726"/>
      <c r="N663" s="1179" t="s">
        <v>1251</v>
      </c>
      <c r="O663" s="1179" t="s">
        <v>2086</v>
      </c>
      <c r="P663" s="726"/>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5" customFormat="1" ht="12" customHeight="1">
      <c r="B664" s="634"/>
      <c r="J664" s="727" t="s">
        <v>1000</v>
      </c>
      <c r="K664" s="728"/>
      <c r="L664" s="725"/>
      <c r="M664" s="726"/>
      <c r="N664" s="1179" t="s">
        <v>3509</v>
      </c>
      <c r="O664" s="1179" t="s">
        <v>1903</v>
      </c>
      <c r="P664" s="726"/>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5" customFormat="1" ht="12" customHeight="1">
      <c r="B665" s="634"/>
      <c r="J665" s="727" t="s">
        <v>822</v>
      </c>
      <c r="K665" s="728"/>
      <c r="L665" s="725"/>
      <c r="M665" s="726"/>
      <c r="N665" s="703" t="s">
        <v>1107</v>
      </c>
      <c r="O665" s="703" t="s">
        <v>1162</v>
      </c>
      <c r="P665" s="726"/>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5" customFormat="1" ht="12" customHeight="1">
      <c r="B666" s="634"/>
      <c r="J666" s="727" t="s">
        <v>1566</v>
      </c>
      <c r="K666" s="728"/>
      <c r="L666" s="725"/>
      <c r="M666" s="726"/>
      <c r="N666" s="1179" t="s">
        <v>2416</v>
      </c>
      <c r="O666" s="1179" t="s">
        <v>2310</v>
      </c>
      <c r="P666" s="2032"/>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5" customFormat="1" ht="12" customHeight="1">
      <c r="B667" s="634"/>
      <c r="J667" s="727" t="s">
        <v>1568</v>
      </c>
      <c r="K667" s="728"/>
      <c r="L667" s="725"/>
      <c r="M667" s="726"/>
      <c r="N667" s="1179" t="s">
        <v>2418</v>
      </c>
      <c r="O667" s="1179" t="s">
        <v>704</v>
      </c>
      <c r="P667" s="726"/>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5" customFormat="1" ht="12" customHeight="1">
      <c r="B668" s="634"/>
      <c r="J668" s="727" t="s">
        <v>1570</v>
      </c>
      <c r="K668" s="728"/>
      <c r="L668" s="725"/>
      <c r="M668" s="726"/>
      <c r="N668" s="1179" t="s">
        <v>1894</v>
      </c>
      <c r="O668" s="1179" t="s">
        <v>783</v>
      </c>
      <c r="P668" s="726"/>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5" customFormat="1" ht="12" customHeight="1">
      <c r="B669" s="634"/>
      <c r="J669" s="727" t="s">
        <v>1391</v>
      </c>
      <c r="K669" s="728"/>
      <c r="L669" s="725"/>
      <c r="M669" s="726"/>
      <c r="N669" s="1179" t="s">
        <v>2694</v>
      </c>
      <c r="O669" s="1179" t="s">
        <v>2144</v>
      </c>
      <c r="P669" s="726"/>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5" customFormat="1" ht="12" customHeight="1">
      <c r="B670" s="634"/>
      <c r="J670" s="727" t="s">
        <v>1393</v>
      </c>
      <c r="K670" s="728"/>
      <c r="L670" s="725"/>
      <c r="M670" s="726"/>
      <c r="N670" s="1179" t="s">
        <v>2305</v>
      </c>
      <c r="O670" s="1179" t="s">
        <v>1283</v>
      </c>
      <c r="P670" s="726"/>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5" customFormat="1" ht="12" customHeight="1">
      <c r="B671" s="634"/>
      <c r="J671" s="727" t="s">
        <v>2128</v>
      </c>
      <c r="K671" s="728"/>
      <c r="L671" s="725"/>
      <c r="M671" s="726"/>
      <c r="N671" s="703" t="s">
        <v>1723</v>
      </c>
      <c r="O671" s="703" t="s">
        <v>706</v>
      </c>
      <c r="P671" s="726"/>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5" customFormat="1" ht="12" customHeight="1">
      <c r="B672" s="634"/>
      <c r="J672" s="727" t="s">
        <v>784</v>
      </c>
      <c r="K672" s="728"/>
      <c r="L672" s="725"/>
      <c r="M672" s="726"/>
      <c r="N672" s="1179" t="s">
        <v>886</v>
      </c>
      <c r="O672" s="1179" t="s">
        <v>1399</v>
      </c>
      <c r="P672" s="2032"/>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5" customFormat="1" ht="12" customHeight="1">
      <c r="B673" s="634"/>
      <c r="J673" s="727" t="s">
        <v>1346</v>
      </c>
      <c r="K673" s="728"/>
      <c r="L673" s="725"/>
      <c r="M673" s="726"/>
      <c r="N673" s="1179" t="s">
        <v>1726</v>
      </c>
      <c r="O673" s="1179" t="s">
        <v>2768</v>
      </c>
      <c r="P673" s="726"/>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5" customFormat="1" ht="12" customHeight="1">
      <c r="B674" s="634"/>
      <c r="J674" s="727" t="s">
        <v>2016</v>
      </c>
      <c r="K674" s="728"/>
      <c r="L674" s="725"/>
      <c r="M674" s="726"/>
      <c r="N674" s="1179" t="s">
        <v>1729</v>
      </c>
      <c r="O674" s="1179" t="s">
        <v>1744</v>
      </c>
      <c r="P674" s="726"/>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5" customFormat="1" ht="12" customHeight="1">
      <c r="B675" s="634"/>
      <c r="J675" s="727" t="s">
        <v>2017</v>
      </c>
      <c r="K675" s="728"/>
      <c r="L675" s="725"/>
      <c r="M675" s="726"/>
      <c r="N675" s="1179" t="s">
        <v>1136</v>
      </c>
      <c r="O675" s="1179" t="s">
        <v>1626</v>
      </c>
      <c r="P675" s="726"/>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5" customFormat="1" ht="12" customHeight="1">
      <c r="B676" s="634"/>
      <c r="J676" s="727" t="s">
        <v>2019</v>
      </c>
      <c r="K676" s="728"/>
      <c r="L676" s="725"/>
      <c r="M676" s="726"/>
      <c r="N676" s="1179" t="s">
        <v>2581</v>
      </c>
      <c r="O676" s="1179" t="s">
        <v>109</v>
      </c>
      <c r="P676" s="726"/>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5" customFormat="1" ht="12" customHeight="1">
      <c r="B677" s="634"/>
      <c r="J677" s="727" t="s">
        <v>2021</v>
      </c>
      <c r="K677" s="728"/>
      <c r="L677" s="725"/>
      <c r="M677" s="726"/>
      <c r="N677" s="1179" t="s">
        <v>869</v>
      </c>
      <c r="O677" s="1179" t="s">
        <v>1283</v>
      </c>
      <c r="P677" s="726"/>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5" customFormat="1" ht="12" customHeight="1">
      <c r="B678" s="634"/>
      <c r="J678" s="727" t="s">
        <v>2023</v>
      </c>
      <c r="K678" s="728"/>
      <c r="L678" s="725"/>
      <c r="M678" s="726"/>
      <c r="N678" s="1179" t="s">
        <v>1389</v>
      </c>
      <c r="O678" s="1179" t="s">
        <v>2044</v>
      </c>
      <c r="P678" s="726"/>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5" customFormat="1" ht="12" customHeight="1">
      <c r="B679" s="634"/>
      <c r="J679" s="727" t="s">
        <v>533</v>
      </c>
      <c r="K679" s="728"/>
      <c r="L679" s="725"/>
      <c r="M679" s="726"/>
      <c r="N679" s="1179" t="s">
        <v>175</v>
      </c>
      <c r="O679" s="1179" t="s">
        <v>1415</v>
      </c>
      <c r="P679" s="726"/>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5" customFormat="1" ht="12" customHeight="1">
      <c r="B680" s="634"/>
      <c r="J680" s="727" t="s">
        <v>2710</v>
      </c>
      <c r="K680" s="728"/>
      <c r="L680" s="725"/>
      <c r="M680" s="726"/>
      <c r="N680" s="1179" t="s">
        <v>1050</v>
      </c>
      <c r="O680" s="1179" t="s">
        <v>1778</v>
      </c>
      <c r="P680" s="726"/>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5" customFormat="1" ht="12" customHeight="1">
      <c r="B681" s="634"/>
      <c r="J681" s="727" t="s">
        <v>2712</v>
      </c>
      <c r="K681" s="728"/>
      <c r="L681" s="725"/>
      <c r="M681" s="726"/>
      <c r="N681" s="1179" t="s">
        <v>3510</v>
      </c>
      <c r="O681" s="1179" t="s">
        <v>344</v>
      </c>
      <c r="P681" s="726"/>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5" customFormat="1" ht="12" customHeight="1">
      <c r="B682" s="634"/>
      <c r="J682" s="727" t="s">
        <v>1224</v>
      </c>
      <c r="K682" s="728"/>
      <c r="L682" s="725"/>
      <c r="M682" s="726"/>
      <c r="N682" s="703" t="s">
        <v>3511</v>
      </c>
      <c r="O682" s="703" t="s">
        <v>117</v>
      </c>
      <c r="P682" s="726"/>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5" customFormat="1" ht="12" customHeight="1">
      <c r="B683" s="634"/>
      <c r="J683" s="727" t="s">
        <v>2689</v>
      </c>
      <c r="K683" s="728"/>
      <c r="L683" s="725"/>
      <c r="M683" s="726"/>
      <c r="N683" s="1179" t="s">
        <v>1412</v>
      </c>
      <c r="O683" s="1179" t="s">
        <v>166</v>
      </c>
      <c r="P683" s="2032"/>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5" customFormat="1" ht="12" customHeight="1">
      <c r="B684" s="634"/>
      <c r="J684" s="727" t="s">
        <v>2691</v>
      </c>
      <c r="K684" s="728"/>
      <c r="L684" s="725"/>
      <c r="M684" s="726"/>
      <c r="N684" s="1179" t="s">
        <v>2701</v>
      </c>
      <c r="O684" s="1179" t="s">
        <v>926</v>
      </c>
      <c r="P684" s="726"/>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5" customFormat="1" ht="12" customHeight="1">
      <c r="B685" s="634"/>
      <c r="J685" s="727" t="s">
        <v>1637</v>
      </c>
      <c r="K685" s="728"/>
      <c r="L685" s="725"/>
      <c r="M685" s="726"/>
      <c r="N685" s="1179" t="s">
        <v>1137</v>
      </c>
      <c r="O685" s="1179" t="s">
        <v>669</v>
      </c>
      <c r="P685" s="726"/>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5" customFormat="1" ht="12" customHeight="1">
      <c r="B686" s="634"/>
      <c r="J686" s="727" t="s">
        <v>1638</v>
      </c>
      <c r="K686" s="728"/>
      <c r="L686" s="725"/>
      <c r="M686" s="726"/>
      <c r="N686" s="1179" t="s">
        <v>2310</v>
      </c>
      <c r="O686" s="1179" t="s">
        <v>111</v>
      </c>
      <c r="P686" s="726"/>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5" customFormat="1" ht="12" customHeight="1">
      <c r="B687" s="634"/>
      <c r="J687" s="727" t="s">
        <v>2239</v>
      </c>
      <c r="K687" s="728"/>
      <c r="L687" s="725"/>
      <c r="M687" s="726"/>
      <c r="N687" s="1179" t="s">
        <v>3210</v>
      </c>
      <c r="O687" s="1179" t="s">
        <v>1717</v>
      </c>
      <c r="P687" s="726"/>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5" customFormat="1" ht="12" customHeight="1">
      <c r="B688" s="634"/>
      <c r="J688" s="727" t="s">
        <v>2240</v>
      </c>
      <c r="K688" s="728"/>
      <c r="L688" s="725"/>
      <c r="M688" s="726"/>
      <c r="N688" s="1179" t="s">
        <v>1567</v>
      </c>
      <c r="O688" s="1179" t="s">
        <v>2706</v>
      </c>
      <c r="P688" s="726"/>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5" customFormat="1" ht="12" customHeight="1">
      <c r="B689" s="634"/>
      <c r="J689" s="727" t="s">
        <v>1732</v>
      </c>
      <c r="K689" s="728"/>
      <c r="L689" s="725"/>
      <c r="M689" s="726"/>
      <c r="N689" s="1179" t="s">
        <v>3512</v>
      </c>
      <c r="O689" s="1179" t="s">
        <v>2086</v>
      </c>
      <c r="P689" s="726"/>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5" customFormat="1" ht="12" customHeight="1">
      <c r="B690" s="634"/>
      <c r="J690" s="727" t="s">
        <v>1734</v>
      </c>
      <c r="K690" s="728"/>
      <c r="L690" s="725"/>
      <c r="M690" s="726"/>
      <c r="N690" s="1179" t="s">
        <v>1569</v>
      </c>
      <c r="O690" s="1179" t="s">
        <v>343</v>
      </c>
      <c r="P690" s="726"/>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5" customFormat="1" ht="12" customHeight="1">
      <c r="B691" s="634"/>
      <c r="J691" s="727" t="s">
        <v>992</v>
      </c>
      <c r="K691" s="728"/>
      <c r="L691" s="725"/>
      <c r="M691" s="726"/>
      <c r="N691" s="1179" t="s">
        <v>1138</v>
      </c>
      <c r="O691" s="1179" t="s">
        <v>704</v>
      </c>
      <c r="P691" s="726"/>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5" customFormat="1" ht="12" customHeight="1">
      <c r="B692" s="634"/>
      <c r="J692" s="727" t="s">
        <v>994</v>
      </c>
      <c r="K692" s="728"/>
      <c r="L692" s="725"/>
      <c r="M692" s="726"/>
      <c r="N692" s="1179" t="s">
        <v>1392</v>
      </c>
      <c r="O692" s="1179" t="s">
        <v>2323</v>
      </c>
      <c r="P692" s="726"/>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5" customFormat="1" ht="12" customHeight="1">
      <c r="B693" s="634"/>
      <c r="J693" s="727" t="s">
        <v>996</v>
      </c>
      <c r="K693" s="728"/>
      <c r="L693" s="725"/>
      <c r="M693" s="726"/>
      <c r="N693" s="1179" t="s">
        <v>1394</v>
      </c>
      <c r="O693" s="1179" t="s">
        <v>2706</v>
      </c>
      <c r="P693" s="726"/>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5" customFormat="1" ht="12" customHeight="1">
      <c r="B694" s="634"/>
      <c r="J694" s="727" t="s">
        <v>2671</v>
      </c>
      <c r="K694" s="728"/>
      <c r="L694" s="725"/>
      <c r="M694" s="726"/>
      <c r="N694" s="703" t="s">
        <v>2129</v>
      </c>
      <c r="O694" s="703" t="s">
        <v>1172</v>
      </c>
      <c r="P694" s="726"/>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5" customFormat="1" ht="12" customHeight="1">
      <c r="B695" s="634"/>
      <c r="J695" s="727" t="s">
        <v>2673</v>
      </c>
      <c r="K695" s="728"/>
      <c r="L695" s="725"/>
      <c r="M695" s="726"/>
      <c r="N695" s="703" t="s">
        <v>785</v>
      </c>
      <c r="O695" s="703" t="s">
        <v>333</v>
      </c>
      <c r="P695" s="2032"/>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5" customFormat="1" ht="12" customHeight="1">
      <c r="B696" s="634"/>
      <c r="J696" s="727" t="s">
        <v>2674</v>
      </c>
      <c r="K696" s="728"/>
      <c r="L696" s="725"/>
      <c r="M696" s="726"/>
      <c r="N696" s="1179" t="s">
        <v>1347</v>
      </c>
      <c r="O696" s="1179" t="s">
        <v>717</v>
      </c>
      <c r="P696" s="2032"/>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5" customFormat="1" ht="12" customHeight="1">
      <c r="B697" s="634"/>
      <c r="J697" s="727" t="s">
        <v>2035</v>
      </c>
      <c r="K697" s="728"/>
      <c r="L697" s="725"/>
      <c r="M697" s="726"/>
      <c r="N697" s="1179" t="s">
        <v>1139</v>
      </c>
      <c r="O697" s="1179" t="s">
        <v>166</v>
      </c>
      <c r="P697" s="726"/>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5" customFormat="1" ht="12" customHeight="1">
      <c r="B698" s="634"/>
      <c r="J698" s="727" t="s">
        <v>2036</v>
      </c>
      <c r="K698" s="728"/>
      <c r="L698" s="725"/>
      <c r="M698" s="726"/>
      <c r="N698" s="1179" t="s">
        <v>2018</v>
      </c>
      <c r="O698" s="1179" t="s">
        <v>1170</v>
      </c>
      <c r="P698" s="726"/>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5" customFormat="1" ht="12" customHeight="1">
      <c r="B699" s="634"/>
      <c r="J699" s="727" t="s">
        <v>2038</v>
      </c>
      <c r="K699" s="728"/>
      <c r="L699" s="725"/>
      <c r="M699" s="726"/>
      <c r="N699" s="1179" t="s">
        <v>2020</v>
      </c>
      <c r="O699" s="1179" t="s">
        <v>1551</v>
      </c>
      <c r="P699" s="726"/>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5" customFormat="1" ht="12" customHeight="1">
      <c r="B700" s="634"/>
      <c r="J700" s="727" t="s">
        <v>687</v>
      </c>
      <c r="K700" s="728"/>
      <c r="L700" s="725"/>
      <c r="M700" s="726"/>
      <c r="N700" s="1179" t="s">
        <v>2022</v>
      </c>
      <c r="O700" s="1179" t="s">
        <v>2656</v>
      </c>
      <c r="P700" s="726"/>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5" customFormat="1" ht="12" customHeight="1">
      <c r="B701" s="634"/>
      <c r="J701" s="727" t="s">
        <v>689</v>
      </c>
      <c r="K701" s="728"/>
      <c r="L701" s="725"/>
      <c r="M701" s="726"/>
      <c r="N701" s="1179" t="s">
        <v>2024</v>
      </c>
      <c r="O701" s="1179" t="s">
        <v>124</v>
      </c>
      <c r="P701" s="726"/>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5" customFormat="1" ht="12" customHeight="1">
      <c r="B702" s="634"/>
      <c r="J702" s="727" t="s">
        <v>690</v>
      </c>
      <c r="K702" s="728"/>
      <c r="L702" s="725"/>
      <c r="M702" s="726"/>
      <c r="N702" s="1179" t="s">
        <v>534</v>
      </c>
      <c r="O702" s="1179" t="s">
        <v>2145</v>
      </c>
      <c r="P702" s="726"/>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5" customFormat="1" ht="12" customHeight="1">
      <c r="B703" s="634"/>
      <c r="J703" s="727" t="s">
        <v>2459</v>
      </c>
      <c r="K703" s="728"/>
      <c r="L703" s="725"/>
      <c r="M703" s="726"/>
      <c r="N703" s="1179" t="s">
        <v>2711</v>
      </c>
      <c r="O703" s="1179" t="s">
        <v>2048</v>
      </c>
      <c r="P703" s="726"/>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5" customFormat="1" ht="12" customHeight="1">
      <c r="B704" s="634"/>
      <c r="J704" s="727" t="s">
        <v>74</v>
      </c>
      <c r="K704" s="728"/>
      <c r="L704" s="725"/>
      <c r="M704" s="726"/>
      <c r="N704" s="1179" t="s">
        <v>2713</v>
      </c>
      <c r="O704" s="1179" t="s">
        <v>2704</v>
      </c>
      <c r="P704" s="726"/>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5" customFormat="1" ht="12" customHeight="1">
      <c r="B705" s="634"/>
      <c r="J705" s="727" t="s">
        <v>1506</v>
      </c>
      <c r="K705" s="728"/>
      <c r="L705" s="725"/>
      <c r="M705" s="726"/>
      <c r="N705" s="1179" t="s">
        <v>1225</v>
      </c>
      <c r="O705" s="1179" t="s">
        <v>330</v>
      </c>
      <c r="P705" s="726"/>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5" customFormat="1" ht="12" customHeight="1">
      <c r="B706" s="634"/>
      <c r="J706" s="727" t="s">
        <v>2407</v>
      </c>
      <c r="K706" s="728"/>
      <c r="L706" s="725"/>
      <c r="M706" s="726"/>
      <c r="N706" s="1179" t="s">
        <v>2690</v>
      </c>
      <c r="O706" s="1179" t="s">
        <v>932</v>
      </c>
      <c r="P706" s="726"/>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5" customFormat="1" ht="12" customHeight="1">
      <c r="B707" s="634"/>
      <c r="J707" s="727" t="s">
        <v>2409</v>
      </c>
      <c r="K707" s="728"/>
      <c r="L707" s="725"/>
      <c r="M707" s="726"/>
      <c r="N707" s="1179" t="s">
        <v>870</v>
      </c>
      <c r="O707" s="1179" t="s">
        <v>1420</v>
      </c>
      <c r="P707" s="726"/>
      <c r="Q707" s="2034"/>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5" customFormat="1" ht="12" customHeight="1">
      <c r="B708" s="634"/>
      <c r="J708" s="727" t="s">
        <v>1930</v>
      </c>
      <c r="K708" s="728"/>
      <c r="L708" s="725"/>
      <c r="M708" s="726"/>
      <c r="N708" s="1179" t="s">
        <v>1135</v>
      </c>
      <c r="O708" s="1179" t="s">
        <v>712</v>
      </c>
      <c r="P708" s="726"/>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5" customFormat="1" ht="12" customHeight="1">
      <c r="B709" s="634"/>
      <c r="J709" s="727" t="s">
        <v>1182</v>
      </c>
      <c r="K709" s="728"/>
      <c r="L709" s="725"/>
      <c r="M709" s="726"/>
      <c r="N709" s="1179" t="s">
        <v>1639</v>
      </c>
      <c r="O709" s="1179" t="s">
        <v>346</v>
      </c>
      <c r="P709" s="726"/>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5" customFormat="1" ht="12" customHeight="1">
      <c r="B710" s="634"/>
      <c r="J710" s="727" t="s">
        <v>2186</v>
      </c>
      <c r="K710" s="728"/>
      <c r="L710" s="725"/>
      <c r="M710" s="726"/>
      <c r="N710" s="1179" t="s">
        <v>3513</v>
      </c>
      <c r="O710" s="1179" t="s">
        <v>931</v>
      </c>
      <c r="P710" s="726"/>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5" customFormat="1" ht="12" customHeight="1">
      <c r="B711" s="634"/>
      <c r="J711" s="727" t="s">
        <v>2104</v>
      </c>
      <c r="K711" s="728"/>
      <c r="L711" s="725"/>
      <c r="M711" s="726"/>
      <c r="N711" s="1179" t="s">
        <v>2241</v>
      </c>
      <c r="O711" s="1179" t="s">
        <v>1413</v>
      </c>
      <c r="P711" s="726"/>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5" customFormat="1" ht="12" customHeight="1">
      <c r="B712" s="634"/>
      <c r="J712" s="727" t="s">
        <v>2106</v>
      </c>
      <c r="K712" s="728"/>
      <c r="L712" s="725"/>
      <c r="M712" s="726"/>
      <c r="N712" s="1179" t="s">
        <v>1733</v>
      </c>
      <c r="O712" s="1179" t="s">
        <v>1399</v>
      </c>
      <c r="P712" s="2033"/>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5" customFormat="1" ht="12" customHeight="1">
      <c r="B713" s="634"/>
      <c r="J713" s="727" t="s">
        <v>2108</v>
      </c>
      <c r="K713" s="728"/>
      <c r="L713" s="725"/>
      <c r="M713" s="726"/>
      <c r="N713" s="1179" t="s">
        <v>993</v>
      </c>
      <c r="O713" s="1179" t="s">
        <v>2392</v>
      </c>
      <c r="P713" s="726"/>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5" customFormat="1" ht="12" customHeight="1">
      <c r="B714" s="634"/>
      <c r="J714" s="727" t="s">
        <v>526</v>
      </c>
      <c r="K714" s="728"/>
      <c r="L714" s="725"/>
      <c r="M714" s="726"/>
      <c r="N714" s="1179" t="s">
        <v>995</v>
      </c>
      <c r="O714" s="1179" t="s">
        <v>337</v>
      </c>
      <c r="P714" s="726"/>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5" customFormat="1" ht="12" customHeight="1">
      <c r="B715" s="634"/>
      <c r="J715" s="727" t="s">
        <v>477</v>
      </c>
      <c r="K715" s="728"/>
      <c r="L715" s="725"/>
      <c r="M715" s="726"/>
      <c r="N715" s="1179" t="s">
        <v>2672</v>
      </c>
      <c r="O715" s="1179" t="s">
        <v>669</v>
      </c>
      <c r="P715" s="726"/>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5" customFormat="1" ht="12" customHeight="1">
      <c r="B716" s="634"/>
      <c r="J716" s="727" t="s">
        <v>2236</v>
      </c>
      <c r="K716" s="728"/>
      <c r="L716" s="725"/>
      <c r="M716" s="726"/>
      <c r="N716" s="1179" t="s">
        <v>2034</v>
      </c>
      <c r="O716" s="1179" t="s">
        <v>124</v>
      </c>
      <c r="P716" s="726"/>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5" customFormat="1" ht="12" customHeight="1">
      <c r="B717" s="634"/>
      <c r="J717" s="727" t="s">
        <v>2263</v>
      </c>
      <c r="K717" s="728"/>
      <c r="L717" s="725"/>
      <c r="M717" s="726"/>
      <c r="N717" s="1179" t="s">
        <v>2037</v>
      </c>
      <c r="O717" s="1179" t="s">
        <v>2392</v>
      </c>
      <c r="P717" s="726"/>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5" customFormat="1" ht="12" customHeight="1">
      <c r="B718" s="634"/>
      <c r="J718" s="1203"/>
      <c r="K718" s="1204"/>
      <c r="L718" s="1204"/>
      <c r="M718" s="1205"/>
      <c r="N718" s="1179" t="s">
        <v>2039</v>
      </c>
      <c r="O718" s="1179" t="s">
        <v>169</v>
      </c>
      <c r="P718" s="726"/>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5" customFormat="1" ht="12" customHeight="1">
      <c r="B719" s="634"/>
      <c r="J719" s="729"/>
      <c r="K719" s="730"/>
      <c r="L719" s="731"/>
      <c r="N719" s="1179" t="s">
        <v>688</v>
      </c>
      <c r="O719" s="1179" t="s">
        <v>2562</v>
      </c>
      <c r="P719" s="726"/>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5" customFormat="1" ht="12" customHeight="1">
      <c r="B720" s="634"/>
      <c r="N720" s="1179" t="s">
        <v>871</v>
      </c>
      <c r="O720" s="1179" t="s">
        <v>2314</v>
      </c>
      <c r="P720" s="726"/>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5" customFormat="1" ht="12" customHeight="1">
      <c r="B721" s="634"/>
      <c r="G721" s="730"/>
      <c r="H721" s="731"/>
      <c r="N721" s="1179" t="s">
        <v>1140</v>
      </c>
      <c r="O721" s="1179" t="s">
        <v>2046</v>
      </c>
      <c r="P721" s="726"/>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5" customFormat="1" ht="12" customHeight="1">
      <c r="B722" s="634"/>
      <c r="F722" s="729"/>
      <c r="G722" s="730"/>
      <c r="H722" s="731"/>
      <c r="N722" s="1179" t="s">
        <v>1141</v>
      </c>
      <c r="O722" s="1179" t="s">
        <v>2142</v>
      </c>
      <c r="P722" s="726"/>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5" customFormat="1" ht="12" customHeight="1">
      <c r="B723" s="634"/>
      <c r="F723" s="729"/>
      <c r="G723" s="730"/>
      <c r="H723" s="731"/>
      <c r="N723" s="703" t="s">
        <v>1560</v>
      </c>
      <c r="O723" s="703" t="s">
        <v>1287</v>
      </c>
      <c r="P723" s="726"/>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5" customFormat="1" ht="12" customHeight="1">
      <c r="B724" s="634"/>
      <c r="F724" s="729"/>
      <c r="G724" s="730"/>
      <c r="H724" s="731"/>
      <c r="N724" s="1179" t="s">
        <v>2460</v>
      </c>
      <c r="O724" s="1179" t="s">
        <v>124</v>
      </c>
      <c r="P724" s="2032"/>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5" customFormat="1" ht="12" customHeight="1">
      <c r="B725" s="634"/>
      <c r="F725" s="729"/>
      <c r="G725" s="730"/>
      <c r="H725" s="731"/>
      <c r="N725" s="1179" t="s">
        <v>1505</v>
      </c>
      <c r="O725" s="1179" t="s">
        <v>2392</v>
      </c>
      <c r="P725" s="726"/>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5" customFormat="1" ht="12" customHeight="1">
      <c r="B726" s="634"/>
      <c r="F726" s="729"/>
      <c r="G726" s="730"/>
      <c r="H726" s="731"/>
      <c r="N726" s="1179" t="s">
        <v>2406</v>
      </c>
      <c r="O726" s="1179" t="s">
        <v>2052</v>
      </c>
      <c r="P726" s="726"/>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5" customFormat="1" ht="12" customHeight="1">
      <c r="B727" s="634"/>
      <c r="F727" s="729"/>
      <c r="G727" s="730"/>
      <c r="H727" s="731"/>
      <c r="N727" s="1179" t="s">
        <v>2408</v>
      </c>
      <c r="O727" s="1179" t="s">
        <v>2310</v>
      </c>
      <c r="P727" s="726"/>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5" customFormat="1" ht="12" customHeight="1">
      <c r="B728" s="634"/>
      <c r="F728" s="729"/>
      <c r="G728" s="730"/>
      <c r="H728" s="731"/>
      <c r="N728" s="1179" t="s">
        <v>2410</v>
      </c>
      <c r="O728" s="1179" t="s">
        <v>2562</v>
      </c>
      <c r="P728" s="726"/>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5" customFormat="1" ht="12" customHeight="1">
      <c r="B729" s="634"/>
      <c r="F729" s="729"/>
      <c r="G729" s="730"/>
      <c r="H729" s="731"/>
      <c r="N729" s="1179" t="s">
        <v>3514</v>
      </c>
      <c r="O729" s="1179" t="s">
        <v>166</v>
      </c>
      <c r="P729" s="726"/>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5" customFormat="1" ht="12" customHeight="1">
      <c r="B730" s="634"/>
      <c r="F730" s="729"/>
      <c r="G730" s="730"/>
      <c r="H730" s="731"/>
      <c r="N730" s="1179" t="s">
        <v>1181</v>
      </c>
      <c r="O730" s="1179" t="s">
        <v>2321</v>
      </c>
      <c r="P730" s="726"/>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5" customFormat="1" ht="12" customHeight="1">
      <c r="B731" s="634"/>
      <c r="F731" s="729"/>
      <c r="G731" s="730"/>
      <c r="H731" s="731"/>
      <c r="N731" s="1179" t="s">
        <v>1183</v>
      </c>
      <c r="O731" s="1179" t="s">
        <v>1158</v>
      </c>
      <c r="P731" s="726"/>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5" customFormat="1" ht="12" customHeight="1">
      <c r="B732" s="634"/>
      <c r="F732" s="729"/>
      <c r="G732" s="730"/>
      <c r="H732" s="731"/>
      <c r="N732" s="1179" t="s">
        <v>2187</v>
      </c>
      <c r="O732" s="1179" t="s">
        <v>332</v>
      </c>
      <c r="P732" s="726"/>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5" customFormat="1" ht="12" customHeight="1">
      <c r="B733" s="634"/>
      <c r="F733" s="729"/>
      <c r="G733" s="730"/>
      <c r="H733" s="731"/>
      <c r="N733" s="703" t="s">
        <v>2105</v>
      </c>
      <c r="O733" s="703" t="s">
        <v>125</v>
      </c>
      <c r="P733" s="726"/>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5" customFormat="1" ht="12" customHeight="1">
      <c r="B734" s="634"/>
      <c r="F734" s="729"/>
      <c r="G734" s="730"/>
      <c r="H734" s="731"/>
      <c r="N734" s="1179" t="s">
        <v>2107</v>
      </c>
      <c r="O734" s="1179" t="s">
        <v>341</v>
      </c>
      <c r="P734" s="2032"/>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5" customFormat="1" ht="12" customHeight="1">
      <c r="B735" s="634"/>
      <c r="F735" s="729"/>
      <c r="G735" s="730"/>
      <c r="H735" s="731"/>
      <c r="N735" s="1179" t="s">
        <v>2109</v>
      </c>
      <c r="O735" s="1179" t="s">
        <v>191</v>
      </c>
      <c r="P735" s="726"/>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5" customFormat="1" ht="12" customHeight="1">
      <c r="B736" s="634"/>
      <c r="F736" s="729"/>
      <c r="G736" s="730"/>
      <c r="H736" s="731"/>
      <c r="N736" s="1179" t="s">
        <v>3515</v>
      </c>
      <c r="O736" s="1179" t="s">
        <v>2046</v>
      </c>
      <c r="P736" s="726"/>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5" customFormat="1" ht="12" customHeight="1">
      <c r="B737" s="634"/>
      <c r="F737" s="729"/>
      <c r="G737" s="730"/>
      <c r="H737" s="731"/>
      <c r="N737" s="1179" t="s">
        <v>478</v>
      </c>
      <c r="O737" s="1179" t="s">
        <v>1400</v>
      </c>
      <c r="P737" s="726"/>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5" customFormat="1" ht="12" customHeight="1">
      <c r="B738" s="634"/>
      <c r="F738" s="729"/>
      <c r="G738" s="730"/>
      <c r="H738" s="731"/>
      <c r="N738" s="1179" t="s">
        <v>2237</v>
      </c>
      <c r="O738" s="1179" t="s">
        <v>783</v>
      </c>
      <c r="P738" s="726"/>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5" customFormat="1" ht="12" customHeight="1">
      <c r="B739" s="634"/>
      <c r="F739" s="729"/>
      <c r="G739" s="730"/>
      <c r="H739" s="731"/>
      <c r="N739" s="1179" t="s">
        <v>2264</v>
      </c>
      <c r="O739" s="1179" t="s">
        <v>109</v>
      </c>
      <c r="P739" s="726"/>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5" customFormat="1" ht="12" customHeight="1">
      <c r="B740" s="634"/>
      <c r="F740" s="729"/>
      <c r="G740" s="730"/>
      <c r="H740" s="731"/>
      <c r="N740" s="1179" t="s">
        <v>887</v>
      </c>
      <c r="O740" s="1179" t="s">
        <v>2142</v>
      </c>
      <c r="P740" s="2033"/>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5" customFormat="1" ht="12" customHeight="1">
      <c r="B741" s="634"/>
      <c r="F741" s="729"/>
      <c r="G741" s="730"/>
      <c r="H741" s="731"/>
      <c r="N741" s="1179" t="s">
        <v>2265</v>
      </c>
      <c r="O741" s="1179" t="s">
        <v>2142</v>
      </c>
      <c r="P741" s="726"/>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5" customFormat="1" ht="12" customHeight="1">
      <c r="B742" s="634"/>
      <c r="F742" s="729"/>
      <c r="G742" s="730"/>
      <c r="H742" s="731"/>
      <c r="N742" s="703" t="s">
        <v>2266</v>
      </c>
      <c r="O742" s="703" t="s">
        <v>1779</v>
      </c>
      <c r="P742" s="726"/>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5" customFormat="1" ht="12" customHeight="1">
      <c r="B743" s="634"/>
      <c r="F743" s="729"/>
      <c r="G743" s="730"/>
      <c r="H743" s="731"/>
      <c r="N743" s="1179" t="s">
        <v>2484</v>
      </c>
      <c r="O743" s="1179" t="s">
        <v>2010</v>
      </c>
      <c r="P743" s="2032"/>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5" customFormat="1" ht="12" customHeight="1">
      <c r="B744" s="634"/>
      <c r="F744" s="729"/>
      <c r="G744" s="730"/>
      <c r="H744" s="731"/>
      <c r="N744" s="1179" t="s">
        <v>2485</v>
      </c>
      <c r="O744" s="1179" t="s">
        <v>166</v>
      </c>
      <c r="P744" s="726"/>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5" customFormat="1" ht="12" customHeight="1">
      <c r="B745" s="634"/>
      <c r="F745" s="729"/>
      <c r="G745" s="730"/>
      <c r="H745" s="731"/>
      <c r="N745" s="1179" t="s">
        <v>2486</v>
      </c>
      <c r="O745" s="1179" t="s">
        <v>1781</v>
      </c>
      <c r="P745" s="726"/>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5" customFormat="1" ht="12" customHeight="1">
      <c r="B746" s="634"/>
      <c r="F746" s="729"/>
      <c r="G746" s="730"/>
      <c r="H746" s="731"/>
      <c r="N746" s="1179" t="s">
        <v>2487</v>
      </c>
      <c r="O746" s="1179" t="s">
        <v>1170</v>
      </c>
      <c r="P746" s="726"/>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5" customFormat="1" ht="12" customHeight="1">
      <c r="B747" s="634"/>
      <c r="F747" s="729"/>
      <c r="G747" s="730"/>
      <c r="H747" s="731"/>
      <c r="N747" s="1179" t="s">
        <v>2488</v>
      </c>
      <c r="O747" s="1179" t="s">
        <v>2558</v>
      </c>
      <c r="P747" s="726"/>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5" customFormat="1" ht="12" customHeight="1">
      <c r="B748" s="634"/>
      <c r="F748" s="729"/>
      <c r="G748" s="730"/>
      <c r="H748" s="731"/>
      <c r="N748" s="1179" t="s">
        <v>2411</v>
      </c>
      <c r="O748" s="1179" t="s">
        <v>2315</v>
      </c>
      <c r="P748" s="726"/>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5" customFormat="1" ht="12" customHeight="1">
      <c r="B749" s="634"/>
      <c r="F749" s="729"/>
      <c r="G749" s="730"/>
      <c r="H749" s="731"/>
      <c r="N749" s="1179" t="s">
        <v>1736</v>
      </c>
      <c r="O749" s="1179" t="s">
        <v>2560</v>
      </c>
      <c r="P749" s="726"/>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5" customFormat="1" ht="12" customHeight="1">
      <c r="B750" s="634"/>
      <c r="F750" s="729"/>
      <c r="G750" s="730"/>
      <c r="H750" s="731"/>
      <c r="N750" s="1179" t="s">
        <v>1737</v>
      </c>
      <c r="O750" s="1179" t="s">
        <v>202</v>
      </c>
      <c r="P750" s="726"/>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5" customFormat="1" ht="12" customHeight="1">
      <c r="B751" s="634"/>
      <c r="F751" s="729"/>
      <c r="G751" s="730"/>
      <c r="H751" s="731"/>
      <c r="N751" s="1179" t="s">
        <v>1805</v>
      </c>
      <c r="O751" s="1179" t="s">
        <v>169</v>
      </c>
      <c r="P751" s="726"/>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5" customFormat="1" ht="12" customHeight="1">
      <c r="B752" s="634"/>
      <c r="F752" s="729"/>
      <c r="G752" s="730"/>
      <c r="H752" s="731"/>
      <c r="N752" s="1179" t="s">
        <v>1142</v>
      </c>
      <c r="O752" s="1179" t="s">
        <v>669</v>
      </c>
      <c r="P752" s="726"/>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5" customFormat="1" ht="12" customHeight="1">
      <c r="B753" s="634"/>
      <c r="F753" s="729"/>
      <c r="G753" s="730"/>
      <c r="H753" s="731"/>
      <c r="N753" s="1179" t="s">
        <v>872</v>
      </c>
      <c r="O753" s="1179" t="s">
        <v>2085</v>
      </c>
      <c r="P753" s="726"/>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5" customFormat="1" ht="12" customHeight="1">
      <c r="B754" s="634"/>
      <c r="F754" s="729"/>
      <c r="G754" s="730"/>
      <c r="H754" s="731"/>
      <c r="N754" s="1179" t="s">
        <v>1806</v>
      </c>
      <c r="O754" s="1179" t="s">
        <v>2706</v>
      </c>
      <c r="P754" s="726"/>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5" customFormat="1" ht="12" customHeight="1">
      <c r="B755" s="634"/>
      <c r="F755" s="729"/>
      <c r="G755" s="730"/>
      <c r="H755" s="731"/>
      <c r="N755" s="1179" t="s">
        <v>1807</v>
      </c>
      <c r="O755" s="1179" t="s">
        <v>2392</v>
      </c>
      <c r="P755" s="726"/>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5" customFormat="1" ht="12" customHeight="1">
      <c r="B756" s="634"/>
      <c r="F756" s="729"/>
      <c r="G756" s="730"/>
      <c r="H756" s="731"/>
      <c r="N756" s="1179" t="s">
        <v>1808</v>
      </c>
      <c r="O756" s="1179" t="s">
        <v>1781</v>
      </c>
      <c r="P756" s="726"/>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5" customFormat="1" ht="12" customHeight="1">
      <c r="B757" s="634"/>
      <c r="F757" s="729"/>
      <c r="G757" s="730"/>
      <c r="H757" s="731"/>
      <c r="N757" s="1179" t="s">
        <v>1809</v>
      </c>
      <c r="O757" s="1179" t="s">
        <v>166</v>
      </c>
      <c r="P757" s="726"/>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5" customFormat="1" ht="12" customHeight="1">
      <c r="B758" s="634"/>
      <c r="F758" s="729"/>
      <c r="G758" s="730"/>
      <c r="H758" s="731"/>
      <c r="N758" s="1179" t="s">
        <v>1810</v>
      </c>
      <c r="O758" s="1179" t="s">
        <v>703</v>
      </c>
      <c r="P758" s="726"/>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5" customFormat="1" ht="12" customHeight="1">
      <c r="B759" s="634"/>
      <c r="F759" s="729"/>
      <c r="G759" s="730"/>
      <c r="H759" s="731"/>
      <c r="N759" s="1179" t="s">
        <v>1811</v>
      </c>
      <c r="O759" s="1179" t="s">
        <v>1010</v>
      </c>
      <c r="P759" s="2033"/>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5" customFormat="1" ht="12" customHeight="1">
      <c r="B760" s="634"/>
      <c r="F760" s="729"/>
      <c r="G760" s="730"/>
      <c r="H760" s="731"/>
      <c r="N760" s="1179" t="s">
        <v>1812</v>
      </c>
      <c r="O760" s="1179" t="s">
        <v>1283</v>
      </c>
      <c r="P760" s="726"/>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5" customFormat="1" ht="12" customHeight="1">
      <c r="B761" s="634"/>
      <c r="F761" s="729"/>
      <c r="G761" s="730"/>
      <c r="H761" s="731"/>
      <c r="N761" s="1179" t="s">
        <v>1813</v>
      </c>
      <c r="O761" s="1179" t="s">
        <v>717</v>
      </c>
      <c r="P761" s="726"/>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5" customFormat="1" ht="12" customHeight="1">
      <c r="B762" s="634"/>
      <c r="F762" s="729"/>
      <c r="G762" s="730"/>
      <c r="H762" s="731"/>
      <c r="N762" s="703" t="s">
        <v>1143</v>
      </c>
      <c r="O762" s="703" t="s">
        <v>1781</v>
      </c>
      <c r="P762" s="726"/>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5" customFormat="1" ht="12" customHeight="1">
      <c r="B763" s="634"/>
      <c r="F763" s="729"/>
      <c r="G763" s="730"/>
      <c r="H763" s="731"/>
      <c r="N763" s="1179" t="s">
        <v>1814</v>
      </c>
      <c r="O763" s="1179" t="s">
        <v>191</v>
      </c>
      <c r="P763" s="2032"/>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5" customFormat="1" ht="12" customHeight="1">
      <c r="B764" s="634"/>
      <c r="F764" s="729"/>
      <c r="G764" s="730"/>
      <c r="H764" s="731"/>
      <c r="N764" s="1179" t="s">
        <v>1815</v>
      </c>
      <c r="O764" s="1179" t="s">
        <v>182</v>
      </c>
      <c r="P764" s="726"/>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5" customFormat="1" ht="12" customHeight="1">
      <c r="B765" s="634"/>
      <c r="F765" s="729"/>
      <c r="G765" s="730"/>
      <c r="H765" s="731"/>
      <c r="N765" s="1179" t="s">
        <v>1816</v>
      </c>
      <c r="O765" s="1179" t="s">
        <v>2085</v>
      </c>
      <c r="P765" s="726"/>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5" customFormat="1" ht="12" customHeight="1">
      <c r="B766" s="634"/>
      <c r="F766" s="729"/>
      <c r="G766" s="730"/>
      <c r="H766" s="731"/>
      <c r="N766" s="703" t="s">
        <v>1817</v>
      </c>
      <c r="O766" s="703" t="s">
        <v>166</v>
      </c>
      <c r="P766" s="726"/>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5" customFormat="1" ht="12" customHeight="1">
      <c r="B767" s="634"/>
      <c r="F767" s="729"/>
      <c r="G767" s="730"/>
      <c r="H767" s="731"/>
      <c r="N767" s="1179" t="s">
        <v>1818</v>
      </c>
      <c r="O767" s="1179" t="s">
        <v>2044</v>
      </c>
      <c r="P767" s="2032"/>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5" customFormat="1" ht="12" customHeight="1">
      <c r="B768" s="634"/>
      <c r="F768" s="729"/>
      <c r="G768" s="730"/>
      <c r="H768" s="731"/>
      <c r="N768" s="1179" t="s">
        <v>1819</v>
      </c>
      <c r="O768" s="1179" t="s">
        <v>1415</v>
      </c>
      <c r="P768" s="726"/>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5" customFormat="1" ht="12" customHeight="1">
      <c r="B769" s="634"/>
      <c r="F769" s="729"/>
      <c r="G769" s="730"/>
      <c r="H769" s="731"/>
      <c r="N769" s="1179" t="s">
        <v>1820</v>
      </c>
      <c r="O769" s="1179" t="s">
        <v>1010</v>
      </c>
      <c r="P769" s="726"/>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5" customFormat="1" ht="12" customHeight="1">
      <c r="B770" s="634"/>
      <c r="F770" s="729"/>
      <c r="G770" s="730"/>
      <c r="H770" s="731"/>
      <c r="N770" s="1179" t="s">
        <v>1821</v>
      </c>
      <c r="O770" s="1179" t="s">
        <v>783</v>
      </c>
      <c r="P770" s="726"/>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5" customFormat="1" ht="12" customHeight="1">
      <c r="B771" s="634"/>
      <c r="F771" s="729"/>
      <c r="G771" s="730"/>
      <c r="H771" s="731"/>
      <c r="N771" s="1179" t="s">
        <v>1144</v>
      </c>
      <c r="O771" s="1179" t="s">
        <v>2656</v>
      </c>
      <c r="P771" s="726"/>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5" customFormat="1" ht="12" customHeight="1">
      <c r="B772" s="634"/>
      <c r="F772" s="729"/>
      <c r="G772" s="730"/>
      <c r="H772" s="731"/>
      <c r="N772" s="1179" t="s">
        <v>1822</v>
      </c>
      <c r="O772" s="1179" t="s">
        <v>332</v>
      </c>
      <c r="P772" s="726"/>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5" customFormat="1" ht="12" customHeight="1">
      <c r="B773" s="634"/>
      <c r="F773" s="729"/>
      <c r="G773" s="730"/>
      <c r="H773" s="731"/>
      <c r="N773" s="1179" t="s">
        <v>1823</v>
      </c>
      <c r="O773" s="1179" t="s">
        <v>346</v>
      </c>
      <c r="P773" s="726"/>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5" customFormat="1" ht="12" customHeight="1">
      <c r="B774" s="634"/>
      <c r="F774" s="729"/>
      <c r="G774" s="730"/>
      <c r="H774" s="731"/>
      <c r="N774" s="1179" t="s">
        <v>1824</v>
      </c>
      <c r="O774" s="1179" t="s">
        <v>171</v>
      </c>
      <c r="P774" s="726"/>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5" customFormat="1" ht="12" customHeight="1">
      <c r="B775" s="634"/>
      <c r="F775" s="729"/>
      <c r="G775" s="730"/>
      <c r="H775" s="731"/>
      <c r="N775" s="1179" t="s">
        <v>1825</v>
      </c>
      <c r="O775" s="1179" t="s">
        <v>2145</v>
      </c>
      <c r="P775" s="726"/>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5" customFormat="1" ht="12" customHeight="1">
      <c r="B776" s="634"/>
      <c r="F776" s="729"/>
      <c r="G776" s="730"/>
      <c r="H776" s="731"/>
      <c r="N776" s="1179" t="s">
        <v>1826</v>
      </c>
      <c r="O776" s="1179" t="s">
        <v>1552</v>
      </c>
      <c r="P776" s="726"/>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5" customFormat="1" ht="12" customHeight="1">
      <c r="B777" s="634"/>
      <c r="F777" s="729"/>
      <c r="G777" s="730"/>
      <c r="H777" s="731"/>
      <c r="N777" s="1179" t="s">
        <v>1827</v>
      </c>
      <c r="O777" s="1179" t="s">
        <v>2012</v>
      </c>
      <c r="P777" s="726"/>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5" customFormat="1" ht="12" customHeight="1">
      <c r="B778" s="634"/>
      <c r="F778" s="729"/>
      <c r="G778" s="730"/>
      <c r="H778" s="731"/>
      <c r="N778" s="1179" t="s">
        <v>1828</v>
      </c>
      <c r="O778" s="1179" t="s">
        <v>338</v>
      </c>
      <c r="P778" s="726"/>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5" customFormat="1" ht="12" customHeight="1">
      <c r="B779" s="634"/>
      <c r="F779" s="729"/>
      <c r="G779" s="730"/>
      <c r="H779" s="731"/>
      <c r="N779" s="1179" t="s">
        <v>1829</v>
      </c>
      <c r="O779" s="1179" t="s">
        <v>107</v>
      </c>
      <c r="P779" s="726"/>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5" customFormat="1" ht="12" customHeight="1">
      <c r="B780" s="634"/>
      <c r="F780" s="729"/>
      <c r="G780" s="730"/>
      <c r="H780" s="731"/>
      <c r="N780" s="726" t="s">
        <v>309</v>
      </c>
      <c r="O780" s="726" t="s">
        <v>2562</v>
      </c>
      <c r="P780" s="726"/>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5" customFormat="1" ht="12" customHeight="1">
      <c r="B781" s="634"/>
      <c r="F781" s="729"/>
      <c r="G781" s="730"/>
      <c r="H781" s="731"/>
      <c r="N781" s="1179" t="s">
        <v>109</v>
      </c>
      <c r="O781" s="1179" t="s">
        <v>2558</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5" customFormat="1" ht="12" customHeight="1">
      <c r="B782" s="634"/>
      <c r="F782" s="729"/>
      <c r="G782" s="730"/>
      <c r="H782" s="731"/>
      <c r="N782" s="1179" t="s">
        <v>310</v>
      </c>
      <c r="O782" s="726" t="s">
        <v>2774</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5" customFormat="1" ht="12" customHeight="1">
      <c r="B783" s="634"/>
      <c r="F783" s="729"/>
      <c r="G783" s="730"/>
      <c r="H783" s="731"/>
      <c r="N783" s="635" t="s">
        <v>311</v>
      </c>
      <c r="O783" s="635"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5" customFormat="1" ht="12" customHeight="1">
      <c r="B784" s="634"/>
      <c r="F784" s="729"/>
      <c r="G784" s="730"/>
      <c r="H784" s="731"/>
      <c r="N784" s="635" t="s">
        <v>312</v>
      </c>
      <c r="O784" s="635" t="s">
        <v>2146</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5" customFormat="1" ht="12" customHeight="1">
      <c r="B785" s="634"/>
      <c r="F785" s="729"/>
      <c r="G785" s="730"/>
      <c r="H785" s="731"/>
      <c r="N785" s="635" t="s">
        <v>313</v>
      </c>
      <c r="O785" s="635" t="s">
        <v>1415</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5" customFormat="1" ht="12" customHeight="1">
      <c r="B786" s="634"/>
      <c r="F786" s="729"/>
      <c r="G786" s="730"/>
      <c r="H786" s="731"/>
      <c r="N786" s="635" t="s">
        <v>314</v>
      </c>
      <c r="O786" s="635" t="s">
        <v>2050</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5" customFormat="1" ht="12" customHeight="1">
      <c r="B787" s="634"/>
      <c r="F787" s="729"/>
      <c r="G787" s="730"/>
      <c r="H787" s="731"/>
      <c r="N787" s="635" t="s">
        <v>315</v>
      </c>
      <c r="O787" s="635"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5" customFormat="1" ht="12" customHeight="1">
      <c r="B788" s="634"/>
      <c r="F788" s="729"/>
      <c r="G788" s="730"/>
      <c r="H788" s="731"/>
      <c r="N788" s="635" t="s">
        <v>316</v>
      </c>
      <c r="O788" s="635" t="s">
        <v>715</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5" customFormat="1" ht="12" customHeight="1">
      <c r="B789" s="634"/>
      <c r="F789" s="729"/>
      <c r="G789" s="730"/>
      <c r="H789" s="731"/>
      <c r="N789" s="635" t="s">
        <v>117</v>
      </c>
      <c r="O789" s="635" t="s">
        <v>1400</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5" customFormat="1" ht="12" customHeight="1">
      <c r="B790" s="634"/>
      <c r="F790" s="729"/>
      <c r="G790" s="730"/>
      <c r="H790" s="731"/>
      <c r="N790" s="635" t="s">
        <v>1647</v>
      </c>
      <c r="O790" s="635" t="s">
        <v>717</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5" customFormat="1" ht="12" customHeight="1">
      <c r="B791" s="634"/>
      <c r="F791" s="729"/>
      <c r="N791" s="635" t="s">
        <v>1145</v>
      </c>
      <c r="O791" s="635"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5" customFormat="1" ht="12" customHeight="1">
      <c r="B792" s="634"/>
      <c r="N792" s="635" t="s">
        <v>1648</v>
      </c>
      <c r="O792" s="635" t="s">
        <v>783</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5" customFormat="1" ht="12" customHeight="1">
      <c r="B793" s="634"/>
      <c r="N793" s="635" t="s">
        <v>1649</v>
      </c>
      <c r="O793" s="635" t="s">
        <v>1901</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5" customFormat="1" ht="12" customHeight="1">
      <c r="B794" s="634"/>
      <c r="N794" s="635" t="s">
        <v>1650</v>
      </c>
      <c r="O794" s="635" t="s">
        <v>1161</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5" customFormat="1" ht="12" customHeight="1">
      <c r="B795" s="634"/>
      <c r="N795" s="635" t="s">
        <v>1146</v>
      </c>
      <c r="O795" s="635" t="s">
        <v>166</v>
      </c>
      <c r="X795" s="382"/>
      <c r="Y795" s="382"/>
      <c r="Z795" s="382"/>
      <c r="AA795" s="382"/>
      <c r="AB795" s="382"/>
      <c r="AC795" s="382"/>
      <c r="AD795" s="382"/>
      <c r="AE795" s="382"/>
      <c r="AF795" s="382"/>
      <c r="AG795" s="382"/>
    </row>
    <row r="796" spans="2:44" s="635" customFormat="1" ht="12" customHeight="1">
      <c r="B796" s="634"/>
      <c r="N796" s="635" t="s">
        <v>1651</v>
      </c>
      <c r="O796" s="635" t="s">
        <v>1399</v>
      </c>
      <c r="X796" s="382"/>
      <c r="Y796" s="382"/>
      <c r="Z796" s="382"/>
      <c r="AA796" s="382"/>
      <c r="AB796" s="382"/>
      <c r="AC796" s="382"/>
      <c r="AD796" s="382"/>
      <c r="AE796" s="382"/>
      <c r="AF796" s="382"/>
      <c r="AG796" s="382"/>
    </row>
    <row r="797" spans="2:44" s="635" customFormat="1" ht="12" customHeight="1">
      <c r="B797" s="634"/>
      <c r="N797" s="635" t="s">
        <v>1652</v>
      </c>
      <c r="O797" s="635" t="s">
        <v>172</v>
      </c>
      <c r="X797" s="382"/>
      <c r="Y797" s="382"/>
      <c r="Z797" s="382"/>
      <c r="AA797" s="382"/>
      <c r="AB797" s="382"/>
      <c r="AC797" s="382"/>
      <c r="AD797" s="382"/>
      <c r="AE797" s="382"/>
      <c r="AF797" s="382"/>
      <c r="AG797" s="382"/>
    </row>
    <row r="798" spans="2:44" s="635" customFormat="1" ht="12" customHeight="1">
      <c r="B798" s="634"/>
      <c r="N798" s="635" t="s">
        <v>1653</v>
      </c>
      <c r="O798" s="635" t="s">
        <v>1420</v>
      </c>
      <c r="X798" s="382"/>
      <c r="Y798" s="382"/>
      <c r="Z798" s="382"/>
      <c r="AA798" s="382"/>
      <c r="AB798" s="382"/>
      <c r="AC798" s="382"/>
      <c r="AD798" s="382"/>
      <c r="AE798" s="382"/>
      <c r="AF798" s="382"/>
      <c r="AG798" s="382"/>
    </row>
    <row r="799" spans="2:44" s="635" customFormat="1" ht="12" customHeight="1">
      <c r="B799" s="634"/>
      <c r="N799" s="635" t="s">
        <v>1654</v>
      </c>
      <c r="O799" s="635" t="s">
        <v>2012</v>
      </c>
      <c r="X799" s="382"/>
      <c r="Y799" s="382"/>
      <c r="Z799" s="382"/>
      <c r="AA799" s="382"/>
      <c r="AB799" s="382"/>
      <c r="AC799" s="382"/>
      <c r="AD799" s="382"/>
      <c r="AE799" s="382"/>
      <c r="AF799" s="382"/>
      <c r="AG799" s="382"/>
    </row>
    <row r="800" spans="2:44" s="635" customFormat="1" ht="12" customHeight="1">
      <c r="B800" s="634"/>
      <c r="N800" s="635" t="s">
        <v>1655</v>
      </c>
      <c r="O800" s="635" t="s">
        <v>2321</v>
      </c>
      <c r="X800" s="382"/>
      <c r="Y800" s="382"/>
      <c r="Z800" s="382"/>
      <c r="AA800" s="382"/>
      <c r="AB800" s="382"/>
      <c r="AC800" s="382"/>
      <c r="AD800" s="382"/>
      <c r="AE800" s="382"/>
      <c r="AF800" s="382"/>
      <c r="AG800" s="382"/>
    </row>
    <row r="801" spans="2:33" s="635" customFormat="1" ht="12" customHeight="1">
      <c r="B801" s="634"/>
      <c r="N801" s="635" t="s">
        <v>1656</v>
      </c>
      <c r="O801" s="635" t="s">
        <v>171</v>
      </c>
      <c r="X801" s="382"/>
      <c r="Y801" s="382"/>
      <c r="Z801" s="382"/>
      <c r="AA801" s="382"/>
      <c r="AB801" s="382"/>
      <c r="AC801" s="382"/>
      <c r="AD801" s="382"/>
      <c r="AE801" s="382"/>
      <c r="AF801" s="382"/>
      <c r="AG801" s="382"/>
    </row>
    <row r="802" spans="2:33" s="635" customFormat="1" ht="12" customHeight="1">
      <c r="B802" s="634"/>
      <c r="N802" s="635" t="s">
        <v>2539</v>
      </c>
      <c r="O802" s="635" t="s">
        <v>717</v>
      </c>
      <c r="X802" s="382"/>
      <c r="Y802" s="382"/>
      <c r="Z802" s="382"/>
      <c r="AA802" s="382"/>
      <c r="AB802" s="382"/>
      <c r="AC802" s="382"/>
      <c r="AD802" s="382"/>
      <c r="AE802" s="382"/>
      <c r="AF802" s="382"/>
      <c r="AG802" s="382"/>
    </row>
    <row r="803" spans="2:33" s="635" customFormat="1" ht="12" customHeight="1">
      <c r="B803" s="634"/>
      <c r="N803" s="635" t="s">
        <v>2540</v>
      </c>
      <c r="O803" s="635" t="s">
        <v>703</v>
      </c>
      <c r="X803" s="382"/>
      <c r="Y803" s="382"/>
      <c r="Z803" s="382"/>
      <c r="AA803" s="382"/>
      <c r="AB803" s="382"/>
      <c r="AC803" s="382"/>
      <c r="AD803" s="382"/>
      <c r="AE803" s="382"/>
      <c r="AF803" s="382"/>
      <c r="AG803" s="382"/>
    </row>
    <row r="804" spans="2:33" s="635" customFormat="1" ht="12" customHeight="1">
      <c r="B804" s="634"/>
      <c r="N804" s="635" t="s">
        <v>2541</v>
      </c>
      <c r="O804" s="635" t="s">
        <v>346</v>
      </c>
      <c r="X804" s="382"/>
      <c r="Y804" s="382"/>
      <c r="Z804" s="382"/>
      <c r="AA804" s="382"/>
      <c r="AB804" s="382"/>
      <c r="AC804" s="382"/>
      <c r="AD804" s="382"/>
      <c r="AE804" s="382"/>
      <c r="AF804" s="382"/>
      <c r="AG804" s="382"/>
    </row>
    <row r="805" spans="2:33" s="635" customFormat="1" ht="12" customHeight="1">
      <c r="B805" s="634"/>
      <c r="N805" s="635" t="s">
        <v>888</v>
      </c>
      <c r="O805" s="635" t="s">
        <v>350</v>
      </c>
      <c r="X805" s="382"/>
      <c r="Y805" s="382"/>
      <c r="Z805" s="382"/>
      <c r="AA805" s="382"/>
      <c r="AB805" s="382"/>
      <c r="AC805" s="382"/>
      <c r="AD805" s="382"/>
      <c r="AE805" s="382"/>
      <c r="AF805" s="382"/>
      <c r="AG805" s="382"/>
    </row>
    <row r="806" spans="2:33" s="635" customFormat="1" ht="12" customHeight="1">
      <c r="B806" s="634"/>
      <c r="N806" s="635" t="s">
        <v>889</v>
      </c>
      <c r="O806" s="635" t="s">
        <v>2142</v>
      </c>
      <c r="X806" s="382"/>
      <c r="Y806" s="382"/>
      <c r="Z806" s="382"/>
      <c r="AA806" s="382"/>
      <c r="AB806" s="382"/>
      <c r="AC806" s="382"/>
      <c r="AD806" s="382"/>
      <c r="AE806" s="382"/>
      <c r="AF806" s="382"/>
      <c r="AG806" s="382"/>
    </row>
    <row r="807" spans="2:33" s="635" customFormat="1" ht="12" customHeight="1">
      <c r="B807" s="634"/>
      <c r="N807" s="635" t="s">
        <v>3516</v>
      </c>
      <c r="O807" s="635" t="s">
        <v>117</v>
      </c>
      <c r="X807" s="382"/>
      <c r="Y807" s="382"/>
      <c r="Z807" s="382"/>
      <c r="AA807" s="382"/>
      <c r="AB807" s="382"/>
      <c r="AC807" s="382"/>
      <c r="AD807" s="382"/>
      <c r="AE807" s="382"/>
      <c r="AF807" s="382"/>
      <c r="AG807" s="382"/>
    </row>
    <row r="808" spans="2:33" s="635" customFormat="1" ht="12" customHeight="1">
      <c r="B808" s="634"/>
      <c r="N808" s="635" t="s">
        <v>890</v>
      </c>
      <c r="O808" s="635" t="s">
        <v>2046</v>
      </c>
      <c r="X808" s="382"/>
      <c r="Y808" s="382"/>
      <c r="Z808" s="382"/>
      <c r="AA808" s="382"/>
      <c r="AB808" s="382"/>
      <c r="AC808" s="382"/>
      <c r="AD808" s="382"/>
      <c r="AE808" s="382"/>
      <c r="AF808" s="382"/>
      <c r="AG808" s="382"/>
    </row>
    <row r="809" spans="2:33" s="635" customFormat="1" ht="12" customHeight="1">
      <c r="B809" s="634"/>
      <c r="N809" s="635" t="s">
        <v>891</v>
      </c>
      <c r="O809" s="635" t="s">
        <v>1161</v>
      </c>
      <c r="X809" s="382"/>
      <c r="Y809" s="382"/>
      <c r="Z809" s="382"/>
      <c r="AA809" s="382"/>
      <c r="AB809" s="382"/>
      <c r="AC809" s="382"/>
      <c r="AD809" s="382"/>
      <c r="AE809" s="382"/>
      <c r="AF809" s="382"/>
      <c r="AG809" s="382"/>
    </row>
    <row r="810" spans="2:33" s="635" customFormat="1" ht="12" customHeight="1">
      <c r="B810" s="634"/>
      <c r="X810" s="382"/>
      <c r="Y810" s="382"/>
      <c r="Z810" s="382"/>
      <c r="AA810" s="382"/>
      <c r="AB810" s="382"/>
      <c r="AC810" s="382"/>
      <c r="AD810" s="382"/>
      <c r="AE810" s="382"/>
      <c r="AF810" s="382"/>
      <c r="AG810" s="382"/>
    </row>
    <row r="811" spans="2:33" s="635" customFormat="1" ht="12" customHeight="1">
      <c r="B811" s="634"/>
    </row>
    <row r="812" spans="2:33" s="635" customFormat="1" ht="12" customHeight="1">
      <c r="B812" s="634"/>
    </row>
    <row r="813" spans="2:33" s="635" customFormat="1" ht="12" customHeight="1">
      <c r="B813" s="634"/>
    </row>
    <row r="814" spans="2:33" s="635" customFormat="1" ht="12" customHeight="1">
      <c r="B814" s="634"/>
    </row>
    <row r="815" spans="2:33" s="635" customFormat="1" ht="12" customHeight="1">
      <c r="B815" s="634"/>
    </row>
    <row r="816" spans="2:33" s="635" customFormat="1" ht="12" customHeight="1">
      <c r="B816" s="634"/>
    </row>
    <row r="817" spans="2:2" s="635" customFormat="1" ht="12" customHeight="1">
      <c r="B817" s="634"/>
    </row>
    <row r="818" spans="2:2" s="635" customFormat="1" ht="12" customHeight="1">
      <c r="B818" s="634"/>
    </row>
    <row r="819" spans="2:2" s="635" customFormat="1" ht="12" customHeight="1">
      <c r="B819" s="634"/>
    </row>
    <row r="820" spans="2:2" s="635" customFormat="1" ht="12" customHeight="1">
      <c r="B820" s="634"/>
    </row>
    <row r="821" spans="2:2" s="635" customFormat="1" ht="12" customHeight="1">
      <c r="B821" s="634"/>
    </row>
    <row r="822" spans="2:2" s="635" customFormat="1" ht="12" customHeight="1">
      <c r="B822" s="634"/>
    </row>
    <row r="823" spans="2:2" s="635" customFormat="1" ht="12" customHeight="1">
      <c r="B823" s="634"/>
    </row>
    <row r="824" spans="2:2" s="635" customFormat="1" ht="12" customHeight="1">
      <c r="B824" s="634"/>
    </row>
    <row r="825" spans="2:2" s="635" customFormat="1" ht="12" customHeight="1">
      <c r="B825" s="634"/>
    </row>
    <row r="826" spans="2:2" s="635" customFormat="1" ht="12" customHeight="1">
      <c r="B826" s="634"/>
    </row>
    <row r="827" spans="2:2" s="635" customFormat="1" ht="12" customHeight="1">
      <c r="B827" s="634"/>
    </row>
    <row r="828" spans="2:2" s="635" customFormat="1" ht="12" customHeight="1">
      <c r="B828" s="634"/>
    </row>
    <row r="829" spans="2:2" s="635" customFormat="1" ht="12" customHeight="1">
      <c r="B829" s="634"/>
    </row>
    <row r="830" spans="2:2" s="635" customFormat="1" ht="12" customHeight="1">
      <c r="B830" s="634"/>
    </row>
    <row r="831" spans="2:2" s="635" customFormat="1" ht="12" customHeight="1">
      <c r="B831" s="634"/>
    </row>
    <row r="832" spans="2:2" s="635" customFormat="1" ht="12" customHeight="1">
      <c r="B832" s="634"/>
    </row>
    <row r="833" spans="2:27" s="635" customFormat="1" ht="12" customHeight="1">
      <c r="B833" s="634"/>
    </row>
    <row r="834" spans="2:27" s="635" customFormat="1" ht="12" customHeight="1">
      <c r="B834" s="634"/>
    </row>
    <row r="835" spans="2:27" s="635" customFormat="1" ht="12" customHeight="1">
      <c r="B835" s="634"/>
    </row>
    <row r="836" spans="2:27" s="635" customFormat="1" ht="12" customHeight="1">
      <c r="B836" s="634"/>
    </row>
    <row r="837" spans="2:27" s="635" customFormat="1" ht="12" customHeight="1">
      <c r="B837" s="634"/>
    </row>
    <row r="838" spans="2:27" s="635" customFormat="1" ht="12" customHeight="1">
      <c r="B838" s="634"/>
      <c r="N838" s="382"/>
      <c r="O838" s="382"/>
    </row>
    <row r="839" spans="2:27" ht="12" customHeight="1">
      <c r="I839" s="635"/>
      <c r="Z839" s="480"/>
      <c r="AA839" s="480"/>
    </row>
    <row r="840" spans="2:27" ht="12" customHeight="1">
      <c r="Z840" s="480"/>
      <c r="AA840" s="480"/>
    </row>
    <row r="841" spans="2:27" ht="12" customHeight="1">
      <c r="Z841" s="480"/>
      <c r="AA841" s="480"/>
    </row>
    <row r="842" spans="2:27" ht="12" customHeight="1">
      <c r="Z842" s="480"/>
      <c r="AA842" s="480"/>
    </row>
  </sheetData>
  <sheetProtection password="B388"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85" zoomScaleNormal="85" workbookViewId="0">
      <selection activeCell="U20" sqref="U20"/>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3" t="str">
        <f>CONCATENATE("PART TWO - DEVELOPMENT TEAM INFORMATION","  -  ",'Part I-Project Information'!$O$4," ",'Part I-Project Information'!$F$23,", ",'Part I-Project Information'!F27,", ",'Part I-Project Information'!J28," County")</f>
        <v>PART TWO - DEVELOPMENT TEAM INFORMATION  -  2014-055 Trinity Walk Phase I, Decatur, DeKalb County</v>
      </c>
      <c r="B1" s="1234"/>
      <c r="C1" s="1234"/>
      <c r="D1" s="1234"/>
      <c r="E1" s="1234"/>
      <c r="F1" s="1234"/>
      <c r="G1" s="1234"/>
      <c r="H1" s="1234"/>
      <c r="I1" s="1234"/>
      <c r="J1" s="1234"/>
      <c r="K1" s="1234"/>
      <c r="L1" s="1234"/>
      <c r="M1" s="1234"/>
      <c r="N1" s="1234"/>
      <c r="O1" s="1234"/>
      <c r="P1" s="1234"/>
      <c r="Q1" s="1234"/>
      <c r="R1" s="1234"/>
      <c r="S1" s="1235"/>
    </row>
    <row r="3" spans="1:26" s="362" customFormat="1" ht="13.15" customHeight="1">
      <c r="A3" s="365" t="s">
        <v>657</v>
      </c>
      <c r="B3" s="369" t="s">
        <v>1988</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2119</v>
      </c>
      <c r="C5" s="369" t="s">
        <v>1984</v>
      </c>
      <c r="H5" s="1947" t="s">
        <v>3714</v>
      </c>
      <c r="I5" s="2007"/>
      <c r="J5" s="2007"/>
      <c r="K5" s="2007"/>
      <c r="L5" s="2007"/>
      <c r="M5" s="2007"/>
      <c r="N5" s="2008"/>
      <c r="O5" s="1132" t="s">
        <v>2126</v>
      </c>
      <c r="P5" s="1132"/>
      <c r="Q5" s="1947" t="s">
        <v>3705</v>
      </c>
      <c r="R5" s="2007"/>
      <c r="S5" s="2008"/>
    </row>
    <row r="6" spans="1:26" s="362" customFormat="1" ht="12.6" customHeight="1">
      <c r="D6" s="406"/>
      <c r="E6" s="368" t="s">
        <v>1083</v>
      </c>
      <c r="F6" s="376"/>
      <c r="H6" s="1947" t="s">
        <v>3707</v>
      </c>
      <c r="I6" s="2007"/>
      <c r="J6" s="2007"/>
      <c r="K6" s="2007"/>
      <c r="L6" s="2007"/>
      <c r="M6" s="2007"/>
      <c r="N6" s="2008"/>
      <c r="O6" s="1132" t="s">
        <v>1870</v>
      </c>
      <c r="Q6" s="1947" t="s">
        <v>3715</v>
      </c>
      <c r="R6" s="2007"/>
      <c r="S6" s="2008"/>
    </row>
    <row r="7" spans="1:26" s="362" customFormat="1" ht="12.6" customHeight="1">
      <c r="D7" s="406"/>
      <c r="E7" s="368" t="s">
        <v>659</v>
      </c>
      <c r="H7" s="1947" t="s">
        <v>204</v>
      </c>
      <c r="I7" s="2007"/>
      <c r="J7" s="2008"/>
      <c r="K7" s="2035" t="s">
        <v>813</v>
      </c>
      <c r="L7" s="1947"/>
      <c r="M7" s="2007"/>
      <c r="N7" s="2008"/>
      <c r="O7" s="1132" t="s">
        <v>1927</v>
      </c>
      <c r="Q7" s="1955">
        <v>4042702101</v>
      </c>
      <c r="R7" s="1960"/>
      <c r="S7" s="1956"/>
    </row>
    <row r="8" spans="1:26" s="362" customFormat="1" ht="12.6" customHeight="1">
      <c r="D8" s="406"/>
      <c r="E8" s="368" t="s">
        <v>1923</v>
      </c>
      <c r="H8" s="1961" t="s">
        <v>902</v>
      </c>
      <c r="I8" s="1138" t="s">
        <v>1366</v>
      </c>
      <c r="J8" s="1958">
        <v>300302612</v>
      </c>
      <c r="K8" s="2008"/>
      <c r="L8" s="330" t="s">
        <v>3004</v>
      </c>
      <c r="M8" s="2036" t="s">
        <v>3716</v>
      </c>
      <c r="N8" s="2037"/>
      <c r="O8" s="1132" t="s">
        <v>2115</v>
      </c>
      <c r="Q8" s="1955">
        <v>4049155811</v>
      </c>
      <c r="R8" s="1960"/>
      <c r="S8" s="1956"/>
    </row>
    <row r="9" spans="1:26" s="362" customFormat="1" ht="12.6" customHeight="1">
      <c r="D9" s="406"/>
      <c r="E9" s="368" t="s">
        <v>2121</v>
      </c>
      <c r="H9" s="1955">
        <v>4042702101</v>
      </c>
      <c r="I9" s="1956"/>
      <c r="J9" s="2038"/>
      <c r="K9" s="1138" t="s">
        <v>1926</v>
      </c>
      <c r="L9" s="1993">
        <v>4042702123</v>
      </c>
      <c r="M9" s="2039"/>
      <c r="N9" s="370" t="s">
        <v>2120</v>
      </c>
      <c r="O9" s="1962" t="s">
        <v>3708</v>
      </c>
      <c r="P9" s="1963"/>
      <c r="Q9" s="1963"/>
      <c r="R9" s="1963"/>
      <c r="S9" s="1964"/>
    </row>
    <row r="10" spans="1:26" s="362" customFormat="1" ht="13.15" customHeight="1">
      <c r="D10" s="406"/>
      <c r="E10" s="355" t="s">
        <v>3003</v>
      </c>
      <c r="H10" s="400"/>
      <c r="K10" s="330"/>
      <c r="N10" s="441" t="s">
        <v>1367</v>
      </c>
      <c r="Q10" s="1138"/>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2122</v>
      </c>
      <c r="C12" s="369" t="s">
        <v>1985</v>
      </c>
      <c r="F12" s="369"/>
      <c r="G12" s="369"/>
      <c r="H12" s="369"/>
      <c r="I12" s="369"/>
      <c r="J12" s="369"/>
      <c r="N12" s="2040" t="s">
        <v>3121</v>
      </c>
      <c r="P12" s="2041" t="s">
        <v>1365</v>
      </c>
      <c r="W12" s="2041"/>
      <c r="X12" s="2041"/>
      <c r="Y12" s="2041"/>
      <c r="Z12" s="2041"/>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2123</v>
      </c>
      <c r="D14" s="405" t="s">
        <v>2124</v>
      </c>
      <c r="H14" s="1142"/>
      <c r="I14" s="1142"/>
      <c r="J14" s="1142"/>
      <c r="N14" s="2040"/>
      <c r="W14" s="2042"/>
      <c r="X14" s="2042"/>
      <c r="Y14" s="2042"/>
      <c r="Z14" s="2042"/>
    </row>
    <row r="15" spans="1:26" s="362" customFormat="1" ht="4.1500000000000004" customHeight="1">
      <c r="D15" s="408"/>
      <c r="E15" s="409"/>
      <c r="H15" s="2043"/>
      <c r="I15" s="2043"/>
      <c r="J15" s="2043"/>
      <c r="K15" s="1134"/>
      <c r="L15" s="2043"/>
      <c r="M15" s="2043"/>
      <c r="N15" s="1134"/>
      <c r="O15" s="2044"/>
      <c r="P15" s="2044"/>
      <c r="Q15" s="1138"/>
      <c r="R15" s="2044"/>
      <c r="S15" s="2044"/>
    </row>
    <row r="16" spans="1:26" s="362" customFormat="1" ht="12.6" customHeight="1">
      <c r="D16" s="365" t="s">
        <v>2255</v>
      </c>
      <c r="E16" s="362" t="s">
        <v>1986</v>
      </c>
      <c r="H16" s="1947" t="s">
        <v>3717</v>
      </c>
      <c r="I16" s="2007"/>
      <c r="J16" s="2007"/>
      <c r="K16" s="2007"/>
      <c r="L16" s="2007"/>
      <c r="M16" s="2007"/>
      <c r="N16" s="2008"/>
      <c r="O16" s="1132" t="s">
        <v>2126</v>
      </c>
      <c r="P16" s="1132"/>
      <c r="Q16" s="1947" t="s">
        <v>3705</v>
      </c>
      <c r="R16" s="2007"/>
      <c r="S16" s="2008"/>
    </row>
    <row r="17" spans="4:19" s="362" customFormat="1" ht="12.6" customHeight="1">
      <c r="D17" s="406"/>
      <c r="E17" s="368" t="s">
        <v>1083</v>
      </c>
      <c r="F17" s="376"/>
      <c r="H17" s="1947" t="s">
        <v>3707</v>
      </c>
      <c r="I17" s="2007"/>
      <c r="J17" s="2007"/>
      <c r="K17" s="2007"/>
      <c r="L17" s="2007"/>
      <c r="M17" s="2007"/>
      <c r="N17" s="2008"/>
      <c r="O17" s="1132" t="s">
        <v>1870</v>
      </c>
      <c r="Q17" s="1947" t="s">
        <v>3715</v>
      </c>
      <c r="R17" s="2007"/>
      <c r="S17" s="2008"/>
    </row>
    <row r="18" spans="4:19" s="362" customFormat="1" ht="12.6" customHeight="1">
      <c r="D18" s="406"/>
      <c r="E18" s="368" t="s">
        <v>659</v>
      </c>
      <c r="H18" s="1947" t="s">
        <v>204</v>
      </c>
      <c r="I18" s="2007"/>
      <c r="J18" s="2008"/>
      <c r="K18" s="1135" t="s">
        <v>2945</v>
      </c>
      <c r="L18" s="1947" t="s">
        <v>3804</v>
      </c>
      <c r="M18" s="2007"/>
      <c r="N18" s="2008"/>
      <c r="O18" s="1132" t="s">
        <v>1927</v>
      </c>
      <c r="Q18" s="1955">
        <v>4042702101</v>
      </c>
      <c r="R18" s="1960"/>
      <c r="S18" s="1956"/>
    </row>
    <row r="19" spans="4:19" s="362" customFormat="1" ht="12.6" customHeight="1">
      <c r="D19" s="365"/>
      <c r="E19" s="368" t="s">
        <v>1923</v>
      </c>
      <c r="H19" s="1961" t="s">
        <v>902</v>
      </c>
      <c r="I19" s="1138" t="s">
        <v>1366</v>
      </c>
      <c r="J19" s="1958">
        <v>300302612</v>
      </c>
      <c r="K19" s="2008"/>
      <c r="O19" s="1132" t="s">
        <v>2115</v>
      </c>
      <c r="Q19" s="1955">
        <v>4049155811</v>
      </c>
      <c r="R19" s="1960"/>
      <c r="S19" s="1956"/>
    </row>
    <row r="20" spans="4:19" s="362" customFormat="1" ht="12.6" customHeight="1">
      <c r="D20" s="406"/>
      <c r="E20" s="368" t="s">
        <v>2121</v>
      </c>
      <c r="H20" s="1955">
        <v>4042702101</v>
      </c>
      <c r="I20" s="1956"/>
      <c r="J20" s="2038"/>
      <c r="K20" s="1138" t="s">
        <v>1926</v>
      </c>
      <c r="L20" s="1993">
        <v>4042702123</v>
      </c>
      <c r="M20" s="2008"/>
      <c r="N20" s="370" t="s">
        <v>2120</v>
      </c>
      <c r="O20" s="1962" t="s">
        <v>3708</v>
      </c>
      <c r="P20" s="1963"/>
      <c r="Q20" s="1963"/>
      <c r="R20" s="1963"/>
      <c r="S20" s="1964"/>
    </row>
    <row r="21" spans="4:19" ht="4.1500000000000004" customHeight="1">
      <c r="D21" s="391"/>
      <c r="H21" s="2045"/>
      <c r="I21" s="2045"/>
      <c r="J21" s="2045"/>
      <c r="K21" s="1138"/>
      <c r="L21" s="2045"/>
      <c r="M21" s="2045"/>
      <c r="N21" s="1134"/>
      <c r="O21" s="2044"/>
      <c r="P21" s="2044"/>
      <c r="Q21" s="1138"/>
      <c r="R21" s="2044"/>
      <c r="S21" s="2044"/>
    </row>
    <row r="22" spans="4:19" s="362" customFormat="1" ht="12.6" customHeight="1">
      <c r="D22" s="365" t="s">
        <v>2256</v>
      </c>
      <c r="E22" s="362" t="s">
        <v>1987</v>
      </c>
      <c r="F22" s="1142"/>
      <c r="H22" s="1947"/>
      <c r="I22" s="2007"/>
      <c r="J22" s="2007"/>
      <c r="K22" s="2007"/>
      <c r="L22" s="2007"/>
      <c r="M22" s="2007"/>
      <c r="N22" s="2008"/>
      <c r="O22" s="1132" t="s">
        <v>2126</v>
      </c>
      <c r="P22" s="1132"/>
      <c r="Q22" s="1947"/>
      <c r="R22" s="2007"/>
      <c r="S22" s="2008"/>
    </row>
    <row r="23" spans="4:19" s="362" customFormat="1" ht="12.6" customHeight="1">
      <c r="D23" s="406"/>
      <c r="E23" s="368" t="s">
        <v>1083</v>
      </c>
      <c r="F23" s="376"/>
      <c r="H23" s="1947"/>
      <c r="I23" s="2007"/>
      <c r="J23" s="2007"/>
      <c r="K23" s="2007"/>
      <c r="L23" s="2007"/>
      <c r="M23" s="2007"/>
      <c r="N23" s="2008"/>
      <c r="O23" s="1132" t="s">
        <v>1870</v>
      </c>
      <c r="Q23" s="1947"/>
      <c r="R23" s="2007"/>
      <c r="S23" s="2008"/>
    </row>
    <row r="24" spans="4:19" s="362" customFormat="1" ht="12.6" customHeight="1">
      <c r="D24" s="406"/>
      <c r="E24" s="368" t="s">
        <v>659</v>
      </c>
      <c r="H24" s="1947"/>
      <c r="I24" s="2007"/>
      <c r="J24" s="2008"/>
      <c r="K24" s="1135" t="s">
        <v>2945</v>
      </c>
      <c r="L24" s="1947"/>
      <c r="M24" s="2007"/>
      <c r="N24" s="2008"/>
      <c r="O24" s="1132" t="s">
        <v>1927</v>
      </c>
      <c r="Q24" s="1955"/>
      <c r="R24" s="1960"/>
      <c r="S24" s="1956"/>
    </row>
    <row r="25" spans="4:19" s="362" customFormat="1" ht="12.6" customHeight="1">
      <c r="E25" s="368" t="s">
        <v>1923</v>
      </c>
      <c r="H25" s="1961"/>
      <c r="I25" s="393" t="s">
        <v>2377</v>
      </c>
      <c r="J25" s="1958"/>
      <c r="K25" s="2008"/>
      <c r="O25" s="1132" t="s">
        <v>2115</v>
      </c>
      <c r="Q25" s="1955"/>
      <c r="R25" s="1960"/>
      <c r="S25" s="1956"/>
    </row>
    <row r="26" spans="4:19" s="362" customFormat="1" ht="12.6" customHeight="1">
      <c r="D26" s="406"/>
      <c r="E26" s="368" t="s">
        <v>2121</v>
      </c>
      <c r="H26" s="1955"/>
      <c r="I26" s="1956"/>
      <c r="J26" s="2038"/>
      <c r="K26" s="1138" t="s">
        <v>1926</v>
      </c>
      <c r="L26" s="1993"/>
      <c r="M26" s="2008"/>
      <c r="N26" s="370" t="s">
        <v>2120</v>
      </c>
      <c r="O26" s="1962"/>
      <c r="P26" s="1963"/>
      <c r="Q26" s="1963"/>
      <c r="R26" s="1963"/>
      <c r="S26" s="1964"/>
    </row>
    <row r="27" spans="4:19" s="362" customFormat="1" ht="4.1500000000000004" customHeight="1">
      <c r="D27" s="406"/>
      <c r="E27" s="1142"/>
      <c r="F27" s="1142"/>
      <c r="G27" s="1132"/>
      <c r="H27" s="2045"/>
      <c r="I27" s="2045"/>
      <c r="J27" s="2045"/>
      <c r="K27" s="1138"/>
      <c r="L27" s="2045"/>
      <c r="M27" s="2045"/>
      <c r="N27" s="1134"/>
      <c r="O27" s="2044"/>
      <c r="P27" s="2044"/>
      <c r="Q27" s="1138"/>
      <c r="R27" s="2044"/>
      <c r="S27" s="2044"/>
    </row>
    <row r="28" spans="4:19" s="362" customFormat="1" ht="12.6" customHeight="1">
      <c r="D28" s="365" t="s">
        <v>1856</v>
      </c>
      <c r="E28" s="362" t="s">
        <v>1987</v>
      </c>
      <c r="F28" s="1142"/>
      <c r="H28" s="1947"/>
      <c r="I28" s="2007"/>
      <c r="J28" s="2007"/>
      <c r="K28" s="2007"/>
      <c r="L28" s="2007"/>
      <c r="M28" s="2007"/>
      <c r="N28" s="2008"/>
      <c r="O28" s="1132" t="s">
        <v>2126</v>
      </c>
      <c r="P28" s="1132"/>
      <c r="Q28" s="1947"/>
      <c r="R28" s="2007"/>
      <c r="S28" s="2008"/>
    </row>
    <row r="29" spans="4:19" s="362" customFormat="1" ht="12.6" customHeight="1">
      <c r="D29" s="406"/>
      <c r="E29" s="368" t="s">
        <v>1083</v>
      </c>
      <c r="F29" s="376"/>
      <c r="H29" s="1947"/>
      <c r="I29" s="2007"/>
      <c r="J29" s="2007"/>
      <c r="K29" s="2007"/>
      <c r="L29" s="2007"/>
      <c r="M29" s="2007"/>
      <c r="N29" s="2008"/>
      <c r="O29" s="1132" t="s">
        <v>1870</v>
      </c>
      <c r="Q29" s="1947"/>
      <c r="R29" s="2007"/>
      <c r="S29" s="2008"/>
    </row>
    <row r="30" spans="4:19" s="362" customFormat="1" ht="12.6" customHeight="1">
      <c r="D30" s="406"/>
      <c r="E30" s="368" t="s">
        <v>659</v>
      </c>
      <c r="H30" s="1947"/>
      <c r="I30" s="2007"/>
      <c r="J30" s="2008"/>
      <c r="K30" s="1135" t="s">
        <v>2945</v>
      </c>
      <c r="L30" s="1947"/>
      <c r="M30" s="2007"/>
      <c r="N30" s="2008"/>
      <c r="O30" s="1132" t="s">
        <v>1927</v>
      </c>
      <c r="Q30" s="1955"/>
      <c r="R30" s="1960"/>
      <c r="S30" s="1956"/>
    </row>
    <row r="31" spans="4:19" s="362" customFormat="1" ht="12.6" customHeight="1">
      <c r="E31" s="368" t="s">
        <v>1923</v>
      </c>
      <c r="H31" s="1961"/>
      <c r="I31" s="393" t="s">
        <v>2377</v>
      </c>
      <c r="J31" s="1958"/>
      <c r="K31" s="2008"/>
      <c r="O31" s="1132" t="s">
        <v>2115</v>
      </c>
      <c r="Q31" s="1955"/>
      <c r="R31" s="1960"/>
      <c r="S31" s="1956"/>
    </row>
    <row r="32" spans="4:19" s="362" customFormat="1" ht="12.6" customHeight="1">
      <c r="D32" s="406"/>
      <c r="E32" s="368" t="s">
        <v>2121</v>
      </c>
      <c r="H32" s="1955"/>
      <c r="I32" s="1956"/>
      <c r="J32" s="2038"/>
      <c r="K32" s="1138" t="s">
        <v>1926</v>
      </c>
      <c r="L32" s="1993"/>
      <c r="M32" s="2008"/>
      <c r="N32" s="370" t="s">
        <v>2120</v>
      </c>
      <c r="O32" s="1962"/>
      <c r="P32" s="1963"/>
      <c r="Q32" s="1963"/>
      <c r="R32" s="1963"/>
      <c r="S32" s="1964"/>
    </row>
    <row r="33" spans="3:19" ht="4.1500000000000004" customHeight="1"/>
    <row r="34" spans="3:19" s="362" customFormat="1" ht="13.15" customHeight="1">
      <c r="C34" s="408" t="s">
        <v>2125</v>
      </c>
      <c r="D34" s="405" t="s">
        <v>1989</v>
      </c>
      <c r="H34" s="1142"/>
      <c r="I34" s="1142"/>
      <c r="J34" s="1142"/>
      <c r="K34" s="1142"/>
      <c r="L34" s="1142"/>
      <c r="M34" s="1142"/>
    </row>
    <row r="35" spans="3:19" s="362" customFormat="1" ht="4.1500000000000004" customHeight="1">
      <c r="C35" s="410"/>
      <c r="D35" s="405"/>
      <c r="H35" s="2043"/>
      <c r="I35" s="2043"/>
      <c r="J35" s="2043"/>
      <c r="K35" s="1134"/>
      <c r="L35" s="2043"/>
      <c r="M35" s="2043"/>
      <c r="N35" s="1134"/>
      <c r="O35" s="2044"/>
      <c r="P35" s="2044"/>
      <c r="Q35" s="1138"/>
      <c r="R35" s="2044"/>
      <c r="S35" s="2044"/>
    </row>
    <row r="36" spans="3:19" s="362" customFormat="1" ht="12.6" customHeight="1">
      <c r="D36" s="365" t="s">
        <v>2255</v>
      </c>
      <c r="E36" s="362" t="s">
        <v>800</v>
      </c>
      <c r="H36" s="1947" t="s">
        <v>3831</v>
      </c>
      <c r="I36" s="2007"/>
      <c r="J36" s="2007"/>
      <c r="K36" s="2007"/>
      <c r="L36" s="2007"/>
      <c r="M36" s="2007"/>
      <c r="N36" s="2008"/>
      <c r="O36" s="1132" t="s">
        <v>2126</v>
      </c>
      <c r="P36" s="1132"/>
      <c r="Q36" s="1947" t="s">
        <v>3835</v>
      </c>
      <c r="R36" s="2007"/>
      <c r="S36" s="2008"/>
    </row>
    <row r="37" spans="3:19" s="362" customFormat="1" ht="12.6" customHeight="1">
      <c r="D37" s="406"/>
      <c r="E37" s="368" t="s">
        <v>1083</v>
      </c>
      <c r="F37" s="376"/>
      <c r="H37" s="1947" t="s">
        <v>3832</v>
      </c>
      <c r="I37" s="2007"/>
      <c r="J37" s="2007"/>
      <c r="K37" s="2007"/>
      <c r="L37" s="2007"/>
      <c r="M37" s="2007"/>
      <c r="N37" s="2008"/>
      <c r="O37" s="1132" t="s">
        <v>1870</v>
      </c>
      <c r="Q37" s="1947" t="s">
        <v>3836</v>
      </c>
      <c r="R37" s="2007"/>
      <c r="S37" s="2008"/>
    </row>
    <row r="38" spans="3:19" s="362" customFormat="1" ht="12.6" customHeight="1">
      <c r="D38" s="406"/>
      <c r="E38" s="368" t="s">
        <v>659</v>
      </c>
      <c r="H38" s="1947" t="s">
        <v>3833</v>
      </c>
      <c r="I38" s="2007"/>
      <c r="J38" s="2008"/>
      <c r="K38" s="1135" t="s">
        <v>2945</v>
      </c>
      <c r="L38" s="1947" t="s">
        <v>3834</v>
      </c>
      <c r="M38" s="2007"/>
      <c r="N38" s="2008"/>
      <c r="O38" s="1132" t="s">
        <v>1927</v>
      </c>
      <c r="Q38" s="1955">
        <v>6192976500</v>
      </c>
      <c r="R38" s="1960"/>
      <c r="S38" s="1956"/>
    </row>
    <row r="39" spans="3:19" s="362" customFormat="1" ht="12.6" customHeight="1">
      <c r="E39" s="368" t="s">
        <v>1923</v>
      </c>
      <c r="H39" s="1961" t="s">
        <v>1435</v>
      </c>
      <c r="I39" s="393" t="s">
        <v>2377</v>
      </c>
      <c r="J39" s="1958">
        <v>101110213</v>
      </c>
      <c r="K39" s="2008"/>
      <c r="O39" s="1132" t="s">
        <v>2115</v>
      </c>
      <c r="Q39" s="1955">
        <v>6192043388</v>
      </c>
      <c r="R39" s="1960"/>
      <c r="S39" s="1956"/>
    </row>
    <row r="40" spans="3:19" s="362" customFormat="1" ht="12.6" customHeight="1">
      <c r="D40" s="406"/>
      <c r="E40" s="368" t="s">
        <v>2121</v>
      </c>
      <c r="H40" s="1955">
        <v>6192976500</v>
      </c>
      <c r="I40" s="1956"/>
      <c r="J40" s="2038"/>
      <c r="K40" s="1138" t="s">
        <v>1926</v>
      </c>
      <c r="L40" s="1993"/>
      <c r="M40" s="2008"/>
      <c r="N40" s="370" t="s">
        <v>2120</v>
      </c>
      <c r="O40" s="1962" t="s">
        <v>3837</v>
      </c>
      <c r="P40" s="1963"/>
      <c r="Q40" s="1963"/>
      <c r="R40" s="1963"/>
      <c r="S40" s="1964"/>
    </row>
    <row r="41" spans="3:19" ht="4.1500000000000004" customHeight="1">
      <c r="H41" s="2045"/>
      <c r="I41" s="2045"/>
      <c r="J41" s="2045"/>
      <c r="K41" s="1138"/>
      <c r="L41" s="2045"/>
      <c r="M41" s="2045"/>
      <c r="N41" s="1134"/>
      <c r="O41" s="2044"/>
      <c r="P41" s="2044"/>
      <c r="Q41" s="1138"/>
      <c r="R41" s="2044"/>
      <c r="S41" s="2044"/>
    </row>
    <row r="42" spans="3:19" s="362" customFormat="1" ht="12.6" customHeight="1">
      <c r="D42" s="365" t="s">
        <v>2256</v>
      </c>
      <c r="E42" s="362" t="s">
        <v>801</v>
      </c>
      <c r="F42" s="365"/>
      <c r="H42" s="1947" t="s">
        <v>3843</v>
      </c>
      <c r="I42" s="2007"/>
      <c r="J42" s="2007"/>
      <c r="K42" s="2007"/>
      <c r="L42" s="2007"/>
      <c r="M42" s="2007"/>
      <c r="N42" s="2008"/>
      <c r="O42" s="1132" t="s">
        <v>2126</v>
      </c>
      <c r="P42" s="1132"/>
      <c r="Q42" s="1947" t="s">
        <v>3840</v>
      </c>
      <c r="R42" s="2007"/>
      <c r="S42" s="2008"/>
    </row>
    <row r="43" spans="3:19" s="362" customFormat="1" ht="12.6" customHeight="1">
      <c r="D43" s="406"/>
      <c r="E43" s="368" t="s">
        <v>1083</v>
      </c>
      <c r="F43" s="376"/>
      <c r="H43" s="1947" t="s">
        <v>3838</v>
      </c>
      <c r="I43" s="2007"/>
      <c r="J43" s="2007"/>
      <c r="K43" s="2007"/>
      <c r="L43" s="2007"/>
      <c r="M43" s="2007"/>
      <c r="N43" s="2008"/>
      <c r="O43" s="1132" t="s">
        <v>1870</v>
      </c>
      <c r="Q43" s="1947" t="s">
        <v>3841</v>
      </c>
      <c r="R43" s="2007"/>
      <c r="S43" s="2008"/>
    </row>
    <row r="44" spans="3:19" s="362" customFormat="1" ht="12.6" customHeight="1">
      <c r="D44" s="406"/>
      <c r="E44" s="368" t="s">
        <v>659</v>
      </c>
      <c r="H44" s="1947" t="s">
        <v>3839</v>
      </c>
      <c r="I44" s="2007"/>
      <c r="J44" s="2008"/>
      <c r="K44" s="1135" t="s">
        <v>2945</v>
      </c>
      <c r="L44" s="1947" t="s">
        <v>3844</v>
      </c>
      <c r="M44" s="2007"/>
      <c r="N44" s="2008"/>
      <c r="O44" s="1132" t="s">
        <v>1927</v>
      </c>
      <c r="Q44" s="1955">
        <v>3149682205</v>
      </c>
      <c r="R44" s="1960"/>
      <c r="S44" s="1956"/>
    </row>
    <row r="45" spans="3:19" s="362" customFormat="1" ht="12.6" customHeight="1">
      <c r="D45" s="365"/>
      <c r="E45" s="368" t="s">
        <v>1923</v>
      </c>
      <c r="H45" s="1961" t="s">
        <v>1428</v>
      </c>
      <c r="I45" s="393" t="s">
        <v>2377</v>
      </c>
      <c r="J45" s="1958">
        <v>631192931</v>
      </c>
      <c r="K45" s="2008"/>
      <c r="O45" s="1132" t="s">
        <v>2115</v>
      </c>
      <c r="Q45" s="1955">
        <v>3144821700</v>
      </c>
      <c r="R45" s="1960"/>
      <c r="S45" s="1956"/>
    </row>
    <row r="46" spans="3:19" s="362" customFormat="1" ht="12.6" customHeight="1">
      <c r="D46" s="406"/>
      <c r="E46" s="368" t="s">
        <v>2121</v>
      </c>
      <c r="H46" s="1955">
        <v>3149682205</v>
      </c>
      <c r="I46" s="1956"/>
      <c r="J46" s="2038">
        <v>158</v>
      </c>
      <c r="K46" s="1138" t="s">
        <v>1926</v>
      </c>
      <c r="L46" s="1993"/>
      <c r="M46" s="2008"/>
      <c r="N46" s="370" t="s">
        <v>2120</v>
      </c>
      <c r="O46" s="1962" t="s">
        <v>3842</v>
      </c>
      <c r="P46" s="1963"/>
      <c r="Q46" s="1963"/>
      <c r="R46" s="1963"/>
      <c r="S46" s="1964"/>
    </row>
    <row r="47" spans="3:19" s="362" customFormat="1" ht="4.1500000000000004" customHeight="1">
      <c r="D47" s="406"/>
      <c r="E47" s="368"/>
      <c r="F47" s="365"/>
      <c r="H47" s="400"/>
      <c r="I47" s="400"/>
      <c r="J47" s="2046"/>
      <c r="K47" s="1138"/>
      <c r="L47" s="400"/>
      <c r="M47" s="400"/>
      <c r="N47" s="1138"/>
      <c r="O47" s="400"/>
      <c r="P47" s="400"/>
      <c r="Q47" s="1138"/>
      <c r="R47" s="400"/>
      <c r="S47" s="400"/>
    </row>
    <row r="48" spans="3:19" s="362" customFormat="1" ht="13.15" customHeight="1">
      <c r="C48" s="410" t="s">
        <v>2709</v>
      </c>
      <c r="D48" s="405" t="s">
        <v>696</v>
      </c>
      <c r="H48" s="1142"/>
      <c r="I48" s="1142"/>
      <c r="J48" s="1142"/>
      <c r="K48" s="1142"/>
      <c r="L48" s="1142"/>
      <c r="M48" s="1142"/>
    </row>
    <row r="49" spans="1:19" s="362" customFormat="1" ht="4.1500000000000004" customHeight="1">
      <c r="D49" s="410"/>
      <c r="E49" s="409"/>
      <c r="H49" s="2043"/>
      <c r="I49" s="2043"/>
      <c r="J49" s="2043"/>
      <c r="K49" s="1134"/>
      <c r="L49" s="2043"/>
      <c r="M49" s="2043"/>
      <c r="N49" s="1134"/>
      <c r="O49" s="2044"/>
      <c r="P49" s="2044"/>
      <c r="Q49" s="1138"/>
      <c r="R49" s="2044"/>
      <c r="S49" s="2044"/>
    </row>
    <row r="50" spans="1:19" s="362" customFormat="1" ht="12.6" customHeight="1">
      <c r="E50" s="362" t="s">
        <v>95</v>
      </c>
      <c r="H50" s="1947" t="s">
        <v>3718</v>
      </c>
      <c r="I50" s="2007"/>
      <c r="J50" s="2007"/>
      <c r="K50" s="2007"/>
      <c r="L50" s="2007"/>
      <c r="M50" s="2007"/>
      <c r="N50" s="2008"/>
      <c r="O50" s="1132" t="s">
        <v>2126</v>
      </c>
      <c r="P50" s="1132"/>
      <c r="Q50" s="1947" t="s">
        <v>3705</v>
      </c>
      <c r="R50" s="2007"/>
      <c r="S50" s="2008"/>
    </row>
    <row r="51" spans="1:19" s="362" customFormat="1" ht="12.6" customHeight="1">
      <c r="D51" s="406"/>
      <c r="E51" s="368" t="s">
        <v>1083</v>
      </c>
      <c r="F51" s="376"/>
      <c r="H51" s="1947" t="s">
        <v>3707</v>
      </c>
      <c r="I51" s="2007"/>
      <c r="J51" s="2007"/>
      <c r="K51" s="2007"/>
      <c r="L51" s="2007"/>
      <c r="M51" s="2007"/>
      <c r="N51" s="2008"/>
      <c r="O51" s="1132" t="s">
        <v>1870</v>
      </c>
      <c r="Q51" s="1947" t="s">
        <v>3719</v>
      </c>
      <c r="R51" s="2007"/>
      <c r="S51" s="2008"/>
    </row>
    <row r="52" spans="1:19" s="362" customFormat="1" ht="12.6" customHeight="1">
      <c r="D52" s="406"/>
      <c r="E52" s="368" t="s">
        <v>659</v>
      </c>
      <c r="H52" s="1947" t="s">
        <v>204</v>
      </c>
      <c r="I52" s="2007"/>
      <c r="J52" s="2008"/>
      <c r="K52" s="1135" t="s">
        <v>2945</v>
      </c>
      <c r="L52" s="1947" t="s">
        <v>3804</v>
      </c>
      <c r="M52" s="2007"/>
      <c r="N52" s="2008"/>
      <c r="O52" s="1132" t="s">
        <v>1927</v>
      </c>
      <c r="Q52" s="1955">
        <v>4042702101</v>
      </c>
      <c r="R52" s="1960"/>
      <c r="S52" s="1956"/>
    </row>
    <row r="53" spans="1:19" s="362" customFormat="1" ht="12.6" customHeight="1">
      <c r="E53" s="368" t="s">
        <v>1923</v>
      </c>
      <c r="H53" s="1961" t="s">
        <v>902</v>
      </c>
      <c r="I53" s="393" t="s">
        <v>2377</v>
      </c>
      <c r="J53" s="1958">
        <v>300302612</v>
      </c>
      <c r="K53" s="2008"/>
      <c r="O53" s="1132" t="s">
        <v>2115</v>
      </c>
      <c r="Q53" s="1955">
        <v>4049155811</v>
      </c>
      <c r="R53" s="1960"/>
      <c r="S53" s="1956"/>
    </row>
    <row r="54" spans="1:19" s="362" customFormat="1" ht="12.6" customHeight="1">
      <c r="D54" s="406"/>
      <c r="E54" s="368" t="s">
        <v>2121</v>
      </c>
      <c r="H54" s="1955">
        <v>4042702101</v>
      </c>
      <c r="I54" s="1956"/>
      <c r="J54" s="2038"/>
      <c r="K54" s="1138" t="s">
        <v>1926</v>
      </c>
      <c r="L54" s="1993">
        <v>4042702123</v>
      </c>
      <c r="M54" s="2008"/>
      <c r="N54" s="370" t="s">
        <v>2120</v>
      </c>
      <c r="O54" s="1962" t="s">
        <v>3708</v>
      </c>
      <c r="P54" s="1963"/>
      <c r="Q54" s="1963"/>
      <c r="R54" s="1963"/>
      <c r="S54" s="1964"/>
    </row>
    <row r="55" spans="1:19" ht="6.75" customHeight="1"/>
    <row r="56" spans="1:19" s="362" customFormat="1" ht="13.15" customHeight="1">
      <c r="A56" s="365" t="s">
        <v>790</v>
      </c>
      <c r="B56" s="365" t="s">
        <v>697</v>
      </c>
      <c r="F56" s="365"/>
      <c r="G56" s="1138"/>
      <c r="H56" s="1138"/>
      <c r="I56" s="1138"/>
      <c r="J56" s="1142"/>
      <c r="K56" s="1142"/>
      <c r="L56" s="1142"/>
      <c r="M56" s="1142"/>
      <c r="N56" s="1142"/>
      <c r="O56" s="1142"/>
      <c r="P56" s="1142"/>
      <c r="Q56" s="1142"/>
      <c r="R56" s="1142"/>
      <c r="S56" s="1142"/>
    </row>
    <row r="57" spans="1:19" s="362" customFormat="1" ht="9" customHeight="1">
      <c r="A57" s="365"/>
      <c r="B57" s="365"/>
      <c r="F57" s="365"/>
      <c r="G57" s="1138"/>
      <c r="H57" s="2043"/>
      <c r="I57" s="2043"/>
      <c r="J57" s="2043"/>
      <c r="K57" s="1134"/>
      <c r="L57" s="2043"/>
      <c r="M57" s="2043"/>
      <c r="N57" s="1134"/>
      <c r="O57" s="2044"/>
      <c r="P57" s="2044"/>
      <c r="Q57" s="1138"/>
      <c r="R57" s="2044"/>
      <c r="S57" s="2044"/>
    </row>
    <row r="58" spans="1:19" s="362" customFormat="1" ht="13.15" customHeight="1">
      <c r="B58" s="365" t="s">
        <v>2119</v>
      </c>
      <c r="C58" s="365" t="s">
        <v>298</v>
      </c>
      <c r="H58" s="1947" t="s">
        <v>3720</v>
      </c>
      <c r="I58" s="2007"/>
      <c r="J58" s="2007"/>
      <c r="K58" s="2007"/>
      <c r="L58" s="2007"/>
      <c r="M58" s="2007"/>
      <c r="N58" s="2008"/>
      <c r="O58" s="1132" t="s">
        <v>2126</v>
      </c>
      <c r="P58" s="1132"/>
      <c r="Q58" s="1947" t="s">
        <v>3705</v>
      </c>
      <c r="R58" s="2007"/>
      <c r="S58" s="2008"/>
    </row>
    <row r="59" spans="1:19" s="362" customFormat="1" ht="13.15" customHeight="1">
      <c r="D59" s="406"/>
      <c r="E59" s="368" t="s">
        <v>1083</v>
      </c>
      <c r="F59" s="376"/>
      <c r="H59" s="1947" t="s">
        <v>3707</v>
      </c>
      <c r="I59" s="2007"/>
      <c r="J59" s="2007"/>
      <c r="K59" s="2007"/>
      <c r="L59" s="2007"/>
      <c r="M59" s="2007"/>
      <c r="N59" s="2008"/>
      <c r="O59" s="1132" t="s">
        <v>1870</v>
      </c>
      <c r="Q59" s="1947" t="s">
        <v>3719</v>
      </c>
      <c r="R59" s="2007"/>
      <c r="S59" s="2008"/>
    </row>
    <row r="60" spans="1:19" s="362" customFormat="1" ht="13.15" customHeight="1">
      <c r="D60" s="406"/>
      <c r="E60" s="368" t="s">
        <v>659</v>
      </c>
      <c r="H60" s="1947" t="s">
        <v>204</v>
      </c>
      <c r="I60" s="2007"/>
      <c r="J60" s="2008"/>
      <c r="K60" s="1135" t="s">
        <v>2945</v>
      </c>
      <c r="L60" s="1947" t="s">
        <v>3804</v>
      </c>
      <c r="M60" s="2007"/>
      <c r="N60" s="2008"/>
      <c r="O60" s="1132" t="s">
        <v>1927</v>
      </c>
      <c r="Q60" s="1955">
        <v>4042702101</v>
      </c>
      <c r="R60" s="1960"/>
      <c r="S60" s="1956"/>
    </row>
    <row r="61" spans="1:19" s="362" customFormat="1" ht="13.15" customHeight="1">
      <c r="E61" s="368" t="s">
        <v>1923</v>
      </c>
      <c r="H61" s="1961" t="s">
        <v>902</v>
      </c>
      <c r="I61" s="393" t="s">
        <v>2377</v>
      </c>
      <c r="J61" s="1958">
        <v>300302612</v>
      </c>
      <c r="K61" s="2008"/>
      <c r="O61" s="1132" t="s">
        <v>2115</v>
      </c>
      <c r="Q61" s="1955">
        <v>4049155811</v>
      </c>
      <c r="R61" s="1960"/>
      <c r="S61" s="1956"/>
    </row>
    <row r="62" spans="1:19" s="362" customFormat="1" ht="13.15" customHeight="1">
      <c r="D62" s="406"/>
      <c r="E62" s="368" t="s">
        <v>2121</v>
      </c>
      <c r="H62" s="1955">
        <v>4042702101</v>
      </c>
      <c r="I62" s="1956"/>
      <c r="J62" s="2038"/>
      <c r="K62" s="1138" t="s">
        <v>1926</v>
      </c>
      <c r="L62" s="1993">
        <v>4042702123</v>
      </c>
      <c r="M62" s="2008"/>
      <c r="N62" s="370" t="s">
        <v>2120</v>
      </c>
      <c r="O62" s="1962" t="s">
        <v>3708</v>
      </c>
      <c r="P62" s="1963"/>
      <c r="Q62" s="1963"/>
      <c r="R62" s="1963"/>
      <c r="S62" s="1964"/>
    </row>
    <row r="63" spans="1:19" s="362" customFormat="1" ht="6.6" customHeight="1">
      <c r="D63" s="406"/>
      <c r="E63" s="1142"/>
      <c r="F63" s="1142"/>
      <c r="G63" s="1132"/>
      <c r="H63" s="2045"/>
      <c r="I63" s="2045"/>
      <c r="J63" s="2045"/>
      <c r="K63" s="1138"/>
      <c r="L63" s="2045"/>
      <c r="M63" s="2045"/>
      <c r="N63" s="1134"/>
      <c r="O63" s="2044"/>
      <c r="P63" s="2044"/>
      <c r="Q63" s="1138"/>
      <c r="R63" s="2044"/>
      <c r="S63" s="2044"/>
    </row>
    <row r="64" spans="1:19" s="362" customFormat="1" ht="13.15" customHeight="1">
      <c r="B64" s="365" t="s">
        <v>2122</v>
      </c>
      <c r="C64" s="365" t="s">
        <v>299</v>
      </c>
      <c r="H64" s="1947"/>
      <c r="I64" s="2007"/>
      <c r="J64" s="2007"/>
      <c r="K64" s="2007"/>
      <c r="L64" s="2007"/>
      <c r="M64" s="2007"/>
      <c r="N64" s="2008"/>
      <c r="O64" s="1132" t="s">
        <v>2126</v>
      </c>
      <c r="P64" s="1132"/>
      <c r="Q64" s="1947"/>
      <c r="R64" s="2007"/>
      <c r="S64" s="2008"/>
    </row>
    <row r="65" spans="2:19" s="362" customFormat="1" ht="13.15" customHeight="1">
      <c r="D65" s="406"/>
      <c r="E65" s="368" t="s">
        <v>1083</v>
      </c>
      <c r="F65" s="376"/>
      <c r="H65" s="1947"/>
      <c r="I65" s="2007"/>
      <c r="J65" s="2007"/>
      <c r="K65" s="2007"/>
      <c r="L65" s="2007"/>
      <c r="M65" s="2007"/>
      <c r="N65" s="2008"/>
      <c r="O65" s="1132" t="s">
        <v>1870</v>
      </c>
      <c r="Q65" s="1947"/>
      <c r="R65" s="2007"/>
      <c r="S65" s="2008"/>
    </row>
    <row r="66" spans="2:19" s="362" customFormat="1" ht="13.15" customHeight="1">
      <c r="D66" s="406"/>
      <c r="E66" s="368" t="s">
        <v>659</v>
      </c>
      <c r="H66" s="1947"/>
      <c r="I66" s="2007"/>
      <c r="J66" s="2008"/>
      <c r="K66" s="1135" t="s">
        <v>2945</v>
      </c>
      <c r="L66" s="1947"/>
      <c r="M66" s="2007"/>
      <c r="N66" s="2008"/>
      <c r="O66" s="1132" t="s">
        <v>1927</v>
      </c>
      <c r="Q66" s="1955"/>
      <c r="R66" s="1960"/>
      <c r="S66" s="1956"/>
    </row>
    <row r="67" spans="2:19" s="362" customFormat="1" ht="13.15" customHeight="1">
      <c r="E67" s="368" t="s">
        <v>1923</v>
      </c>
      <c r="H67" s="1961"/>
      <c r="I67" s="393" t="s">
        <v>2377</v>
      </c>
      <c r="J67" s="1958"/>
      <c r="K67" s="2008"/>
      <c r="O67" s="1132" t="s">
        <v>2115</v>
      </c>
      <c r="Q67" s="1955"/>
      <c r="R67" s="1960"/>
      <c r="S67" s="1956"/>
    </row>
    <row r="68" spans="2:19" s="362" customFormat="1" ht="13.15" customHeight="1">
      <c r="D68" s="406"/>
      <c r="E68" s="368" t="s">
        <v>2121</v>
      </c>
      <c r="H68" s="1955"/>
      <c r="I68" s="1956"/>
      <c r="J68" s="2038"/>
      <c r="K68" s="1138" t="s">
        <v>1926</v>
      </c>
      <c r="L68" s="1993"/>
      <c r="M68" s="2008"/>
      <c r="N68" s="370" t="s">
        <v>2120</v>
      </c>
      <c r="O68" s="1962"/>
      <c r="P68" s="1963"/>
      <c r="Q68" s="1963"/>
      <c r="R68" s="1963"/>
      <c r="S68" s="1964"/>
    </row>
    <row r="69" spans="2:19" s="362" customFormat="1" ht="6.6" customHeight="1">
      <c r="D69" s="406"/>
      <c r="E69" s="1142"/>
      <c r="F69" s="1142"/>
      <c r="G69" s="1132"/>
      <c r="H69" s="2045"/>
      <c r="I69" s="2045"/>
      <c r="J69" s="2045"/>
      <c r="K69" s="1138"/>
      <c r="L69" s="2045"/>
      <c r="M69" s="2045"/>
      <c r="N69" s="1134"/>
      <c r="O69" s="2044"/>
      <c r="P69" s="2044"/>
      <c r="Q69" s="1138"/>
      <c r="R69" s="2044"/>
      <c r="S69" s="2044"/>
    </row>
    <row r="70" spans="2:19" s="362" customFormat="1" ht="13.15" customHeight="1">
      <c r="B70" s="365" t="s">
        <v>799</v>
      </c>
      <c r="C70" s="365" t="s">
        <v>1634</v>
      </c>
      <c r="H70" s="1947"/>
      <c r="I70" s="2007"/>
      <c r="J70" s="2007"/>
      <c r="K70" s="2007"/>
      <c r="L70" s="2007"/>
      <c r="M70" s="2007"/>
      <c r="N70" s="2008"/>
      <c r="O70" s="1132" t="s">
        <v>2126</v>
      </c>
      <c r="P70" s="1132"/>
      <c r="Q70" s="1947"/>
      <c r="R70" s="2007"/>
      <c r="S70" s="2008"/>
    </row>
    <row r="71" spans="2:19" s="362" customFormat="1" ht="13.15" customHeight="1">
      <c r="D71" s="406"/>
      <c r="E71" s="368" t="s">
        <v>1083</v>
      </c>
      <c r="F71" s="376"/>
      <c r="H71" s="1947"/>
      <c r="I71" s="2007"/>
      <c r="J71" s="2007"/>
      <c r="K71" s="2007"/>
      <c r="L71" s="2007"/>
      <c r="M71" s="2007"/>
      <c r="N71" s="2008"/>
      <c r="O71" s="1132" t="s">
        <v>1870</v>
      </c>
      <c r="Q71" s="1947"/>
      <c r="R71" s="2007"/>
      <c r="S71" s="2008"/>
    </row>
    <row r="72" spans="2:19" s="362" customFormat="1" ht="13.15" customHeight="1">
      <c r="D72" s="406"/>
      <c r="E72" s="368" t="s">
        <v>659</v>
      </c>
      <c r="H72" s="1947"/>
      <c r="I72" s="2007"/>
      <c r="J72" s="2008"/>
      <c r="K72" s="1135" t="s">
        <v>2945</v>
      </c>
      <c r="L72" s="1947"/>
      <c r="M72" s="2007"/>
      <c r="N72" s="2008"/>
      <c r="O72" s="1132" t="s">
        <v>1927</v>
      </c>
      <c r="Q72" s="1955"/>
      <c r="R72" s="1960"/>
      <c r="S72" s="1956"/>
    </row>
    <row r="73" spans="2:19" s="362" customFormat="1" ht="13.15" customHeight="1">
      <c r="E73" s="368" t="s">
        <v>1923</v>
      </c>
      <c r="H73" s="1961"/>
      <c r="I73" s="393" t="s">
        <v>2377</v>
      </c>
      <c r="J73" s="1958"/>
      <c r="K73" s="2008"/>
      <c r="O73" s="1132" t="s">
        <v>2115</v>
      </c>
      <c r="Q73" s="1955"/>
      <c r="R73" s="1960"/>
      <c r="S73" s="1956"/>
    </row>
    <row r="74" spans="2:19" s="362" customFormat="1" ht="13.15" customHeight="1">
      <c r="D74" s="406"/>
      <c r="E74" s="368" t="s">
        <v>2121</v>
      </c>
      <c r="H74" s="1955"/>
      <c r="I74" s="1956"/>
      <c r="J74" s="2038"/>
      <c r="K74" s="1138" t="s">
        <v>1926</v>
      </c>
      <c r="L74" s="1993"/>
      <c r="M74" s="2008"/>
      <c r="N74" s="370" t="s">
        <v>2120</v>
      </c>
      <c r="O74" s="1962"/>
      <c r="P74" s="1963"/>
      <c r="Q74" s="1963"/>
      <c r="R74" s="1963"/>
      <c r="S74" s="1964"/>
    </row>
    <row r="75" spans="2:19" ht="6.6" customHeight="1">
      <c r="H75" s="2045"/>
      <c r="I75" s="2045"/>
      <c r="J75" s="2045"/>
      <c r="K75" s="1138"/>
      <c r="L75" s="2045"/>
      <c r="M75" s="2045"/>
      <c r="N75" s="1134"/>
      <c r="O75" s="2044"/>
      <c r="P75" s="2044"/>
      <c r="Q75" s="1138"/>
      <c r="R75" s="2044"/>
      <c r="S75" s="2044"/>
    </row>
    <row r="76" spans="2:19" s="362" customFormat="1" ht="13.15" customHeight="1">
      <c r="B76" s="365" t="s">
        <v>2254</v>
      </c>
      <c r="C76" s="365" t="s">
        <v>300</v>
      </c>
      <c r="H76" s="1947"/>
      <c r="I76" s="2007"/>
      <c r="J76" s="2007"/>
      <c r="K76" s="2007"/>
      <c r="L76" s="2007"/>
      <c r="M76" s="2007"/>
      <c r="N76" s="2008"/>
      <c r="O76" s="1132" t="s">
        <v>2126</v>
      </c>
      <c r="P76" s="1132"/>
      <c r="Q76" s="1947"/>
      <c r="R76" s="2007"/>
      <c r="S76" s="2008"/>
    </row>
    <row r="77" spans="2:19" s="362" customFormat="1" ht="13.15" customHeight="1">
      <c r="D77" s="406"/>
      <c r="E77" s="368" t="s">
        <v>1083</v>
      </c>
      <c r="F77" s="376"/>
      <c r="H77" s="1947"/>
      <c r="I77" s="2007"/>
      <c r="J77" s="2007"/>
      <c r="K77" s="2007"/>
      <c r="L77" s="2007"/>
      <c r="M77" s="2007"/>
      <c r="N77" s="2008"/>
      <c r="O77" s="1132" t="s">
        <v>1870</v>
      </c>
      <c r="Q77" s="1947"/>
      <c r="R77" s="2007"/>
      <c r="S77" s="2008"/>
    </row>
    <row r="78" spans="2:19" s="362" customFormat="1" ht="13.15" customHeight="1">
      <c r="D78" s="406"/>
      <c r="E78" s="368" t="s">
        <v>659</v>
      </c>
      <c r="H78" s="1947"/>
      <c r="I78" s="2007"/>
      <c r="J78" s="2008"/>
      <c r="K78" s="1135" t="s">
        <v>2945</v>
      </c>
      <c r="L78" s="1947"/>
      <c r="M78" s="2007"/>
      <c r="N78" s="2008"/>
      <c r="O78" s="1132" t="s">
        <v>1927</v>
      </c>
      <c r="Q78" s="1955"/>
      <c r="R78" s="1960"/>
      <c r="S78" s="1956"/>
    </row>
    <row r="79" spans="2:19" s="362" customFormat="1" ht="13.15" customHeight="1">
      <c r="E79" s="368" t="s">
        <v>1923</v>
      </c>
      <c r="H79" s="1961"/>
      <c r="I79" s="393" t="s">
        <v>2377</v>
      </c>
      <c r="J79" s="1958"/>
      <c r="K79" s="2008"/>
      <c r="O79" s="1132" t="s">
        <v>2115</v>
      </c>
      <c r="Q79" s="1955"/>
      <c r="R79" s="1960"/>
      <c r="S79" s="1956"/>
    </row>
    <row r="80" spans="2:19" s="362" customFormat="1" ht="13.15" customHeight="1">
      <c r="D80" s="406"/>
      <c r="E80" s="368" t="s">
        <v>2121</v>
      </c>
      <c r="H80" s="1955"/>
      <c r="I80" s="1956"/>
      <c r="J80" s="2038"/>
      <c r="K80" s="1138" t="s">
        <v>1926</v>
      </c>
      <c r="L80" s="1993"/>
      <c r="M80" s="2008"/>
      <c r="N80" s="370" t="s">
        <v>2120</v>
      </c>
      <c r="O80" s="1962"/>
      <c r="P80" s="1963"/>
      <c r="Q80" s="1963"/>
      <c r="R80" s="1963"/>
      <c r="S80" s="1964"/>
    </row>
    <row r="81" spans="1:19" ht="6.75" customHeight="1"/>
    <row r="82" spans="1:19" s="368" customFormat="1" ht="13.15" customHeight="1">
      <c r="A82" s="369" t="s">
        <v>792</v>
      </c>
      <c r="B82" s="369" t="s">
        <v>301</v>
      </c>
      <c r="D82" s="369"/>
      <c r="E82" s="1132"/>
      <c r="F82" s="329"/>
      <c r="G82" s="329"/>
      <c r="H82" s="329"/>
      <c r="I82" s="329"/>
      <c r="J82" s="329"/>
      <c r="K82" s="329"/>
      <c r="L82" s="329"/>
      <c r="M82" s="329"/>
    </row>
    <row r="83" spans="1:19" s="368" customFormat="1" ht="9" customHeight="1">
      <c r="A83" s="369"/>
      <c r="B83" s="369"/>
      <c r="D83" s="369"/>
      <c r="E83" s="1132"/>
      <c r="F83" s="329"/>
      <c r="G83" s="329"/>
      <c r="H83" s="2043"/>
      <c r="I83" s="2043"/>
      <c r="J83" s="2043"/>
      <c r="K83" s="1134"/>
      <c r="L83" s="2043"/>
      <c r="M83" s="2043"/>
      <c r="N83" s="1134"/>
      <c r="O83" s="2044"/>
      <c r="P83" s="2044"/>
      <c r="Q83" s="1138"/>
      <c r="R83" s="2044"/>
      <c r="S83" s="2044"/>
    </row>
    <row r="84" spans="1:19" s="362" customFormat="1" ht="13.15" customHeight="1">
      <c r="B84" s="365" t="s">
        <v>2119</v>
      </c>
      <c r="C84" s="365" t="s">
        <v>302</v>
      </c>
      <c r="H84" s="1947"/>
      <c r="I84" s="2007"/>
      <c r="J84" s="2007"/>
      <c r="K84" s="2007"/>
      <c r="L84" s="2007"/>
      <c r="M84" s="2007"/>
      <c r="N84" s="2008"/>
      <c r="O84" s="1132" t="s">
        <v>2126</v>
      </c>
      <c r="P84" s="1132"/>
      <c r="Q84" s="1947"/>
      <c r="R84" s="2007"/>
      <c r="S84" s="2008"/>
    </row>
    <row r="85" spans="1:19" s="362" customFormat="1" ht="13.15" customHeight="1">
      <c r="D85" s="406"/>
      <c r="E85" s="368" t="s">
        <v>1083</v>
      </c>
      <c r="F85" s="376"/>
      <c r="H85" s="1947"/>
      <c r="I85" s="2007"/>
      <c r="J85" s="2007"/>
      <c r="K85" s="2007"/>
      <c r="L85" s="2007"/>
      <c r="M85" s="2007"/>
      <c r="N85" s="2008"/>
      <c r="O85" s="1132" t="s">
        <v>1870</v>
      </c>
      <c r="Q85" s="1947"/>
      <c r="R85" s="2007"/>
      <c r="S85" s="2008"/>
    </row>
    <row r="86" spans="1:19" s="362" customFormat="1" ht="13.15" customHeight="1">
      <c r="D86" s="406"/>
      <c r="E86" s="368" t="s">
        <v>659</v>
      </c>
      <c r="H86" s="1947"/>
      <c r="I86" s="2007"/>
      <c r="J86" s="2008"/>
      <c r="K86" s="1135" t="s">
        <v>2945</v>
      </c>
      <c r="L86" s="1947"/>
      <c r="M86" s="2007"/>
      <c r="N86" s="2008"/>
      <c r="O86" s="1132" t="s">
        <v>1927</v>
      </c>
      <c r="Q86" s="1955"/>
      <c r="R86" s="1960"/>
      <c r="S86" s="1956"/>
    </row>
    <row r="87" spans="1:19" s="362" customFormat="1" ht="13.15" customHeight="1">
      <c r="E87" s="368" t="s">
        <v>1923</v>
      </c>
      <c r="H87" s="1961"/>
      <c r="I87" s="393" t="s">
        <v>2377</v>
      </c>
      <c r="J87" s="1958"/>
      <c r="K87" s="2008"/>
      <c r="O87" s="1132" t="s">
        <v>2115</v>
      </c>
      <c r="Q87" s="1955"/>
      <c r="R87" s="1960"/>
      <c r="S87" s="1956"/>
    </row>
    <row r="88" spans="1:19" s="362" customFormat="1" ht="13.15" customHeight="1">
      <c r="D88" s="406"/>
      <c r="E88" s="368" t="s">
        <v>2121</v>
      </c>
      <c r="H88" s="1955"/>
      <c r="I88" s="1956"/>
      <c r="J88" s="2038"/>
      <c r="K88" s="1138" t="s">
        <v>1926</v>
      </c>
      <c r="L88" s="1993"/>
      <c r="M88" s="2008"/>
      <c r="N88" s="370" t="s">
        <v>2120</v>
      </c>
      <c r="O88" s="1962"/>
      <c r="P88" s="1963"/>
      <c r="Q88" s="1963"/>
      <c r="R88" s="1963"/>
      <c r="S88" s="1964"/>
    </row>
    <row r="89" spans="1:19" ht="6.6" customHeight="1">
      <c r="H89" s="2045"/>
      <c r="I89" s="2045"/>
      <c r="J89" s="2045"/>
      <c r="K89" s="1138"/>
      <c r="L89" s="2045"/>
      <c r="M89" s="2045"/>
      <c r="N89" s="1134"/>
      <c r="O89" s="2044"/>
      <c r="P89" s="2044"/>
      <c r="Q89" s="1138"/>
      <c r="R89" s="2044"/>
      <c r="S89" s="2044"/>
    </row>
    <row r="90" spans="1:19" s="362" customFormat="1" ht="13.15" customHeight="1">
      <c r="B90" s="365" t="s">
        <v>2122</v>
      </c>
      <c r="C90" s="365" t="s">
        <v>303</v>
      </c>
      <c r="H90" s="1947"/>
      <c r="I90" s="2007"/>
      <c r="J90" s="2007"/>
      <c r="K90" s="2007"/>
      <c r="L90" s="2007"/>
      <c r="M90" s="2007"/>
      <c r="N90" s="2008"/>
      <c r="O90" s="1132" t="s">
        <v>2126</v>
      </c>
      <c r="P90" s="1132"/>
      <c r="Q90" s="1947"/>
      <c r="R90" s="2007"/>
      <c r="S90" s="2008"/>
    </row>
    <row r="91" spans="1:19" s="362" customFormat="1" ht="13.15" customHeight="1">
      <c r="D91" s="406"/>
      <c r="E91" s="368" t="s">
        <v>1083</v>
      </c>
      <c r="F91" s="376"/>
      <c r="H91" s="1947"/>
      <c r="I91" s="2007"/>
      <c r="J91" s="2007"/>
      <c r="K91" s="2007"/>
      <c r="L91" s="2007"/>
      <c r="M91" s="2007"/>
      <c r="N91" s="2008"/>
      <c r="O91" s="1132" t="s">
        <v>1870</v>
      </c>
      <c r="Q91" s="1947"/>
      <c r="R91" s="2007"/>
      <c r="S91" s="2008"/>
    </row>
    <row r="92" spans="1:19" s="362" customFormat="1" ht="13.15" customHeight="1">
      <c r="D92" s="406"/>
      <c r="E92" s="368" t="s">
        <v>659</v>
      </c>
      <c r="H92" s="1947"/>
      <c r="I92" s="2007"/>
      <c r="J92" s="2008"/>
      <c r="K92" s="1135" t="s">
        <v>2945</v>
      </c>
      <c r="L92" s="1947"/>
      <c r="M92" s="2007"/>
      <c r="N92" s="2008"/>
      <c r="O92" s="1132" t="s">
        <v>1927</v>
      </c>
      <c r="Q92" s="1955"/>
      <c r="R92" s="1960"/>
      <c r="S92" s="1956"/>
    </row>
    <row r="93" spans="1:19" s="362" customFormat="1" ht="13.15" customHeight="1">
      <c r="E93" s="368" t="s">
        <v>1923</v>
      </c>
      <c r="H93" s="1961"/>
      <c r="I93" s="393" t="s">
        <v>2377</v>
      </c>
      <c r="J93" s="1958"/>
      <c r="K93" s="2008"/>
      <c r="O93" s="1132" t="s">
        <v>2115</v>
      </c>
      <c r="Q93" s="1955"/>
      <c r="R93" s="1960"/>
      <c r="S93" s="1956"/>
    </row>
    <row r="94" spans="1:19" s="362" customFormat="1" ht="13.15" customHeight="1">
      <c r="D94" s="406"/>
      <c r="E94" s="368" t="s">
        <v>2121</v>
      </c>
      <c r="H94" s="1955"/>
      <c r="I94" s="1956"/>
      <c r="J94" s="2038"/>
      <c r="K94" s="1138" t="s">
        <v>1926</v>
      </c>
      <c r="L94" s="1993"/>
      <c r="M94" s="2008"/>
      <c r="N94" s="370" t="s">
        <v>2120</v>
      </c>
      <c r="O94" s="1962"/>
      <c r="P94" s="1963"/>
      <c r="Q94" s="1963"/>
      <c r="R94" s="1963"/>
      <c r="S94" s="1964"/>
    </row>
    <row r="95" spans="1:19" ht="6.6" customHeight="1">
      <c r="H95" s="2045"/>
      <c r="I95" s="2045"/>
      <c r="J95" s="2045"/>
      <c r="K95" s="1138"/>
      <c r="L95" s="2045"/>
      <c r="M95" s="2045"/>
      <c r="N95" s="1134"/>
      <c r="O95" s="2044"/>
      <c r="P95" s="2044"/>
      <c r="Q95" s="1138"/>
      <c r="R95" s="2044"/>
      <c r="S95" s="2044"/>
    </row>
    <row r="96" spans="1:19" s="362" customFormat="1" ht="13.15" customHeight="1">
      <c r="B96" s="365" t="s">
        <v>799</v>
      </c>
      <c r="C96" s="365" t="s">
        <v>304</v>
      </c>
      <c r="F96" s="382"/>
      <c r="H96" s="1947" t="s">
        <v>3721</v>
      </c>
      <c r="I96" s="2007"/>
      <c r="J96" s="2007"/>
      <c r="K96" s="2007"/>
      <c r="L96" s="2007"/>
      <c r="M96" s="2007"/>
      <c r="N96" s="2008"/>
      <c r="O96" s="1132" t="s">
        <v>2126</v>
      </c>
      <c r="P96" s="1132"/>
      <c r="Q96" s="1947" t="s">
        <v>3722</v>
      </c>
      <c r="R96" s="2007"/>
      <c r="S96" s="2008"/>
    </row>
    <row r="97" spans="2:19" s="362" customFormat="1" ht="13.15" customHeight="1">
      <c r="D97" s="406"/>
      <c r="E97" s="368" t="s">
        <v>1083</v>
      </c>
      <c r="F97" s="376"/>
      <c r="H97" s="1947" t="s">
        <v>3707</v>
      </c>
      <c r="I97" s="2007"/>
      <c r="J97" s="2007"/>
      <c r="K97" s="2007"/>
      <c r="L97" s="2007"/>
      <c r="M97" s="2007"/>
      <c r="N97" s="2008"/>
      <c r="O97" s="1132" t="s">
        <v>1870</v>
      </c>
      <c r="Q97" s="1947" t="s">
        <v>3723</v>
      </c>
      <c r="R97" s="2007"/>
      <c r="S97" s="2008"/>
    </row>
    <row r="98" spans="2:19" s="362" customFormat="1" ht="13.15" customHeight="1">
      <c r="D98" s="406"/>
      <c r="E98" s="368" t="s">
        <v>659</v>
      </c>
      <c r="H98" s="1947" t="s">
        <v>204</v>
      </c>
      <c r="I98" s="2007"/>
      <c r="J98" s="2008"/>
      <c r="K98" s="1135" t="s">
        <v>2945</v>
      </c>
      <c r="L98" s="1947" t="s">
        <v>3804</v>
      </c>
      <c r="M98" s="2007"/>
      <c r="N98" s="2008"/>
      <c r="O98" s="1132" t="s">
        <v>1927</v>
      </c>
      <c r="Q98" s="1955">
        <v>4042702131</v>
      </c>
      <c r="R98" s="1960"/>
      <c r="S98" s="1956"/>
    </row>
    <row r="99" spans="2:19" s="362" customFormat="1" ht="13.15" customHeight="1">
      <c r="D99" s="406"/>
      <c r="E99" s="368" t="s">
        <v>1923</v>
      </c>
      <c r="H99" s="1961" t="s">
        <v>902</v>
      </c>
      <c r="I99" s="393" t="s">
        <v>2377</v>
      </c>
      <c r="J99" s="1958">
        <v>300302612</v>
      </c>
      <c r="K99" s="2008"/>
      <c r="O99" s="1132" t="s">
        <v>2115</v>
      </c>
      <c r="Q99" s="1955">
        <v>4044342209</v>
      </c>
      <c r="R99" s="1960"/>
      <c r="S99" s="1956"/>
    </row>
    <row r="100" spans="2:19" s="362" customFormat="1" ht="13.15" customHeight="1">
      <c r="D100" s="406"/>
      <c r="E100" s="368" t="s">
        <v>2121</v>
      </c>
      <c r="H100" s="1955">
        <v>4042702131</v>
      </c>
      <c r="I100" s="1956"/>
      <c r="J100" s="2038"/>
      <c r="K100" s="1138" t="s">
        <v>1926</v>
      </c>
      <c r="L100" s="1993">
        <v>4042702122</v>
      </c>
      <c r="M100" s="2008"/>
      <c r="N100" s="370" t="s">
        <v>2120</v>
      </c>
      <c r="O100" s="1962" t="s">
        <v>3724</v>
      </c>
      <c r="P100" s="1963"/>
      <c r="Q100" s="1963"/>
      <c r="R100" s="1963"/>
      <c r="S100" s="1964"/>
    </row>
    <row r="101" spans="2:19" ht="6.6" customHeight="1">
      <c r="H101" s="2045"/>
      <c r="I101" s="2045"/>
      <c r="J101" s="2045"/>
      <c r="K101" s="1138"/>
      <c r="L101" s="2045"/>
      <c r="M101" s="2045"/>
      <c r="N101" s="1134"/>
      <c r="O101" s="2044"/>
      <c r="P101" s="2044"/>
      <c r="Q101" s="1138"/>
      <c r="R101" s="2044"/>
      <c r="S101" s="2044"/>
    </row>
    <row r="102" spans="2:19" s="362" customFormat="1" ht="13.15" customHeight="1">
      <c r="B102" s="365" t="s">
        <v>2254</v>
      </c>
      <c r="C102" s="365" t="s">
        <v>305</v>
      </c>
      <c r="H102" s="1947" t="s">
        <v>3725</v>
      </c>
      <c r="I102" s="2007"/>
      <c r="J102" s="2007"/>
      <c r="K102" s="2007"/>
      <c r="L102" s="2007"/>
      <c r="M102" s="2007"/>
      <c r="N102" s="2008"/>
      <c r="O102" s="1132" t="s">
        <v>2126</v>
      </c>
      <c r="P102" s="1132"/>
      <c r="Q102" s="1947" t="s">
        <v>3726</v>
      </c>
      <c r="R102" s="2007"/>
      <c r="S102" s="2008"/>
    </row>
    <row r="103" spans="2:19" s="362" customFormat="1" ht="13.15" customHeight="1">
      <c r="D103" s="406"/>
      <c r="E103" s="368" t="s">
        <v>1083</v>
      </c>
      <c r="F103" s="376"/>
      <c r="H103" s="1947" t="s">
        <v>3727</v>
      </c>
      <c r="I103" s="2007"/>
      <c r="J103" s="2007"/>
      <c r="K103" s="2007"/>
      <c r="L103" s="2007"/>
      <c r="M103" s="2007"/>
      <c r="N103" s="2008"/>
      <c r="O103" s="1132" t="s">
        <v>1870</v>
      </c>
      <c r="Q103" s="1947" t="s">
        <v>3728</v>
      </c>
      <c r="R103" s="2007"/>
      <c r="S103" s="2008"/>
    </row>
    <row r="104" spans="2:19" s="362" customFormat="1" ht="13.15" customHeight="1">
      <c r="D104" s="406"/>
      <c r="E104" s="368" t="s">
        <v>659</v>
      </c>
      <c r="H104" s="1947" t="s">
        <v>1282</v>
      </c>
      <c r="I104" s="2007"/>
      <c r="J104" s="2008"/>
      <c r="K104" s="1135" t="s">
        <v>2945</v>
      </c>
      <c r="L104" s="1947" t="s">
        <v>3735</v>
      </c>
      <c r="M104" s="2007"/>
      <c r="N104" s="2008"/>
      <c r="O104" s="1132" t="s">
        <v>1927</v>
      </c>
      <c r="Q104" s="1955">
        <v>4048738708</v>
      </c>
      <c r="R104" s="1960"/>
      <c r="S104" s="1956"/>
    </row>
    <row r="105" spans="2:19" s="362" customFormat="1" ht="13.15" customHeight="1">
      <c r="D105" s="406"/>
      <c r="E105" s="368" t="s">
        <v>1923</v>
      </c>
      <c r="H105" s="1961" t="s">
        <v>902</v>
      </c>
      <c r="I105" s="393" t="s">
        <v>2377</v>
      </c>
      <c r="J105" s="1958">
        <v>303631031</v>
      </c>
      <c r="K105" s="2008"/>
      <c r="O105" s="1132" t="s">
        <v>2115</v>
      </c>
      <c r="Q105" s="1955"/>
      <c r="R105" s="1960"/>
      <c r="S105" s="1956"/>
    </row>
    <row r="106" spans="2:19" ht="13.15" customHeight="1">
      <c r="E106" s="368" t="s">
        <v>2121</v>
      </c>
      <c r="F106" s="362"/>
      <c r="G106" s="362"/>
      <c r="H106" s="1955">
        <v>4048738708</v>
      </c>
      <c r="I106" s="1956"/>
      <c r="J106" s="2038"/>
      <c r="K106" s="1138" t="s">
        <v>1926</v>
      </c>
      <c r="L106" s="1993">
        <v>4048738709</v>
      </c>
      <c r="M106" s="2008"/>
      <c r="N106" s="370" t="s">
        <v>2120</v>
      </c>
      <c r="O106" s="1962" t="s">
        <v>3729</v>
      </c>
      <c r="P106" s="1963"/>
      <c r="Q106" s="1963"/>
      <c r="R106" s="1963"/>
      <c r="S106" s="1964"/>
    </row>
    <row r="107" spans="2:19" ht="6" customHeight="1">
      <c r="E107" s="368"/>
      <c r="F107" s="362"/>
      <c r="G107" s="362"/>
      <c r="H107" s="362"/>
      <c r="I107" s="362"/>
      <c r="J107" s="362"/>
      <c r="K107" s="362"/>
      <c r="L107" s="362"/>
      <c r="M107" s="362"/>
      <c r="N107" s="362"/>
      <c r="O107" s="362"/>
      <c r="P107" s="362"/>
      <c r="Q107" s="1138"/>
      <c r="R107" s="1138"/>
      <c r="S107" s="2047"/>
    </row>
    <row r="108" spans="2:19" ht="0.6" customHeight="1">
      <c r="E108" s="368"/>
      <c r="F108" s="362"/>
      <c r="G108" s="1142"/>
      <c r="H108" s="2043"/>
      <c r="I108" s="2043"/>
      <c r="J108" s="2043"/>
      <c r="K108" s="1134"/>
      <c r="L108" s="2043"/>
      <c r="M108" s="2043"/>
      <c r="N108" s="1134"/>
      <c r="O108" s="2044"/>
      <c r="P108" s="2044"/>
      <c r="Q108" s="1138"/>
      <c r="R108" s="2044"/>
      <c r="S108" s="2044"/>
    </row>
    <row r="109" spans="2:19" s="362" customFormat="1" ht="13.15" customHeight="1">
      <c r="B109" s="365" t="s">
        <v>1857</v>
      </c>
      <c r="C109" s="365" t="s">
        <v>306</v>
      </c>
      <c r="H109" s="1947" t="s">
        <v>3730</v>
      </c>
      <c r="I109" s="2007"/>
      <c r="J109" s="2007"/>
      <c r="K109" s="2007"/>
      <c r="L109" s="2007"/>
      <c r="M109" s="2007"/>
      <c r="N109" s="2008"/>
      <c r="O109" s="1132" t="s">
        <v>2126</v>
      </c>
      <c r="P109" s="1132"/>
      <c r="Q109" s="1947" t="s">
        <v>3731</v>
      </c>
      <c r="R109" s="2007"/>
      <c r="S109" s="2008"/>
    </row>
    <row r="110" spans="2:19" s="362" customFormat="1" ht="13.15" customHeight="1">
      <c r="D110" s="406"/>
      <c r="E110" s="368" t="s">
        <v>1083</v>
      </c>
      <c r="F110" s="376"/>
      <c r="H110" s="1947" t="s">
        <v>3732</v>
      </c>
      <c r="I110" s="2007"/>
      <c r="J110" s="2007"/>
      <c r="K110" s="2007"/>
      <c r="L110" s="2007"/>
      <c r="M110" s="2007"/>
      <c r="N110" s="2008"/>
      <c r="O110" s="1132" t="s">
        <v>1870</v>
      </c>
      <c r="Q110" s="1947" t="s">
        <v>3733</v>
      </c>
      <c r="R110" s="2007"/>
      <c r="S110" s="2008"/>
    </row>
    <row r="111" spans="2:19" s="362" customFormat="1" ht="13.15" customHeight="1">
      <c r="D111" s="406"/>
      <c r="E111" s="368" t="s">
        <v>659</v>
      </c>
      <c r="H111" s="1947" t="s">
        <v>1282</v>
      </c>
      <c r="I111" s="2007"/>
      <c r="J111" s="2008"/>
      <c r="K111" s="1135" t="s">
        <v>2945</v>
      </c>
      <c r="L111" s="1947" t="s">
        <v>3734</v>
      </c>
      <c r="M111" s="2007"/>
      <c r="N111" s="2008"/>
      <c r="O111" s="1132" t="s">
        <v>1927</v>
      </c>
      <c r="Q111" s="1955">
        <v>4048749447</v>
      </c>
      <c r="R111" s="1960"/>
      <c r="S111" s="1956"/>
    </row>
    <row r="112" spans="2:19" s="362" customFormat="1" ht="13.15" customHeight="1">
      <c r="D112" s="406"/>
      <c r="E112" s="368" t="s">
        <v>1923</v>
      </c>
      <c r="H112" s="1961" t="s">
        <v>902</v>
      </c>
      <c r="I112" s="393" t="s">
        <v>2377</v>
      </c>
      <c r="J112" s="1958">
        <v>303264276</v>
      </c>
      <c r="K112" s="2008"/>
      <c r="O112" s="1132" t="s">
        <v>2115</v>
      </c>
      <c r="Q112" s="1955"/>
      <c r="R112" s="1960"/>
      <c r="S112" s="1956"/>
    </row>
    <row r="113" spans="1:19" ht="13.15" customHeight="1">
      <c r="E113" s="368" t="s">
        <v>2121</v>
      </c>
      <c r="F113" s="362"/>
      <c r="G113" s="362"/>
      <c r="H113" s="1955">
        <v>4048479447</v>
      </c>
      <c r="I113" s="1956"/>
      <c r="J113" s="2038"/>
      <c r="K113" s="1138" t="s">
        <v>1926</v>
      </c>
      <c r="L113" s="1993">
        <v>4048477625</v>
      </c>
      <c r="M113" s="2008"/>
      <c r="N113" s="370" t="s">
        <v>2120</v>
      </c>
      <c r="O113" s="1962" t="s">
        <v>3736</v>
      </c>
      <c r="P113" s="1963"/>
      <c r="Q113" s="1963"/>
      <c r="R113" s="1963"/>
      <c r="S113" s="1964"/>
    </row>
    <row r="114" spans="1:19" ht="6.6" customHeight="1">
      <c r="E114" s="368"/>
      <c r="F114" s="362"/>
      <c r="G114" s="1142"/>
      <c r="H114" s="2045"/>
      <c r="I114" s="2045"/>
      <c r="J114" s="2045"/>
      <c r="K114" s="1138"/>
      <c r="L114" s="2045"/>
      <c r="M114" s="2045"/>
      <c r="N114" s="1134"/>
      <c r="O114" s="2044"/>
      <c r="P114" s="2044"/>
      <c r="Q114" s="1138"/>
      <c r="R114" s="2044"/>
      <c r="S114" s="2044"/>
    </row>
    <row r="115" spans="1:19" s="362" customFormat="1" ht="13.15" customHeight="1">
      <c r="B115" s="365" t="s">
        <v>1858</v>
      </c>
      <c r="C115" s="365" t="s">
        <v>307</v>
      </c>
      <c r="H115" s="1947" t="s">
        <v>3737</v>
      </c>
      <c r="I115" s="2007"/>
      <c r="J115" s="2007"/>
      <c r="K115" s="2007"/>
      <c r="L115" s="2007"/>
      <c r="M115" s="2007"/>
      <c r="N115" s="2008"/>
      <c r="O115" s="1132" t="s">
        <v>2126</v>
      </c>
      <c r="P115" s="1132"/>
      <c r="Q115" s="1947" t="s">
        <v>3738</v>
      </c>
      <c r="R115" s="2007"/>
      <c r="S115" s="2008"/>
    </row>
    <row r="116" spans="1:19" s="362" customFormat="1" ht="13.15" customHeight="1">
      <c r="D116" s="406"/>
      <c r="E116" s="368" t="s">
        <v>1083</v>
      </c>
      <c r="F116" s="376"/>
      <c r="H116" s="1947" t="s">
        <v>3739</v>
      </c>
      <c r="I116" s="2007"/>
      <c r="J116" s="2007"/>
      <c r="K116" s="2007"/>
      <c r="L116" s="2007"/>
      <c r="M116" s="2007"/>
      <c r="N116" s="2008"/>
      <c r="O116" s="1132" t="s">
        <v>1870</v>
      </c>
      <c r="Q116" s="1947" t="s">
        <v>3740</v>
      </c>
      <c r="R116" s="2007"/>
      <c r="S116" s="2008"/>
    </row>
    <row r="117" spans="1:19" s="362" customFormat="1" ht="13.15" customHeight="1">
      <c r="D117" s="406"/>
      <c r="E117" s="368" t="s">
        <v>659</v>
      </c>
      <c r="H117" s="1947" t="s">
        <v>1282</v>
      </c>
      <c r="I117" s="2007"/>
      <c r="J117" s="2008"/>
      <c r="K117" s="1135" t="s">
        <v>2945</v>
      </c>
      <c r="L117" s="1947" t="s">
        <v>3741</v>
      </c>
      <c r="M117" s="2007"/>
      <c r="N117" s="2008"/>
      <c r="O117" s="1132" t="s">
        <v>1927</v>
      </c>
      <c r="Q117" s="1955">
        <v>4042536704</v>
      </c>
      <c r="R117" s="1960"/>
      <c r="S117" s="1956"/>
    </row>
    <row r="118" spans="1:19" s="362" customFormat="1" ht="13.15" customHeight="1">
      <c r="D118" s="411"/>
      <c r="E118" s="368" t="s">
        <v>1923</v>
      </c>
      <c r="H118" s="1961" t="s">
        <v>902</v>
      </c>
      <c r="I118" s="393" t="s">
        <v>2377</v>
      </c>
      <c r="J118" s="1958">
        <v>303613500</v>
      </c>
      <c r="K118" s="2008"/>
      <c r="O118" s="1132" t="s">
        <v>2115</v>
      </c>
      <c r="Q118" s="1955">
        <v>4044234924</v>
      </c>
      <c r="R118" s="1960"/>
      <c r="S118" s="1956"/>
    </row>
    <row r="119" spans="1:19" s="362" customFormat="1" ht="13.15" customHeight="1">
      <c r="D119" s="411"/>
      <c r="E119" s="368" t="s">
        <v>2121</v>
      </c>
      <c r="H119" s="1955">
        <v>4042536704</v>
      </c>
      <c r="I119" s="1956"/>
      <c r="J119" s="2038"/>
      <c r="K119" s="1138" t="s">
        <v>1926</v>
      </c>
      <c r="L119" s="1993">
        <v>4042536754</v>
      </c>
      <c r="M119" s="2008"/>
      <c r="N119" s="370" t="s">
        <v>2120</v>
      </c>
      <c r="O119" s="1962" t="s">
        <v>3742</v>
      </c>
      <c r="P119" s="1963"/>
      <c r="Q119" s="1963"/>
      <c r="R119" s="1963"/>
      <c r="S119" s="1964"/>
    </row>
    <row r="120" spans="1:19" ht="6" customHeight="1"/>
    <row r="121" spans="1:19" s="362" customFormat="1" ht="13.15" customHeight="1">
      <c r="A121" s="365" t="s">
        <v>1916</v>
      </c>
      <c r="B121" s="365" t="s">
        <v>2787</v>
      </c>
      <c r="F121" s="365"/>
      <c r="G121" s="1138"/>
      <c r="H121" s="1138"/>
      <c r="I121" s="1138"/>
      <c r="J121" s="1138"/>
      <c r="K121" s="1138"/>
      <c r="L121" s="1138"/>
      <c r="M121" s="1138"/>
      <c r="N121" s="1138"/>
      <c r="O121" s="1138"/>
      <c r="P121" s="1138"/>
      <c r="Q121" s="1135"/>
    </row>
    <row r="122" spans="1:19" s="362" customFormat="1" ht="3" customHeight="1">
      <c r="A122" s="365"/>
      <c r="B122" s="365"/>
      <c r="F122" s="365"/>
      <c r="G122" s="1138"/>
      <c r="H122" s="1138"/>
      <c r="I122" s="1138"/>
      <c r="J122" s="1138"/>
      <c r="K122" s="1138"/>
      <c r="L122" s="1138"/>
      <c r="M122" s="1138"/>
      <c r="N122" s="1138"/>
      <c r="O122" s="1138"/>
      <c r="P122" s="1138"/>
      <c r="Q122" s="1135"/>
    </row>
    <row r="123" spans="1:19" ht="13.15" customHeight="1">
      <c r="B123" s="365" t="s">
        <v>2119</v>
      </c>
      <c r="C123" s="365" t="s">
        <v>3384</v>
      </c>
    </row>
    <row r="124" spans="1:19" ht="13.15" customHeight="1">
      <c r="C124" s="382" t="s">
        <v>3385</v>
      </c>
      <c r="H124" s="442" t="s">
        <v>2683</v>
      </c>
      <c r="I124" s="382" t="s">
        <v>3388</v>
      </c>
    </row>
    <row r="125" spans="1:19" s="362" customFormat="1" ht="13.15" customHeight="1">
      <c r="C125" s="712" t="s">
        <v>2123</v>
      </c>
      <c r="D125" s="362" t="s">
        <v>3386</v>
      </c>
      <c r="H125" s="2048" t="s">
        <v>3703</v>
      </c>
      <c r="I125" s="2049"/>
      <c r="J125" s="2050"/>
      <c r="K125" s="2050"/>
      <c r="L125" s="2050"/>
      <c r="M125" s="2050"/>
      <c r="N125" s="2050"/>
      <c r="O125" s="2050"/>
      <c r="P125" s="2050"/>
      <c r="Q125" s="2050"/>
      <c r="R125" s="2050"/>
      <c r="S125" s="2051"/>
    </row>
    <row r="126" spans="1:19" s="362" customFormat="1" ht="13.15" customHeight="1">
      <c r="C126" s="712" t="s">
        <v>2125</v>
      </c>
      <c r="D126" s="362" t="s">
        <v>3517</v>
      </c>
      <c r="H126" s="2052" t="s">
        <v>3703</v>
      </c>
      <c r="I126" s="2053"/>
      <c r="J126" s="2054"/>
      <c r="K126" s="2054"/>
      <c r="L126" s="2054"/>
      <c r="M126" s="2054"/>
      <c r="N126" s="2054"/>
      <c r="O126" s="2054"/>
      <c r="P126" s="2054"/>
      <c r="Q126" s="2054"/>
      <c r="R126" s="2054"/>
      <c r="S126" s="2055"/>
    </row>
    <row r="127" spans="1:19" s="362" customFormat="1" ht="13.15" customHeight="1">
      <c r="C127" s="712" t="s">
        <v>2709</v>
      </c>
      <c r="D127" s="362" t="s">
        <v>3576</v>
      </c>
      <c r="H127" s="2052" t="s">
        <v>3703</v>
      </c>
      <c r="I127" s="2053"/>
      <c r="J127" s="2054"/>
      <c r="K127" s="2054"/>
      <c r="L127" s="2054"/>
      <c r="M127" s="2054"/>
      <c r="N127" s="2054"/>
      <c r="O127" s="2054"/>
      <c r="P127" s="2054"/>
      <c r="Q127" s="2054"/>
      <c r="R127" s="2054"/>
      <c r="S127" s="2055"/>
    </row>
    <row r="128" spans="1:19" s="362" customFormat="1" ht="13.15" customHeight="1">
      <c r="C128" s="712" t="s">
        <v>1301</v>
      </c>
      <c r="D128" s="362" t="s">
        <v>3518</v>
      </c>
      <c r="H128" s="2052" t="s">
        <v>3703</v>
      </c>
      <c r="I128" s="2053"/>
      <c r="J128" s="2054"/>
      <c r="K128" s="2054"/>
      <c r="L128" s="2054"/>
      <c r="M128" s="2054"/>
      <c r="N128" s="2054"/>
      <c r="O128" s="2054"/>
      <c r="P128" s="2054"/>
      <c r="Q128" s="2054"/>
      <c r="R128" s="2054"/>
      <c r="S128" s="2055"/>
    </row>
    <row r="129" spans="1:19" s="362" customFormat="1" ht="13.15" customHeight="1">
      <c r="C129" s="712" t="s">
        <v>1302</v>
      </c>
      <c r="D129" s="362" t="s">
        <v>3519</v>
      </c>
      <c r="H129" s="2052" t="s">
        <v>3703</v>
      </c>
      <c r="I129" s="2053"/>
      <c r="J129" s="2054"/>
      <c r="K129" s="2054"/>
      <c r="L129" s="2054"/>
      <c r="M129" s="2054"/>
      <c r="N129" s="2054"/>
      <c r="O129" s="2054"/>
      <c r="P129" s="2054"/>
      <c r="Q129" s="2054"/>
      <c r="R129" s="2054"/>
      <c r="S129" s="2055"/>
    </row>
    <row r="130" spans="1:19" s="362" customFormat="1" ht="13.15" customHeight="1">
      <c r="C130" s="712" t="s">
        <v>2015</v>
      </c>
      <c r="D130" s="362" t="s">
        <v>3387</v>
      </c>
      <c r="H130" s="2052" t="s">
        <v>3703</v>
      </c>
      <c r="I130" s="2053"/>
      <c r="J130" s="2054"/>
      <c r="K130" s="2054"/>
      <c r="L130" s="2054"/>
      <c r="M130" s="2054"/>
      <c r="N130" s="2054"/>
      <c r="O130" s="2054"/>
      <c r="P130" s="2054"/>
      <c r="Q130" s="2054"/>
      <c r="R130" s="2054"/>
      <c r="S130" s="2055"/>
    </row>
    <row r="131" spans="1:19" s="362" customFormat="1" ht="13.15" customHeight="1">
      <c r="C131" s="712" t="s">
        <v>535</v>
      </c>
      <c r="D131" s="362" t="s">
        <v>3389</v>
      </c>
      <c r="H131" s="2052" t="s">
        <v>3703</v>
      </c>
      <c r="I131" s="2053"/>
      <c r="J131" s="2054"/>
      <c r="K131" s="2054"/>
      <c r="L131" s="2054"/>
      <c r="M131" s="2054"/>
      <c r="N131" s="2054"/>
      <c r="O131" s="2054"/>
      <c r="P131" s="2054"/>
      <c r="Q131" s="2054"/>
      <c r="R131" s="2054"/>
      <c r="S131" s="2055"/>
    </row>
    <row r="132" spans="1:19" s="362" customFormat="1" ht="13.15" customHeight="1">
      <c r="C132" s="712" t="s">
        <v>536</v>
      </c>
      <c r="D132" s="362" t="s">
        <v>1710</v>
      </c>
      <c r="H132" s="2056"/>
      <c r="I132" s="2057"/>
      <c r="J132" s="2058"/>
      <c r="K132" s="2058"/>
      <c r="L132" s="2058"/>
      <c r="M132" s="2058"/>
      <c r="N132" s="2058"/>
      <c r="O132" s="2058"/>
      <c r="P132" s="2058"/>
      <c r="Q132" s="2058"/>
      <c r="R132" s="2058"/>
      <c r="S132" s="2059"/>
    </row>
    <row r="133" spans="1:19" s="362" customFormat="1" ht="13.15" customHeight="1">
      <c r="A133" s="365" t="s">
        <v>1916</v>
      </c>
      <c r="B133" s="365" t="s">
        <v>3410</v>
      </c>
      <c r="F133" s="365"/>
      <c r="G133" s="1138"/>
      <c r="H133" s="1138"/>
      <c r="I133" s="1138"/>
      <c r="J133" s="1138"/>
      <c r="K133" s="1138"/>
      <c r="L133" s="1138"/>
      <c r="M133" s="1138"/>
      <c r="N133" s="1138"/>
      <c r="O133" s="1138"/>
      <c r="P133" s="1138"/>
      <c r="Q133" s="1135"/>
    </row>
    <row r="134" spans="1:19" s="362" customFormat="1" ht="6.6" customHeight="1">
      <c r="A134" s="365"/>
      <c r="B134" s="365"/>
      <c r="F134" s="365"/>
      <c r="G134" s="1138"/>
      <c r="H134" s="1138"/>
      <c r="I134" s="1138"/>
      <c r="J134" s="1138"/>
      <c r="K134" s="1138"/>
      <c r="L134" s="1138"/>
      <c r="M134" s="1138"/>
      <c r="N134" s="1138"/>
      <c r="O134" s="1138"/>
      <c r="P134" s="1138"/>
      <c r="Q134" s="1135"/>
    </row>
    <row r="135" spans="1:19" ht="13.15" customHeight="1">
      <c r="B135" s="365" t="s">
        <v>2122</v>
      </c>
      <c r="C135" s="365" t="s">
        <v>3390</v>
      </c>
    </row>
    <row r="136" spans="1:19" s="362" customFormat="1" ht="6.6" customHeight="1">
      <c r="A136" s="365"/>
      <c r="B136" s="365"/>
      <c r="F136" s="365"/>
      <c r="G136" s="1138"/>
      <c r="H136" s="1138"/>
      <c r="I136" s="1138"/>
      <c r="J136" s="1138"/>
      <c r="K136" s="1138"/>
      <c r="L136" s="1138"/>
      <c r="M136" s="1138"/>
      <c r="N136" s="1138"/>
      <c r="O136" s="1138"/>
      <c r="P136" s="1138"/>
      <c r="Q136" s="1135"/>
    </row>
    <row r="137" spans="1:19" s="362" customFormat="1" ht="8.25" customHeight="1">
      <c r="A137" s="1201" t="s">
        <v>681</v>
      </c>
      <c r="B137" s="1239"/>
      <c r="C137" s="1239"/>
      <c r="D137" s="1239"/>
      <c r="E137" s="1202"/>
      <c r="F137" s="1243" t="s">
        <v>3570</v>
      </c>
      <c r="G137" s="1244"/>
      <c r="H137" s="1247" t="s">
        <v>3571</v>
      </c>
      <c r="I137" s="1248"/>
      <c r="J137" s="1248"/>
      <c r="K137" s="1248"/>
      <c r="L137" s="1218" t="s">
        <v>3572</v>
      </c>
      <c r="M137" s="1219"/>
      <c r="N137" s="1219"/>
      <c r="O137" s="1220"/>
      <c r="P137" s="1218" t="s">
        <v>3573</v>
      </c>
      <c r="Q137" s="2060"/>
      <c r="R137" s="1227" t="s">
        <v>3574</v>
      </c>
      <c r="S137" s="1228"/>
    </row>
    <row r="138" spans="1:19" s="362" customFormat="1" ht="8.25" customHeight="1">
      <c r="A138" s="1182"/>
      <c r="B138" s="1240"/>
      <c r="C138" s="1240"/>
      <c r="D138" s="1240"/>
      <c r="E138" s="1184"/>
      <c r="F138" s="1245"/>
      <c r="G138" s="1246"/>
      <c r="H138" s="1249"/>
      <c r="I138" s="1250"/>
      <c r="J138" s="1250"/>
      <c r="K138" s="1250"/>
      <c r="L138" s="1221"/>
      <c r="M138" s="1222"/>
      <c r="N138" s="1222"/>
      <c r="O138" s="1223"/>
      <c r="P138" s="2061"/>
      <c r="Q138" s="2062"/>
      <c r="R138" s="1221"/>
      <c r="S138" s="1229"/>
    </row>
    <row r="139" spans="1:19" s="362" customFormat="1" ht="8.25" customHeight="1">
      <c r="A139" s="1182"/>
      <c r="B139" s="1240"/>
      <c r="C139" s="1240"/>
      <c r="D139" s="1240"/>
      <c r="E139" s="1184"/>
      <c r="F139" s="1245"/>
      <c r="G139" s="1246"/>
      <c r="H139" s="1249"/>
      <c r="I139" s="1250"/>
      <c r="J139" s="1250"/>
      <c r="K139" s="1250"/>
      <c r="L139" s="1221"/>
      <c r="M139" s="1222"/>
      <c r="N139" s="1222"/>
      <c r="O139" s="1223"/>
      <c r="P139" s="2061"/>
      <c r="Q139" s="2062"/>
      <c r="R139" s="1230"/>
      <c r="S139" s="1229"/>
    </row>
    <row r="140" spans="1:19" s="362" customFormat="1" ht="8.25" customHeight="1">
      <c r="A140" s="1182"/>
      <c r="B140" s="1240"/>
      <c r="C140" s="1240"/>
      <c r="D140" s="1240"/>
      <c r="E140" s="1184"/>
      <c r="F140" s="1245"/>
      <c r="G140" s="1246"/>
      <c r="H140" s="1249"/>
      <c r="I140" s="1250"/>
      <c r="J140" s="1250"/>
      <c r="K140" s="1250"/>
      <c r="L140" s="1221"/>
      <c r="M140" s="1222"/>
      <c r="N140" s="1222"/>
      <c r="O140" s="1223"/>
      <c r="P140" s="2061"/>
      <c r="Q140" s="2062"/>
      <c r="R140" s="1230"/>
      <c r="S140" s="1229"/>
    </row>
    <row r="141" spans="1:19" s="362" customFormat="1" ht="8.25" customHeight="1">
      <c r="A141" s="1241"/>
      <c r="B141" s="1195"/>
      <c r="C141" s="1195"/>
      <c r="D141" s="1195"/>
      <c r="E141" s="1242"/>
      <c r="F141" s="1245"/>
      <c r="G141" s="1246"/>
      <c r="H141" s="1251"/>
      <c r="I141" s="1252"/>
      <c r="J141" s="1252"/>
      <c r="K141" s="1252"/>
      <c r="L141" s="1224"/>
      <c r="M141" s="1225"/>
      <c r="N141" s="1225"/>
      <c r="O141" s="1226"/>
      <c r="P141" s="2063"/>
      <c r="Q141" s="2064"/>
      <c r="R141" s="1231"/>
      <c r="S141" s="1232"/>
    </row>
    <row r="142" spans="1:19" s="362" customFormat="1" ht="13.5" customHeight="1">
      <c r="A142" s="1236" t="s">
        <v>3561</v>
      </c>
      <c r="B142" s="1237"/>
      <c r="C142" s="1237"/>
      <c r="D142" s="1237"/>
      <c r="E142" s="1238"/>
      <c r="F142" s="2065" t="s">
        <v>3702</v>
      </c>
      <c r="G142" s="2065"/>
      <c r="H142" s="2065" t="s">
        <v>3703</v>
      </c>
      <c r="I142" s="2065"/>
      <c r="J142" s="2065"/>
      <c r="K142" s="2065"/>
      <c r="L142" s="2065" t="s">
        <v>3703</v>
      </c>
      <c r="M142" s="2065"/>
      <c r="N142" s="2065"/>
      <c r="O142" s="2065"/>
      <c r="P142" s="2066" t="s">
        <v>2784</v>
      </c>
      <c r="Q142" s="2067"/>
      <c r="R142" s="2068">
        <v>1E-4</v>
      </c>
      <c r="S142" s="2069"/>
    </row>
    <row r="143" spans="1:19" s="362" customFormat="1" ht="13.5" customHeight="1">
      <c r="A143" s="1216" t="s">
        <v>3562</v>
      </c>
      <c r="B143" s="1188"/>
      <c r="C143" s="1188"/>
      <c r="D143" s="1188"/>
      <c r="E143" s="1217"/>
      <c r="F143" s="2070"/>
      <c r="G143" s="2070"/>
      <c r="H143" s="2070"/>
      <c r="I143" s="2070"/>
      <c r="J143" s="2070"/>
      <c r="K143" s="2070"/>
      <c r="L143" s="2070"/>
      <c r="M143" s="2070"/>
      <c r="N143" s="2070"/>
      <c r="O143" s="2070"/>
      <c r="P143" s="2071"/>
      <c r="Q143" s="2072"/>
      <c r="R143" s="2073"/>
      <c r="S143" s="2074"/>
    </row>
    <row r="144" spans="1:19" s="362" customFormat="1" ht="13.5" customHeight="1">
      <c r="A144" s="1216" t="s">
        <v>3563</v>
      </c>
      <c r="B144" s="1188"/>
      <c r="C144" s="1188"/>
      <c r="D144" s="1188"/>
      <c r="E144" s="1217"/>
      <c r="F144" s="2070"/>
      <c r="G144" s="2070"/>
      <c r="H144" s="2070"/>
      <c r="I144" s="2070"/>
      <c r="J144" s="2070"/>
      <c r="K144" s="2070"/>
      <c r="L144" s="2070"/>
      <c r="M144" s="2070"/>
      <c r="N144" s="2070"/>
      <c r="O144" s="2070"/>
      <c r="P144" s="2071"/>
      <c r="Q144" s="2072"/>
      <c r="R144" s="2073"/>
      <c r="S144" s="2074"/>
    </row>
    <row r="145" spans="1:24" s="362" customFormat="1" ht="13.5" customHeight="1">
      <c r="A145" s="1216" t="s">
        <v>800</v>
      </c>
      <c r="B145" s="1188"/>
      <c r="C145" s="1188"/>
      <c r="D145" s="1188"/>
      <c r="E145" s="1217"/>
      <c r="F145" s="2070" t="s">
        <v>3703</v>
      </c>
      <c r="G145" s="2070"/>
      <c r="H145" s="2070" t="s">
        <v>3703</v>
      </c>
      <c r="I145" s="2070"/>
      <c r="J145" s="2070"/>
      <c r="K145" s="2070"/>
      <c r="L145" s="2070" t="s">
        <v>3703</v>
      </c>
      <c r="M145" s="2070"/>
      <c r="N145" s="2070"/>
      <c r="O145" s="2070"/>
      <c r="P145" s="2071" t="s">
        <v>3743</v>
      </c>
      <c r="Q145" s="2072"/>
      <c r="R145" s="2073">
        <v>0.9899</v>
      </c>
      <c r="S145" s="2074"/>
    </row>
    <row r="146" spans="1:24" s="362" customFormat="1" ht="13.5" customHeight="1">
      <c r="A146" s="1216" t="s">
        <v>801</v>
      </c>
      <c r="B146" s="1188"/>
      <c r="C146" s="1188"/>
      <c r="D146" s="1188"/>
      <c r="E146" s="1217"/>
      <c r="F146" s="2070" t="s">
        <v>3703</v>
      </c>
      <c r="G146" s="2070"/>
      <c r="H146" s="2070" t="s">
        <v>3703</v>
      </c>
      <c r="I146" s="2070"/>
      <c r="J146" s="2070"/>
      <c r="K146" s="2070"/>
      <c r="L146" s="2070" t="s">
        <v>3703</v>
      </c>
      <c r="M146" s="2070"/>
      <c r="N146" s="2070"/>
      <c r="O146" s="2070"/>
      <c r="P146" s="2071" t="s">
        <v>3743</v>
      </c>
      <c r="Q146" s="2072"/>
      <c r="R146" s="2073">
        <v>0.01</v>
      </c>
      <c r="S146" s="2074"/>
    </row>
    <row r="147" spans="1:24" s="362" customFormat="1" ht="13.5" customHeight="1">
      <c r="A147" s="1216" t="s">
        <v>3564</v>
      </c>
      <c r="B147" s="1188"/>
      <c r="C147" s="1188"/>
      <c r="D147" s="1188"/>
      <c r="E147" s="1217"/>
      <c r="F147" s="2070"/>
      <c r="G147" s="2070"/>
      <c r="H147" s="2070"/>
      <c r="I147" s="2070"/>
      <c r="J147" s="2070"/>
      <c r="K147" s="2070"/>
      <c r="L147" s="2070"/>
      <c r="M147" s="2070"/>
      <c r="N147" s="2070"/>
      <c r="O147" s="2070"/>
      <c r="P147" s="2071"/>
      <c r="Q147" s="2072"/>
      <c r="R147" s="2073"/>
      <c r="S147" s="2074"/>
    </row>
    <row r="148" spans="1:24" s="362" customFormat="1" ht="13.5" customHeight="1">
      <c r="A148" s="1216" t="s">
        <v>698</v>
      </c>
      <c r="B148" s="1188"/>
      <c r="C148" s="1188"/>
      <c r="D148" s="1188"/>
      <c r="E148" s="1217"/>
      <c r="F148" s="2070" t="s">
        <v>3703</v>
      </c>
      <c r="G148" s="2070"/>
      <c r="H148" s="2070" t="s">
        <v>3703</v>
      </c>
      <c r="I148" s="2070"/>
      <c r="J148" s="2070"/>
      <c r="K148" s="2070"/>
      <c r="L148" s="2070" t="s">
        <v>3703</v>
      </c>
      <c r="M148" s="2070"/>
      <c r="N148" s="2070"/>
      <c r="O148" s="2070"/>
      <c r="P148" s="2071" t="s">
        <v>2784</v>
      </c>
      <c r="Q148" s="2072"/>
      <c r="R148" s="2073">
        <v>0</v>
      </c>
      <c r="S148" s="2074"/>
    </row>
    <row r="149" spans="1:24" s="362" customFormat="1" ht="13.5" customHeight="1">
      <c r="A149" s="1216" t="s">
        <v>3565</v>
      </c>
      <c r="B149" s="1188"/>
      <c r="C149" s="1188"/>
      <c r="D149" s="1188"/>
      <c r="E149" s="1217"/>
      <c r="F149" s="2070"/>
      <c r="G149" s="2070"/>
      <c r="H149" s="2070"/>
      <c r="I149" s="2070"/>
      <c r="J149" s="2070"/>
      <c r="K149" s="2070"/>
      <c r="L149" s="2070"/>
      <c r="M149" s="2070"/>
      <c r="N149" s="2070"/>
      <c r="O149" s="2070"/>
      <c r="P149" s="2071"/>
      <c r="Q149" s="2072"/>
      <c r="R149" s="2073"/>
      <c r="S149" s="2074"/>
    </row>
    <row r="150" spans="1:24" s="362" customFormat="1" ht="13.5" customHeight="1">
      <c r="A150" s="1216" t="s">
        <v>3566</v>
      </c>
      <c r="B150" s="1188"/>
      <c r="C150" s="1188"/>
      <c r="D150" s="1188"/>
      <c r="E150" s="1217"/>
      <c r="F150" s="2070"/>
      <c r="G150" s="2070"/>
      <c r="H150" s="2070"/>
      <c r="I150" s="2070"/>
      <c r="J150" s="2070"/>
      <c r="K150" s="2070"/>
      <c r="L150" s="2070"/>
      <c r="M150" s="2070"/>
      <c r="N150" s="2070"/>
      <c r="O150" s="2070"/>
      <c r="P150" s="2071"/>
      <c r="Q150" s="2072"/>
      <c r="R150" s="2073"/>
      <c r="S150" s="2074"/>
    </row>
    <row r="151" spans="1:24" s="362" customFormat="1" ht="13.5" customHeight="1">
      <c r="A151" s="1216" t="s">
        <v>3568</v>
      </c>
      <c r="B151" s="1188"/>
      <c r="C151" s="1188"/>
      <c r="D151" s="1188"/>
      <c r="E151" s="1217"/>
      <c r="F151" s="2070"/>
      <c r="G151" s="2070"/>
      <c r="H151" s="2070"/>
      <c r="I151" s="2070"/>
      <c r="J151" s="2070"/>
      <c r="K151" s="2070"/>
      <c r="L151" s="2070"/>
      <c r="M151" s="2070"/>
      <c r="N151" s="2070"/>
      <c r="O151" s="2070"/>
      <c r="P151" s="2071"/>
      <c r="Q151" s="2072"/>
      <c r="R151" s="2073"/>
      <c r="S151" s="2074"/>
    </row>
    <row r="152" spans="1:24" s="362" customFormat="1" ht="13.5" customHeight="1">
      <c r="A152" s="1216" t="s">
        <v>3567</v>
      </c>
      <c r="B152" s="1188"/>
      <c r="C152" s="1188"/>
      <c r="D152" s="1188"/>
      <c r="E152" s="1217"/>
      <c r="F152" s="2070"/>
      <c r="G152" s="2070"/>
      <c r="H152" s="2070"/>
      <c r="I152" s="2070"/>
      <c r="J152" s="2070"/>
      <c r="K152" s="2070"/>
      <c r="L152" s="2070"/>
      <c r="M152" s="2070"/>
      <c r="N152" s="2070"/>
      <c r="O152" s="2070"/>
      <c r="P152" s="2071"/>
      <c r="Q152" s="2072"/>
      <c r="R152" s="2073"/>
      <c r="S152" s="2074"/>
    </row>
    <row r="153" spans="1:24" s="362" customFormat="1" ht="13.5" customHeight="1">
      <c r="A153" s="1216" t="s">
        <v>1635</v>
      </c>
      <c r="B153" s="1188"/>
      <c r="C153" s="1188"/>
      <c r="D153" s="1188"/>
      <c r="E153" s="1217"/>
      <c r="F153" s="2070"/>
      <c r="G153" s="2070"/>
      <c r="H153" s="2070"/>
      <c r="I153" s="2070"/>
      <c r="J153" s="2070"/>
      <c r="K153" s="2070"/>
      <c r="L153" s="2070"/>
      <c r="M153" s="2070"/>
      <c r="N153" s="2070"/>
      <c r="O153" s="2070"/>
      <c r="P153" s="2071"/>
      <c r="Q153" s="2072"/>
      <c r="R153" s="2073"/>
      <c r="S153" s="2074"/>
    </row>
    <row r="154" spans="1:24" s="362" customFormat="1" ht="13.5" customHeight="1">
      <c r="A154" s="1213" t="s">
        <v>3569</v>
      </c>
      <c r="B154" s="1214"/>
      <c r="C154" s="1214"/>
      <c r="D154" s="1214"/>
      <c r="E154" s="1215"/>
      <c r="F154" s="2075" t="s">
        <v>3703</v>
      </c>
      <c r="G154" s="2075"/>
      <c r="H154" s="2075" t="s">
        <v>3703</v>
      </c>
      <c r="I154" s="2075"/>
      <c r="J154" s="2075"/>
      <c r="K154" s="2075"/>
      <c r="L154" s="2075" t="s">
        <v>3703</v>
      </c>
      <c r="M154" s="2075"/>
      <c r="N154" s="2075"/>
      <c r="O154" s="2075"/>
      <c r="P154" s="2076" t="s">
        <v>2784</v>
      </c>
      <c r="Q154" s="2077"/>
      <c r="R154" s="2078">
        <v>0</v>
      </c>
      <c r="S154" s="2079"/>
    </row>
    <row r="155" spans="1:24" s="1142" customFormat="1" ht="13.9" customHeight="1">
      <c r="G155" s="374"/>
      <c r="H155" s="374"/>
      <c r="I155" s="374"/>
      <c r="J155" s="1138"/>
      <c r="K155" s="1138"/>
      <c r="L155" s="1138"/>
      <c r="M155" s="1138"/>
      <c r="P155" s="372"/>
      <c r="Q155" s="389" t="s">
        <v>572</v>
      </c>
      <c r="R155" s="1211">
        <f>SUM(R142:S154)</f>
        <v>1</v>
      </c>
      <c r="S155" s="1212"/>
    </row>
    <row r="156" spans="1:24" s="1142" customFormat="1" ht="12" customHeight="1">
      <c r="G156" s="374"/>
      <c r="H156" s="374"/>
      <c r="I156" s="374"/>
      <c r="J156" s="1138"/>
      <c r="K156" s="1138"/>
      <c r="L156" s="1138"/>
      <c r="M156" s="1138"/>
      <c r="P156" s="372"/>
      <c r="R156" s="363"/>
      <c r="S156" s="413"/>
    </row>
    <row r="157" spans="1:24" ht="12" customHeight="1">
      <c r="A157" s="391" t="s">
        <v>1918</v>
      </c>
      <c r="B157" s="405"/>
      <c r="C157" s="391" t="s">
        <v>608</v>
      </c>
      <c r="N157" s="391" t="s">
        <v>563</v>
      </c>
      <c r="O157" s="391" t="s">
        <v>82</v>
      </c>
    </row>
    <row r="158" spans="1:24" ht="3.6" customHeight="1">
      <c r="B158" s="405"/>
    </row>
    <row r="159" spans="1:24" ht="192.75" customHeight="1">
      <c r="A159" s="1793" t="s">
        <v>3805</v>
      </c>
      <c r="B159" s="1794"/>
      <c r="C159" s="1794"/>
      <c r="D159" s="1794"/>
      <c r="E159" s="1794"/>
      <c r="F159" s="1794"/>
      <c r="G159" s="1794"/>
      <c r="H159" s="1794"/>
      <c r="I159" s="1794"/>
      <c r="J159" s="1794"/>
      <c r="K159" s="1794"/>
      <c r="L159" s="1794"/>
      <c r="M159" s="1795"/>
      <c r="N159" s="1796"/>
      <c r="O159" s="1797"/>
      <c r="P159" s="1797"/>
      <c r="Q159" s="1797"/>
      <c r="R159" s="1797"/>
      <c r="S159" s="1798"/>
      <c r="T159" s="1181" t="s">
        <v>2925</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17"/>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0" t="s">
        <v>1923</v>
      </c>
    </row>
    <row r="165" spans="1:16" s="362" customFormat="1" ht="12" customHeight="1">
      <c r="A165" s="406"/>
      <c r="B165" s="382"/>
      <c r="C165" s="382"/>
      <c r="D165" s="382"/>
      <c r="E165" s="382"/>
      <c r="F165" s="382"/>
      <c r="G165" s="382"/>
      <c r="H165" s="382"/>
      <c r="I165" s="382"/>
      <c r="J165" s="382"/>
      <c r="K165" s="382"/>
      <c r="L165" s="382"/>
      <c r="M165" s="382"/>
      <c r="N165" s="382"/>
      <c r="O165" s="382"/>
      <c r="P165" s="2081" t="s">
        <v>892</v>
      </c>
    </row>
    <row r="166" spans="1:16" s="362" customFormat="1" ht="12" customHeight="1">
      <c r="A166" s="406"/>
      <c r="B166" s="382"/>
      <c r="C166" s="382"/>
      <c r="D166" s="382"/>
      <c r="E166" s="382"/>
      <c r="F166" s="382"/>
      <c r="G166" s="382"/>
      <c r="H166" s="382"/>
      <c r="I166" s="382"/>
      <c r="J166" s="382"/>
      <c r="K166" s="382"/>
      <c r="L166" s="382"/>
      <c r="M166" s="382"/>
      <c r="N166" s="382"/>
      <c r="O166" s="382"/>
      <c r="P166" s="2081" t="s">
        <v>893</v>
      </c>
    </row>
    <row r="167" spans="1:16" s="362" customFormat="1" ht="12" customHeight="1">
      <c r="A167" s="406"/>
      <c r="B167" s="382"/>
      <c r="C167" s="382"/>
      <c r="D167" s="382"/>
      <c r="E167" s="382"/>
      <c r="F167" s="382"/>
      <c r="G167" s="382"/>
      <c r="H167" s="382"/>
      <c r="I167" s="382"/>
      <c r="J167" s="382"/>
      <c r="K167" s="382"/>
      <c r="L167" s="382"/>
      <c r="M167" s="382"/>
      <c r="N167" s="382"/>
      <c r="O167" s="382"/>
      <c r="P167" s="2081" t="s">
        <v>894</v>
      </c>
    </row>
    <row r="168" spans="1:16" s="362" customFormat="1" ht="12" customHeight="1">
      <c r="A168" s="617"/>
      <c r="B168" s="382"/>
      <c r="C168" s="382"/>
      <c r="D168" s="382"/>
      <c r="E168" s="382"/>
      <c r="F168" s="382"/>
      <c r="G168" s="382"/>
      <c r="H168" s="382"/>
      <c r="I168" s="382"/>
      <c r="J168" s="382"/>
      <c r="K168" s="382"/>
      <c r="L168" s="382"/>
      <c r="M168" s="382"/>
      <c r="N168" s="382"/>
      <c r="O168" s="382"/>
      <c r="P168" s="2081" t="s">
        <v>895</v>
      </c>
    </row>
    <row r="169" spans="1:16" s="362" customFormat="1" ht="12" customHeight="1">
      <c r="B169" s="382"/>
      <c r="C169" s="382"/>
      <c r="D169" s="382"/>
      <c r="E169" s="382"/>
      <c r="F169" s="382"/>
      <c r="G169" s="382"/>
      <c r="H169" s="382"/>
      <c r="I169" s="382"/>
      <c r="J169" s="382"/>
      <c r="K169" s="382"/>
      <c r="L169" s="382"/>
      <c r="M169" s="382"/>
      <c r="N169" s="382"/>
      <c r="O169" s="382"/>
      <c r="P169" s="2081" t="s">
        <v>896</v>
      </c>
    </row>
    <row r="170" spans="1:16" s="362" customFormat="1" ht="12" customHeight="1">
      <c r="B170" s="382"/>
      <c r="C170" s="382"/>
      <c r="D170" s="382"/>
      <c r="E170" s="382"/>
      <c r="F170" s="382"/>
      <c r="G170" s="382"/>
      <c r="H170" s="382"/>
      <c r="I170" s="382"/>
      <c r="J170" s="382"/>
      <c r="K170" s="382"/>
      <c r="L170" s="382"/>
      <c r="M170" s="382"/>
      <c r="N170" s="382"/>
      <c r="O170" s="382"/>
      <c r="P170" s="2081" t="s">
        <v>897</v>
      </c>
    </row>
    <row r="171" spans="1:16" s="362" customFormat="1" ht="12" customHeight="1">
      <c r="B171" s="382"/>
      <c r="C171" s="382"/>
      <c r="D171" s="382"/>
      <c r="E171" s="382"/>
      <c r="F171" s="382"/>
      <c r="G171" s="382"/>
      <c r="H171" s="382"/>
      <c r="I171" s="382"/>
      <c r="J171" s="382"/>
      <c r="K171" s="382"/>
      <c r="L171" s="382"/>
      <c r="M171" s="382"/>
      <c r="N171" s="382"/>
      <c r="O171" s="382"/>
      <c r="P171" s="2081" t="s">
        <v>898</v>
      </c>
    </row>
    <row r="172" spans="1:16" s="362" customFormat="1" ht="12" customHeight="1">
      <c r="B172" s="382"/>
      <c r="C172" s="382"/>
      <c r="D172" s="382"/>
      <c r="E172" s="382"/>
      <c r="F172" s="382"/>
      <c r="G172" s="382"/>
      <c r="H172" s="382"/>
      <c r="I172" s="382"/>
      <c r="J172" s="382"/>
      <c r="K172" s="382"/>
      <c r="L172" s="382"/>
      <c r="M172" s="382"/>
      <c r="N172" s="382"/>
      <c r="O172" s="382"/>
      <c r="P172" s="2081" t="s">
        <v>899</v>
      </c>
    </row>
    <row r="173" spans="1:16" ht="12" customHeight="1">
      <c r="P173" s="2081" t="s">
        <v>900</v>
      </c>
    </row>
    <row r="174" spans="1:16" ht="12" customHeight="1">
      <c r="A174" s="391"/>
      <c r="P174" s="2081" t="s">
        <v>901</v>
      </c>
    </row>
    <row r="175" spans="1:16" ht="12" customHeight="1">
      <c r="P175" s="2081" t="s">
        <v>902</v>
      </c>
    </row>
    <row r="176" spans="1:16" ht="12" customHeight="1">
      <c r="P176" s="2081" t="s">
        <v>903</v>
      </c>
    </row>
    <row r="177" spans="16:16" ht="12" customHeight="1">
      <c r="P177" s="2081" t="s">
        <v>904</v>
      </c>
    </row>
    <row r="178" spans="16:16" ht="12" customHeight="1">
      <c r="P178" s="2081" t="s">
        <v>905</v>
      </c>
    </row>
    <row r="179" spans="16:16" ht="12" customHeight="1">
      <c r="P179" s="2081" t="s">
        <v>906</v>
      </c>
    </row>
    <row r="180" spans="16:16" ht="12" customHeight="1">
      <c r="P180" s="2081" t="s">
        <v>907</v>
      </c>
    </row>
    <row r="181" spans="16:16" ht="12" customHeight="1">
      <c r="P181" s="2081" t="s">
        <v>908</v>
      </c>
    </row>
    <row r="182" spans="16:16" ht="12" customHeight="1">
      <c r="P182" s="2081" t="s">
        <v>909</v>
      </c>
    </row>
    <row r="183" spans="16:16" ht="12" customHeight="1">
      <c r="P183" s="2081" t="s">
        <v>910</v>
      </c>
    </row>
    <row r="184" spans="16:16" ht="12" customHeight="1">
      <c r="P184" s="2081" t="s">
        <v>911</v>
      </c>
    </row>
    <row r="185" spans="16:16" ht="12" customHeight="1">
      <c r="P185" s="2081" t="s">
        <v>912</v>
      </c>
    </row>
    <row r="186" spans="16:16" ht="12" customHeight="1">
      <c r="P186" s="2081" t="s">
        <v>913</v>
      </c>
    </row>
    <row r="187" spans="16:16" ht="12" customHeight="1">
      <c r="P187" s="2081" t="s">
        <v>914</v>
      </c>
    </row>
    <row r="188" spans="16:16" ht="12" customHeight="1">
      <c r="P188" s="2081" t="s">
        <v>915</v>
      </c>
    </row>
    <row r="189" spans="16:16" ht="12" customHeight="1">
      <c r="P189" s="2081" t="s">
        <v>916</v>
      </c>
    </row>
    <row r="190" spans="16:16" ht="12" customHeight="1">
      <c r="P190" s="2081" t="s">
        <v>1428</v>
      </c>
    </row>
    <row r="191" spans="16:16" ht="12" customHeight="1">
      <c r="P191" s="2081" t="s">
        <v>1429</v>
      </c>
    </row>
    <row r="192" spans="16:16" ht="12" customHeight="1">
      <c r="P192" s="2081" t="s">
        <v>1430</v>
      </c>
    </row>
    <row r="193" spans="16:16" ht="12" customHeight="1">
      <c r="P193" s="2081" t="s">
        <v>1431</v>
      </c>
    </row>
    <row r="194" spans="16:16" ht="12" customHeight="1">
      <c r="P194" s="2081" t="s">
        <v>1432</v>
      </c>
    </row>
    <row r="195" spans="16:16" ht="13.5">
      <c r="P195" s="2081" t="s">
        <v>1433</v>
      </c>
    </row>
    <row r="196" spans="16:16" ht="12" customHeight="1">
      <c r="P196" s="2081" t="s">
        <v>1434</v>
      </c>
    </row>
    <row r="197" spans="16:16" ht="12" customHeight="1">
      <c r="P197" s="2081" t="s">
        <v>1435</v>
      </c>
    </row>
    <row r="198" spans="16:16" ht="12" customHeight="1">
      <c r="P198" s="2081" t="s">
        <v>1436</v>
      </c>
    </row>
    <row r="199" spans="16:16" ht="12" customHeight="1">
      <c r="P199" s="2081" t="s">
        <v>1437</v>
      </c>
    </row>
    <row r="200" spans="16:16" ht="12" customHeight="1">
      <c r="P200" s="2081" t="s">
        <v>1438</v>
      </c>
    </row>
    <row r="201" spans="16:16" ht="12" customHeight="1">
      <c r="P201" s="2081" t="s">
        <v>1439</v>
      </c>
    </row>
    <row r="202" spans="16:16" ht="12" customHeight="1">
      <c r="P202" s="2081" t="s">
        <v>1440</v>
      </c>
    </row>
    <row r="203" spans="16:16" ht="12" customHeight="1">
      <c r="P203" s="2081" t="s">
        <v>1441</v>
      </c>
    </row>
    <row r="204" spans="16:16" ht="12" customHeight="1">
      <c r="P204" s="2081" t="s">
        <v>1442</v>
      </c>
    </row>
    <row r="205" spans="16:16" ht="12" customHeight="1">
      <c r="P205" s="2081" t="s">
        <v>1443</v>
      </c>
    </row>
    <row r="206" spans="16:16" ht="12" customHeight="1">
      <c r="P206" s="2081" t="s">
        <v>1444</v>
      </c>
    </row>
    <row r="207" spans="16:16" ht="12" customHeight="1">
      <c r="P207" s="2081" t="s">
        <v>1445</v>
      </c>
    </row>
    <row r="208" spans="16:16" ht="12" customHeight="1">
      <c r="P208" s="2081" t="s">
        <v>1446</v>
      </c>
    </row>
    <row r="209" spans="16:16" ht="12" customHeight="1">
      <c r="P209" s="2081" t="s">
        <v>1447</v>
      </c>
    </row>
    <row r="210" spans="16:16" ht="12" customHeight="1">
      <c r="P210" s="2081" t="s">
        <v>1448</v>
      </c>
    </row>
    <row r="211" spans="16:16" ht="12" customHeight="1">
      <c r="P211" s="2081" t="s">
        <v>1449</v>
      </c>
    </row>
    <row r="212" spans="16:16" ht="12" customHeight="1">
      <c r="P212" s="2081" t="s">
        <v>1450</v>
      </c>
    </row>
    <row r="213" spans="16:16" ht="12" customHeight="1">
      <c r="P213" s="2081" t="s">
        <v>1451</v>
      </c>
    </row>
    <row r="214" spans="16:16" ht="12" customHeight="1">
      <c r="P214" s="2081" t="s">
        <v>1452</v>
      </c>
    </row>
    <row r="215" spans="16:16" ht="12" customHeight="1">
      <c r="P215" s="2081" t="s">
        <v>1453</v>
      </c>
    </row>
  </sheetData>
  <sheetProtection password="B388"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10" zoomScaleNormal="100" zoomScaleSheetLayoutView="90" workbookViewId="0">
      <selection activeCell="A10"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3" t="str">
        <f>CONCATENATE("PART THREE - SOURCES OF FUNDS","  -  ",'Part I-Project Information'!$O$4," ",'Part I-Project Information'!$F$23,", ",'Part I-Project Information'!$F$27,", ",'Part I-Project Information'!$J$28," County")</f>
        <v>PART THREE - SOURCES OF FUNDS  -  2014-055 Trinity Walk Phase I, Decatur, DeKalb County</v>
      </c>
      <c r="B1" s="1234"/>
      <c r="C1" s="1234"/>
      <c r="D1" s="1234"/>
      <c r="E1" s="1234"/>
      <c r="F1" s="1234"/>
      <c r="G1" s="1234"/>
      <c r="H1" s="1234"/>
      <c r="I1" s="1234"/>
      <c r="J1" s="1234"/>
      <c r="K1" s="1234"/>
      <c r="L1" s="1234"/>
      <c r="M1" s="1234"/>
      <c r="N1" s="1234"/>
      <c r="O1" s="1234"/>
      <c r="P1" s="1234"/>
      <c r="Q1" s="1235"/>
      <c r="S1" s="1254" t="str">
        <f>$A$1</f>
        <v>PART THREE - SOURCES OF FUNDS  -  2014-055 Trinity Walk Phase I, Decatur, DeKalb County</v>
      </c>
      <c r="T1" s="1254"/>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657</v>
      </c>
      <c r="B3" s="385" t="s">
        <v>2661</v>
      </c>
      <c r="C3" s="362"/>
      <c r="D3" s="1142"/>
      <c r="E3" s="1142"/>
      <c r="F3" s="1142"/>
      <c r="G3" s="1142"/>
      <c r="J3" s="1142"/>
      <c r="M3" s="1142"/>
      <c r="N3" s="1142"/>
      <c r="S3" s="415" t="str">
        <f>B3</f>
        <v>GOVERNMENT FUNDING SOURCES  (check all that apply)</v>
      </c>
    </row>
    <row r="4" spans="1:20" s="330" customFormat="1" ht="15.75" customHeight="1">
      <c r="A4" s="391"/>
      <c r="B4" s="617"/>
      <c r="C4" s="385"/>
      <c r="D4" s="1142"/>
      <c r="E4" s="1142"/>
      <c r="F4" s="1142"/>
      <c r="G4" s="1142"/>
      <c r="H4" s="1961" t="s">
        <v>3703</v>
      </c>
      <c r="I4" s="1132" t="s">
        <v>3233</v>
      </c>
      <c r="J4" s="362"/>
      <c r="P4" s="2082"/>
      <c r="Q4" s="2083"/>
      <c r="S4" s="1255" t="s">
        <v>2893</v>
      </c>
      <c r="T4" s="1255"/>
    </row>
    <row r="5" spans="1:20" s="330" customFormat="1" ht="15.75" customHeight="1">
      <c r="A5" s="617"/>
      <c r="B5" s="1961" t="s">
        <v>3702</v>
      </c>
      <c r="C5" s="1132" t="s">
        <v>2575</v>
      </c>
      <c r="D5" s="362"/>
      <c r="E5" s="1961" t="s">
        <v>3703</v>
      </c>
      <c r="F5" s="1132" t="s">
        <v>584</v>
      </c>
      <c r="H5" s="1961" t="s">
        <v>3703</v>
      </c>
      <c r="I5" s="362" t="s">
        <v>2795</v>
      </c>
      <c r="M5" s="1961" t="s">
        <v>3703</v>
      </c>
      <c r="N5" s="1132" t="s">
        <v>582</v>
      </c>
      <c r="S5" s="2084"/>
      <c r="T5" s="2085"/>
    </row>
    <row r="6" spans="1:20" s="330" customFormat="1" ht="15.75" customHeight="1">
      <c r="A6" s="617"/>
      <c r="B6" s="1961" t="s">
        <v>3703</v>
      </c>
      <c r="C6" s="1132" t="s">
        <v>1928</v>
      </c>
      <c r="D6" s="362"/>
      <c r="E6" s="1961" t="s">
        <v>3703</v>
      </c>
      <c r="F6" s="362" t="s">
        <v>2793</v>
      </c>
      <c r="H6" s="1961" t="s">
        <v>3703</v>
      </c>
      <c r="I6" s="368" t="s">
        <v>3251</v>
      </c>
      <c r="J6" s="1132"/>
      <c r="K6" s="355"/>
      <c r="L6" s="355"/>
      <c r="M6" s="1961" t="s">
        <v>3702</v>
      </c>
      <c r="N6" s="368" t="s">
        <v>2794</v>
      </c>
      <c r="Q6" s="651"/>
      <c r="S6" s="2086"/>
      <c r="T6" s="2087"/>
    </row>
    <row r="7" spans="1:20" s="330" customFormat="1" ht="15.75" customHeight="1">
      <c r="A7" s="362"/>
      <c r="B7" s="1961" t="s">
        <v>3703</v>
      </c>
      <c r="C7" s="1132" t="s">
        <v>1929</v>
      </c>
      <c r="E7" s="1961" t="s">
        <v>3703</v>
      </c>
      <c r="F7" s="1131" t="s">
        <v>2343</v>
      </c>
      <c r="G7" s="362"/>
      <c r="H7" s="1961" t="s">
        <v>3703</v>
      </c>
      <c r="I7" s="1132" t="s">
        <v>1644</v>
      </c>
      <c r="J7" s="355"/>
      <c r="M7" s="1961" t="s">
        <v>3703</v>
      </c>
      <c r="N7" s="368" t="s">
        <v>3232</v>
      </c>
      <c r="P7" s="2088"/>
      <c r="Q7" s="2089"/>
      <c r="S7" s="2086"/>
      <c r="T7" s="2087"/>
    </row>
    <row r="8" spans="1:20" s="330" customFormat="1" ht="15.75" customHeight="1">
      <c r="A8" s="617"/>
      <c r="B8" s="1961" t="s">
        <v>3703</v>
      </c>
      <c r="C8" s="1142" t="s">
        <v>2785</v>
      </c>
      <c r="D8" s="362"/>
      <c r="E8" s="1961" t="s">
        <v>3703</v>
      </c>
      <c r="F8" s="387" t="s">
        <v>2786</v>
      </c>
      <c r="H8" s="1961" t="s">
        <v>3703</v>
      </c>
      <c r="I8" s="1132" t="s">
        <v>583</v>
      </c>
      <c r="J8" s="355"/>
      <c r="K8" s="368"/>
      <c r="L8" s="1137"/>
      <c r="M8" s="1961" t="s">
        <v>3703</v>
      </c>
      <c r="N8" s="1947" t="s">
        <v>2274</v>
      </c>
      <c r="O8" s="1948"/>
      <c r="P8" s="1948"/>
      <c r="Q8" s="1949"/>
      <c r="S8" s="2090"/>
      <c r="T8" s="2091"/>
    </row>
    <row r="9" spans="1:20" s="330" customFormat="1" ht="16.899999999999999" customHeight="1">
      <c r="A9" s="617"/>
      <c r="B9" s="330" t="s">
        <v>3147</v>
      </c>
      <c r="C9" s="362"/>
      <c r="D9" s="362"/>
      <c r="E9" s="362"/>
      <c r="F9" s="362"/>
      <c r="G9" s="362"/>
      <c r="H9" s="362"/>
      <c r="I9" s="362"/>
      <c r="J9" s="362"/>
      <c r="K9" s="362"/>
      <c r="L9" s="362"/>
      <c r="M9" s="387"/>
      <c r="N9" s="362"/>
      <c r="O9" s="362"/>
      <c r="P9" s="362"/>
      <c r="Q9" s="362"/>
    </row>
    <row r="10" spans="1:20" s="330" customFormat="1" ht="17.45" customHeight="1">
      <c r="A10" s="617"/>
      <c r="L10" s="362"/>
      <c r="M10" s="387"/>
      <c r="N10" s="362"/>
      <c r="O10" s="362"/>
      <c r="P10" s="362"/>
      <c r="Q10" s="362"/>
    </row>
    <row r="11" spans="1:20" s="415" customFormat="1" ht="15" customHeight="1">
      <c r="A11" s="365" t="s">
        <v>790</v>
      </c>
      <c r="B11" s="329" t="s">
        <v>2498</v>
      </c>
      <c r="C11" s="362"/>
      <c r="D11" s="1142"/>
      <c r="E11" s="362"/>
      <c r="F11" s="362"/>
      <c r="G11" s="362"/>
      <c r="H11" s="330"/>
      <c r="I11" s="330"/>
      <c r="J11" s="365"/>
      <c r="K11" s="362"/>
      <c r="L11" s="362"/>
      <c r="M11" s="1142"/>
      <c r="N11" s="1183"/>
      <c r="O11" s="1183"/>
      <c r="P11" s="362"/>
      <c r="Q11" s="362"/>
      <c r="S11" s="415" t="str">
        <f>B11</f>
        <v>CONSTRUCTION FINANCING</v>
      </c>
    </row>
    <row r="12" spans="1:20" s="415" customFormat="1" ht="13.9" customHeight="1">
      <c r="A12" s="365"/>
      <c r="B12" s="329"/>
      <c r="C12" s="362"/>
      <c r="K12" s="362"/>
      <c r="L12" s="362"/>
      <c r="M12" s="1142"/>
      <c r="N12" s="1135"/>
      <c r="O12" s="1135"/>
      <c r="P12" s="362"/>
      <c r="Q12" s="362"/>
    </row>
    <row r="13" spans="1:20" s="330" customFormat="1" ht="16.899999999999999" customHeight="1">
      <c r="A13" s="362"/>
      <c r="B13" s="1132" t="s">
        <v>2002</v>
      </c>
      <c r="C13" s="362"/>
      <c r="D13" s="362"/>
      <c r="E13" s="362"/>
      <c r="F13" s="362"/>
      <c r="G13" s="362"/>
      <c r="H13" s="1214" t="s">
        <v>1383</v>
      </c>
      <c r="I13" s="1214"/>
      <c r="J13" s="1214"/>
      <c r="K13" s="1214"/>
      <c r="L13" s="1195" t="s">
        <v>2127</v>
      </c>
      <c r="M13" s="1195"/>
      <c r="N13" s="1195" t="s">
        <v>1613</v>
      </c>
      <c r="O13" s="1195"/>
      <c r="P13" s="1195" t="s">
        <v>1741</v>
      </c>
      <c r="Q13" s="1195"/>
      <c r="S13" s="1255" t="s">
        <v>2893</v>
      </c>
      <c r="T13" s="1255"/>
    </row>
    <row r="14" spans="1:20" s="330" customFormat="1" ht="16.899999999999999" customHeight="1">
      <c r="A14" s="362"/>
      <c r="B14" s="1258" t="s">
        <v>1699</v>
      </c>
      <c r="C14" s="1259"/>
      <c r="D14" s="1259"/>
      <c r="E14" s="1143"/>
      <c r="F14" s="1143"/>
      <c r="G14" s="1143"/>
      <c r="H14" s="1947" t="s">
        <v>3845</v>
      </c>
      <c r="I14" s="1948"/>
      <c r="J14" s="1948"/>
      <c r="K14" s="1949"/>
      <c r="L14" s="2092">
        <v>7100000</v>
      </c>
      <c r="M14" s="2093"/>
      <c r="N14" s="2094">
        <v>0.04</v>
      </c>
      <c r="O14" s="2095"/>
      <c r="P14" s="2096">
        <v>30</v>
      </c>
      <c r="Q14" s="2097"/>
      <c r="S14" s="2084"/>
      <c r="T14" s="2085"/>
    </row>
    <row r="15" spans="1:20" s="330" customFormat="1" ht="16.899999999999999" customHeight="1">
      <c r="A15" s="362"/>
      <c r="B15" s="1256" t="s">
        <v>1700</v>
      </c>
      <c r="C15" s="1257"/>
      <c r="D15" s="1257"/>
      <c r="E15" s="1142"/>
      <c r="F15" s="1142"/>
      <c r="G15" s="1142"/>
      <c r="H15" s="1947" t="s">
        <v>3773</v>
      </c>
      <c r="I15" s="1948"/>
      <c r="J15" s="1948"/>
      <c r="K15" s="1949"/>
      <c r="L15" s="2092">
        <v>434441</v>
      </c>
      <c r="M15" s="2093"/>
      <c r="N15" s="2094">
        <v>3.2000000000000001E-2</v>
      </c>
      <c r="O15" s="2095"/>
      <c r="P15" s="2098">
        <v>30</v>
      </c>
      <c r="Q15" s="2099"/>
      <c r="S15" s="2086"/>
      <c r="T15" s="2087"/>
    </row>
    <row r="16" spans="1:20" s="330" customFormat="1" ht="16.899999999999999" customHeight="1">
      <c r="A16" s="362"/>
      <c r="B16" s="1262" t="s">
        <v>1701</v>
      </c>
      <c r="C16" s="1263"/>
      <c r="D16" s="1263"/>
      <c r="E16" s="1147"/>
      <c r="F16" s="1147"/>
      <c r="G16" s="1147"/>
      <c r="H16" s="1947"/>
      <c r="I16" s="1948"/>
      <c r="J16" s="1948"/>
      <c r="K16" s="1949"/>
      <c r="L16" s="2092"/>
      <c r="M16" s="2093"/>
      <c r="N16" s="2094"/>
      <c r="O16" s="2095"/>
      <c r="P16" s="2098"/>
      <c r="Q16" s="2099"/>
      <c r="S16" s="2086"/>
      <c r="T16" s="2087"/>
    </row>
    <row r="17" spans="1:20" s="330" customFormat="1" ht="16.899999999999999" customHeight="1">
      <c r="A17" s="362"/>
      <c r="B17" s="1258" t="s">
        <v>2361</v>
      </c>
      <c r="C17" s="1259"/>
      <c r="D17" s="1259"/>
      <c r="E17" s="1142"/>
      <c r="F17" s="1142"/>
      <c r="G17" s="1142"/>
      <c r="H17" s="1947"/>
      <c r="I17" s="1948"/>
      <c r="J17" s="1948"/>
      <c r="K17" s="1949"/>
      <c r="L17" s="2092"/>
      <c r="M17" s="2093"/>
      <c r="N17" s="1260"/>
      <c r="O17" s="1261"/>
      <c r="P17" s="1240"/>
      <c r="Q17" s="1240"/>
      <c r="S17" s="2086"/>
      <c r="T17" s="2087"/>
    </row>
    <row r="18" spans="1:20" s="330" customFormat="1" ht="16.899999999999999" customHeight="1">
      <c r="A18" s="362"/>
      <c r="B18" s="1256" t="s">
        <v>855</v>
      </c>
      <c r="C18" s="1257"/>
      <c r="D18" s="1257"/>
      <c r="E18" s="1142"/>
      <c r="H18" s="1947"/>
      <c r="I18" s="1948"/>
      <c r="J18" s="1948"/>
      <c r="K18" s="1949"/>
      <c r="L18" s="2092"/>
      <c r="M18" s="2093"/>
      <c r="N18" s="1260"/>
      <c r="O18" s="1261"/>
      <c r="P18" s="1240"/>
      <c r="Q18" s="1240"/>
      <c r="S18" s="2086"/>
      <c r="T18" s="2087"/>
    </row>
    <row r="19" spans="1:20" s="330" customFormat="1" ht="16.899999999999999" customHeight="1">
      <c r="A19" s="362"/>
      <c r="B19" s="1256" t="s">
        <v>682</v>
      </c>
      <c r="C19" s="1257"/>
      <c r="D19" s="1257"/>
      <c r="E19" s="1142"/>
      <c r="H19" s="1947"/>
      <c r="I19" s="1948"/>
      <c r="J19" s="1948"/>
      <c r="K19" s="1949"/>
      <c r="L19" s="2092"/>
      <c r="M19" s="2093"/>
      <c r="N19" s="1260"/>
      <c r="O19" s="1261"/>
      <c r="P19" s="1240"/>
      <c r="Q19" s="1240"/>
      <c r="S19" s="2086"/>
      <c r="T19" s="2087"/>
    </row>
    <row r="20" spans="1:20" s="330" customFormat="1" ht="16.899999999999999" customHeight="1">
      <c r="A20" s="362"/>
      <c r="B20" s="1256" t="s">
        <v>856</v>
      </c>
      <c r="C20" s="1257"/>
      <c r="D20" s="1257"/>
      <c r="E20" s="1142"/>
      <c r="H20" s="1947" t="s">
        <v>3746</v>
      </c>
      <c r="I20" s="1948"/>
      <c r="J20" s="1948"/>
      <c r="K20" s="1949"/>
      <c r="L20" s="2092">
        <v>2710004</v>
      </c>
      <c r="M20" s="2093"/>
      <c r="N20" s="362"/>
      <c r="O20" s="362"/>
      <c r="P20" s="362"/>
      <c r="Q20" s="362"/>
      <c r="S20" s="2090"/>
      <c r="T20" s="2091"/>
    </row>
    <row r="21" spans="1:20" s="330" customFormat="1" ht="16.899999999999999" customHeight="1">
      <c r="A21" s="362"/>
      <c r="B21" s="1256" t="s">
        <v>857</v>
      </c>
      <c r="C21" s="1257"/>
      <c r="D21" s="1257"/>
      <c r="E21" s="1142"/>
      <c r="H21" s="1947" t="s">
        <v>3745</v>
      </c>
      <c r="I21" s="1948"/>
      <c r="J21" s="1948"/>
      <c r="K21" s="1949"/>
      <c r="L21" s="2092">
        <v>949568</v>
      </c>
      <c r="M21" s="2093"/>
      <c r="N21" s="362"/>
      <c r="O21" s="362"/>
      <c r="P21" s="362"/>
      <c r="Q21" s="362"/>
      <c r="S21" s="2084"/>
      <c r="T21" s="2085"/>
    </row>
    <row r="22" spans="1:20" s="330" customFormat="1" ht="16.899999999999999" customHeight="1">
      <c r="A22" s="362"/>
      <c r="B22" s="1141" t="s">
        <v>255</v>
      </c>
      <c r="C22" s="1142"/>
      <c r="D22" s="2100"/>
      <c r="E22" s="2100"/>
      <c r="F22" s="2100"/>
      <c r="G22" s="2100"/>
      <c r="H22" s="1947"/>
      <c r="I22" s="1948"/>
      <c r="J22" s="1948"/>
      <c r="K22" s="1949"/>
      <c r="L22" s="2092"/>
      <c r="M22" s="2093"/>
      <c r="N22" s="362"/>
      <c r="O22" s="362"/>
      <c r="P22" s="362"/>
      <c r="Q22" s="362"/>
      <c r="S22" s="2086"/>
      <c r="T22" s="2087"/>
    </row>
    <row r="23" spans="1:20" s="330" customFormat="1" ht="16.899999999999999" customHeight="1">
      <c r="A23" s="362"/>
      <c r="B23" s="1141" t="s">
        <v>255</v>
      </c>
      <c r="C23" s="1142"/>
      <c r="D23" s="2100"/>
      <c r="E23" s="2100"/>
      <c r="F23" s="2100"/>
      <c r="G23" s="2100"/>
      <c r="H23" s="1947"/>
      <c r="I23" s="1948"/>
      <c r="J23" s="1948"/>
      <c r="K23" s="1949"/>
      <c r="L23" s="2092"/>
      <c r="M23" s="2093"/>
      <c r="N23" s="362"/>
      <c r="O23" s="362"/>
      <c r="P23" s="362"/>
      <c r="Q23" s="362"/>
      <c r="S23" s="2086"/>
      <c r="T23" s="2087"/>
    </row>
    <row r="24" spans="1:20" s="330" customFormat="1" ht="16.899999999999999" customHeight="1">
      <c r="A24" s="362"/>
      <c r="B24" s="1146" t="s">
        <v>255</v>
      </c>
      <c r="C24" s="1147"/>
      <c r="D24" s="2100"/>
      <c r="E24" s="2100"/>
      <c r="F24" s="2100"/>
      <c r="G24" s="2100"/>
      <c r="H24" s="1947"/>
      <c r="I24" s="1948"/>
      <c r="J24" s="1948"/>
      <c r="K24" s="1949"/>
      <c r="L24" s="2092"/>
      <c r="M24" s="2093"/>
      <c r="N24" s="362"/>
      <c r="O24" s="362"/>
      <c r="P24" s="362"/>
      <c r="Q24" s="362"/>
      <c r="S24" s="2086"/>
      <c r="T24" s="2087"/>
    </row>
    <row r="25" spans="1:20" s="330" customFormat="1" ht="16.899999999999999" customHeight="1">
      <c r="A25" s="362"/>
      <c r="B25" s="329" t="s">
        <v>1384</v>
      </c>
      <c r="C25" s="362"/>
      <c r="D25" s="362"/>
      <c r="E25" s="362"/>
      <c r="F25" s="362"/>
      <c r="G25" s="362"/>
      <c r="H25" s="362"/>
      <c r="I25" s="362"/>
      <c r="L25" s="1277">
        <f>SUM(L14:L24)</f>
        <v>11194013</v>
      </c>
      <c r="M25" s="1278"/>
      <c r="N25" s="382"/>
      <c r="O25" s="382"/>
      <c r="P25" s="382"/>
      <c r="Q25" s="382"/>
      <c r="S25" s="2086"/>
      <c r="T25" s="2087"/>
    </row>
    <row r="26" spans="1:20" s="330" customFormat="1" ht="16.899999999999999" customHeight="1">
      <c r="A26" s="362"/>
      <c r="B26" s="1132" t="s">
        <v>1385</v>
      </c>
      <c r="C26" s="362"/>
      <c r="D26" s="362"/>
      <c r="E26" s="362"/>
      <c r="F26" s="362"/>
      <c r="G26" s="362"/>
      <c r="H26" s="362"/>
      <c r="I26" s="362"/>
      <c r="L26" s="210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8493591</v>
      </c>
      <c r="M26" s="2102"/>
      <c r="N26" s="1275"/>
      <c r="O26" s="1276"/>
      <c r="P26" s="1276"/>
      <c r="Q26" s="1276"/>
      <c r="S26" s="2086"/>
      <c r="T26" s="2087"/>
    </row>
    <row r="27" spans="1:20" s="330" customFormat="1" ht="16.899999999999999" customHeight="1">
      <c r="A27" s="362"/>
      <c r="B27" s="368" t="s">
        <v>2297</v>
      </c>
      <c r="C27" s="362"/>
      <c r="D27" s="362"/>
      <c r="E27" s="362"/>
      <c r="F27" s="362"/>
      <c r="G27" s="362"/>
      <c r="H27" s="362"/>
      <c r="I27" s="362"/>
      <c r="L27" s="1279">
        <f>L25-L26</f>
        <v>2700422</v>
      </c>
      <c r="M27" s="1280"/>
      <c r="N27" s="1275"/>
      <c r="O27" s="1276"/>
      <c r="P27" s="1276"/>
      <c r="Q27" s="1276"/>
      <c r="S27" s="2090"/>
      <c r="T27" s="2091"/>
    </row>
    <row r="28" spans="1:20" ht="9.6" customHeight="1">
      <c r="A28" s="391"/>
      <c r="B28" s="329"/>
      <c r="C28" s="382"/>
      <c r="D28" s="382"/>
      <c r="E28" s="382"/>
      <c r="F28" s="382"/>
      <c r="G28" s="382"/>
      <c r="H28" s="382"/>
      <c r="I28" s="382"/>
      <c r="J28" s="382"/>
      <c r="K28" s="382"/>
      <c r="L28" s="382"/>
      <c r="M28" s="1138"/>
      <c r="N28" s="1138"/>
      <c r="O28" s="382"/>
      <c r="P28" s="365"/>
      <c r="Q28" s="365"/>
    </row>
    <row r="29" spans="1:20" ht="9.6" customHeight="1">
      <c r="A29" s="365" t="s">
        <v>792</v>
      </c>
      <c r="B29" s="329" t="s">
        <v>854</v>
      </c>
      <c r="C29" s="382"/>
      <c r="D29" s="382"/>
      <c r="E29" s="382"/>
      <c r="F29" s="382"/>
      <c r="G29" s="382"/>
      <c r="H29" s="382"/>
      <c r="I29" s="382"/>
      <c r="J29" s="382"/>
      <c r="K29" s="382"/>
      <c r="L29" s="382"/>
      <c r="M29" s="1138"/>
      <c r="N29" s="1138"/>
      <c r="O29" s="382"/>
      <c r="P29" s="365"/>
      <c r="Q29" s="365"/>
      <c r="S29" s="415" t="str">
        <f>B29</f>
        <v>PERMANENT FINANCING</v>
      </c>
    </row>
    <row r="30" spans="1:20" s="330" customFormat="1" ht="13.15" customHeight="1">
      <c r="A30" s="362"/>
      <c r="B30" s="362"/>
      <c r="C30" s="362"/>
      <c r="D30" s="362"/>
      <c r="E30" s="362"/>
      <c r="F30" s="1138"/>
      <c r="G30" s="1138"/>
      <c r="H30" s="1240"/>
      <c r="I30" s="1240"/>
      <c r="J30" s="442" t="s">
        <v>2238</v>
      </c>
      <c r="K30" s="1138" t="s">
        <v>1381</v>
      </c>
      <c r="L30" s="1138" t="s">
        <v>1386</v>
      </c>
      <c r="M30" s="1190" t="s">
        <v>36</v>
      </c>
      <c r="N30" s="1190"/>
      <c r="O30" s="1135"/>
      <c r="P30" s="1138"/>
      <c r="Q30" s="1271" t="s">
        <v>2495</v>
      </c>
      <c r="S30" s="415"/>
    </row>
    <row r="31" spans="1:20" s="330" customFormat="1" ht="13.15" customHeight="1">
      <c r="A31" s="362"/>
      <c r="B31" s="1139" t="s">
        <v>2002</v>
      </c>
      <c r="C31" s="1147"/>
      <c r="D31" s="1147"/>
      <c r="E31" s="1257" t="s">
        <v>1383</v>
      </c>
      <c r="F31" s="1257"/>
      <c r="G31" s="1257"/>
      <c r="H31" s="1195" t="s">
        <v>519</v>
      </c>
      <c r="I31" s="1195"/>
      <c r="J31" s="1134" t="s">
        <v>1933</v>
      </c>
      <c r="K31" s="1134" t="s">
        <v>2360</v>
      </c>
      <c r="L31" s="1134" t="s">
        <v>2360</v>
      </c>
      <c r="M31" s="2103"/>
      <c r="N31" s="2103"/>
      <c r="O31" s="1195" t="s">
        <v>77</v>
      </c>
      <c r="P31" s="1195"/>
      <c r="Q31" s="1272"/>
      <c r="S31" s="1255" t="s">
        <v>2893</v>
      </c>
      <c r="T31" s="1255"/>
    </row>
    <row r="32" spans="1:20" s="330" customFormat="1" ht="13.15" customHeight="1">
      <c r="A32" s="362"/>
      <c r="B32" s="1258" t="s">
        <v>2799</v>
      </c>
      <c r="C32" s="1259"/>
      <c r="D32" s="1259"/>
      <c r="E32" s="1971" t="s">
        <v>3773</v>
      </c>
      <c r="F32" s="2104"/>
      <c r="G32" s="2105"/>
      <c r="H32" s="2106">
        <v>1150000</v>
      </c>
      <c r="I32" s="2107"/>
      <c r="J32" s="2108">
        <v>3.2000000000000001E-2</v>
      </c>
      <c r="K32" s="1961">
        <v>20</v>
      </c>
      <c r="L32" s="1961">
        <v>20</v>
      </c>
      <c r="M32" s="2109">
        <v>77923</v>
      </c>
      <c r="N32" s="2110"/>
      <c r="O32" s="1943" t="s">
        <v>3748</v>
      </c>
      <c r="P32" s="1944"/>
      <c r="Q32" s="2111">
        <v>2</v>
      </c>
      <c r="S32" s="2084"/>
      <c r="T32" s="2085"/>
    </row>
    <row r="33" spans="1:20" s="330" customFormat="1" ht="13.15" customHeight="1">
      <c r="A33" s="362"/>
      <c r="B33" s="1256" t="s">
        <v>2800</v>
      </c>
      <c r="C33" s="1257"/>
      <c r="D33" s="1257"/>
      <c r="E33" s="1952"/>
      <c r="F33" s="2112"/>
      <c r="G33" s="2113"/>
      <c r="H33" s="2114"/>
      <c r="I33" s="2107"/>
      <c r="J33" s="2108"/>
      <c r="K33" s="1961"/>
      <c r="L33" s="1961"/>
      <c r="M33" s="2109" t="str">
        <f t="shared" ref="M33:M37" si="0">IF(OR(H33&lt;=0,H33=""),"",IF(O33="Amortizing",-PMT(J33/12,L33*12,H33,0,0)*12,""))</f>
        <v/>
      </c>
      <c r="N33" s="2110"/>
      <c r="O33" s="1943"/>
      <c r="P33" s="1944"/>
      <c r="Q33" s="2111"/>
      <c r="S33" s="2086"/>
      <c r="T33" s="2087"/>
    </row>
    <row r="34" spans="1:20" s="330" customFormat="1" ht="13.15" customHeight="1">
      <c r="A34" s="362"/>
      <c r="B34" s="1256" t="s">
        <v>2801</v>
      </c>
      <c r="C34" s="1257"/>
      <c r="D34" s="1257"/>
      <c r="E34" s="1947"/>
      <c r="F34" s="2115"/>
      <c r="G34" s="2107"/>
      <c r="H34" s="2114"/>
      <c r="I34" s="2107"/>
      <c r="J34" s="2108"/>
      <c r="K34" s="1961"/>
      <c r="L34" s="1961"/>
      <c r="M34" s="2109" t="str">
        <f t="shared" si="0"/>
        <v/>
      </c>
      <c r="N34" s="2110"/>
      <c r="O34" s="1943"/>
      <c r="P34" s="1944"/>
      <c r="Q34" s="2111"/>
      <c r="S34" s="2086"/>
      <c r="T34" s="2087"/>
    </row>
    <row r="35" spans="1:20" s="330" customFormat="1" ht="13.15" customHeight="1">
      <c r="A35" s="362"/>
      <c r="B35" s="1141" t="s">
        <v>791</v>
      </c>
      <c r="C35" s="1971"/>
      <c r="D35" s="1973"/>
      <c r="E35" s="1947"/>
      <c r="F35" s="2115"/>
      <c r="G35" s="2107"/>
      <c r="H35" s="2114"/>
      <c r="I35" s="2107"/>
      <c r="J35" s="2108"/>
      <c r="K35" s="1961"/>
      <c r="L35" s="1961"/>
      <c r="M35" s="2109" t="str">
        <f t="shared" si="0"/>
        <v/>
      </c>
      <c r="N35" s="2110"/>
      <c r="O35" s="1943"/>
      <c r="P35" s="1944"/>
      <c r="Q35" s="2111"/>
      <c r="S35" s="2086"/>
      <c r="T35" s="2087"/>
    </row>
    <row r="36" spans="1:20" s="330" customFormat="1" ht="13.15" customHeight="1">
      <c r="A36" s="362"/>
      <c r="B36" s="1141" t="s">
        <v>3023</v>
      </c>
      <c r="C36" s="1142"/>
      <c r="D36" s="1144"/>
      <c r="E36" s="1947" t="s">
        <v>3747</v>
      </c>
      <c r="F36" s="2115"/>
      <c r="G36" s="2107"/>
      <c r="H36" s="2114">
        <v>0</v>
      </c>
      <c r="I36" s="2107"/>
      <c r="J36" s="587"/>
      <c r="K36" s="1140"/>
      <c r="L36" s="1140"/>
      <c r="M36" s="1287" t="str">
        <f t="shared" si="0"/>
        <v/>
      </c>
      <c r="N36" s="1287"/>
      <c r="O36" s="1286"/>
      <c r="P36" s="1286"/>
      <c r="Q36" s="588"/>
      <c r="S36" s="2086"/>
      <c r="T36" s="2087"/>
    </row>
    <row r="37" spans="1:20" s="330" customFormat="1" ht="13.15" customHeight="1">
      <c r="A37" s="362"/>
      <c r="B37" s="1146" t="s">
        <v>239</v>
      </c>
      <c r="C37" s="1147"/>
      <c r="D37" s="443">
        <f>IF(OR(H37="",H37=0,'Part IV-Uses of Funds'!$G$116="",'Part IV-Uses of Funds'!$G$116=0),"",H37/'Part IV-Uses of Funds'!$G$116)</f>
        <v>0.25939382264462846</v>
      </c>
      <c r="E37" s="1947" t="s">
        <v>3744</v>
      </c>
      <c r="F37" s="2115"/>
      <c r="G37" s="2107"/>
      <c r="H37" s="2114">
        <v>347409</v>
      </c>
      <c r="I37" s="2107"/>
      <c r="J37" s="2108">
        <v>3.2000000000000001E-2</v>
      </c>
      <c r="K37" s="1961"/>
      <c r="L37" s="1961"/>
      <c r="M37" s="2109" t="str">
        <f t="shared" si="0"/>
        <v/>
      </c>
      <c r="N37" s="2110"/>
      <c r="O37" s="1943" t="s">
        <v>1235</v>
      </c>
      <c r="P37" s="1944"/>
      <c r="Q37" s="2111"/>
      <c r="S37" s="2086"/>
      <c r="T37" s="2087"/>
    </row>
    <row r="38" spans="1:20" s="330" customFormat="1" ht="13.15" customHeight="1">
      <c r="A38" s="362"/>
      <c r="B38" s="1258" t="s">
        <v>2361</v>
      </c>
      <c r="C38" s="1259"/>
      <c r="D38" s="1281"/>
      <c r="E38" s="1947"/>
      <c r="F38" s="2115"/>
      <c r="G38" s="2107"/>
      <c r="H38" s="2116"/>
      <c r="I38" s="2117"/>
      <c r="K38" s="444"/>
      <c r="L38" s="444"/>
      <c r="M38" s="444"/>
      <c r="N38" s="444"/>
      <c r="O38" s="444"/>
      <c r="P38" s="444"/>
      <c r="Q38" s="444"/>
      <c r="S38" s="2084"/>
      <c r="T38" s="2085"/>
    </row>
    <row r="39" spans="1:20" s="330" customFormat="1" ht="13.15" customHeight="1">
      <c r="A39" s="362"/>
      <c r="B39" s="1256" t="s">
        <v>855</v>
      </c>
      <c r="C39" s="1257"/>
      <c r="D39" s="1264"/>
      <c r="E39" s="1947"/>
      <c r="F39" s="2115"/>
      <c r="G39" s="2107"/>
      <c r="H39" s="2116"/>
      <c r="I39" s="2117"/>
      <c r="J39" s="1267" t="s">
        <v>550</v>
      </c>
      <c r="K39" s="1268"/>
      <c r="L39" s="1266" t="s">
        <v>551</v>
      </c>
      <c r="M39" s="1266"/>
      <c r="O39" s="490" t="s">
        <v>549</v>
      </c>
      <c r="P39" s="445"/>
      <c r="Q39" s="444"/>
      <c r="S39" s="2086"/>
      <c r="T39" s="2087"/>
    </row>
    <row r="40" spans="1:20" s="330" customFormat="1" ht="13.15" customHeight="1">
      <c r="A40" s="362"/>
      <c r="B40" s="1256" t="s">
        <v>856</v>
      </c>
      <c r="C40" s="1257"/>
      <c r="D40" s="1264"/>
      <c r="E40" s="1947" t="s">
        <v>3749</v>
      </c>
      <c r="F40" s="1948"/>
      <c r="G40" s="1949"/>
      <c r="H40" s="2114">
        <v>6775869</v>
      </c>
      <c r="I40" s="2118"/>
      <c r="J40" s="1269">
        <f>'Part IV-Uses of Funds'!$J$173*10*'Part IV-Uses of Funds'!$N$166</f>
        <v>6775868.9959993623</v>
      </c>
      <c r="K40" s="1270"/>
      <c r="L40" s="1265">
        <f>H40-J40</f>
        <v>4.0006376802921295E-3</v>
      </c>
      <c r="M40" s="1265"/>
      <c r="O40" s="491" t="s">
        <v>2744</v>
      </c>
      <c r="P40" s="445"/>
      <c r="Q40" s="444"/>
      <c r="S40" s="2086"/>
      <c r="T40" s="2087"/>
    </row>
    <row r="41" spans="1:20" s="330" customFormat="1" ht="13.15" customHeight="1">
      <c r="A41" s="362"/>
      <c r="B41" s="1256" t="s">
        <v>857</v>
      </c>
      <c r="C41" s="1257"/>
      <c r="D41" s="1264"/>
      <c r="E41" s="1947" t="s">
        <v>3750</v>
      </c>
      <c r="F41" s="1948"/>
      <c r="G41" s="1949"/>
      <c r="H41" s="2114">
        <v>2373919</v>
      </c>
      <c r="I41" s="2118"/>
      <c r="J41" s="1269">
        <f>'Part IV-Uses of Funds'!$J$173*10*'Part IV-Uses of Funds'!$Q$166</f>
        <v>2305474.9568000003</v>
      </c>
      <c r="K41" s="1270"/>
      <c r="L41" s="1265">
        <f>H41-J41</f>
        <v>68444.043199999724</v>
      </c>
      <c r="M41" s="1265"/>
      <c r="O41" s="492">
        <f>H40/H50</f>
        <v>0.63639932650818798</v>
      </c>
      <c r="P41" s="445"/>
      <c r="Q41" s="444"/>
      <c r="S41" s="2086"/>
      <c r="T41" s="2087"/>
    </row>
    <row r="42" spans="1:20" s="330" customFormat="1" ht="13.15" customHeight="1">
      <c r="A42" s="362"/>
      <c r="B42" s="1256" t="s">
        <v>1502</v>
      </c>
      <c r="C42" s="1257"/>
      <c r="D42" s="1264"/>
      <c r="E42" s="1947"/>
      <c r="F42" s="1948"/>
      <c r="G42" s="1949"/>
      <c r="H42" s="2114"/>
      <c r="I42" s="2118"/>
      <c r="M42" s="445"/>
      <c r="O42" s="492">
        <f>H41/H50</f>
        <v>0.22296187437876841</v>
      </c>
      <c r="P42" s="445"/>
      <c r="Q42" s="444"/>
      <c r="S42" s="2090"/>
      <c r="T42" s="2091"/>
    </row>
    <row r="43" spans="1:20" s="330" customFormat="1" ht="13.15" customHeight="1">
      <c r="A43" s="362"/>
      <c r="B43" s="1141" t="s">
        <v>564</v>
      </c>
      <c r="C43" s="1142"/>
      <c r="D43" s="1144"/>
      <c r="E43" s="1947"/>
      <c r="F43" s="1948"/>
      <c r="G43" s="1949"/>
      <c r="H43" s="2114"/>
      <c r="I43" s="2118"/>
      <c r="K43" s="362"/>
      <c r="L43" s="362"/>
      <c r="M43" s="445"/>
      <c r="O43" s="493">
        <f>SUM(O41:O42)</f>
        <v>0.85936120088695644</v>
      </c>
      <c r="P43" s="445"/>
      <c r="Q43" s="444"/>
      <c r="S43" s="2086"/>
      <c r="T43" s="2087"/>
    </row>
    <row r="44" spans="1:20" s="330" customFormat="1" ht="13.15" customHeight="1">
      <c r="A44" s="362"/>
      <c r="B44" s="1141" t="s">
        <v>2000</v>
      </c>
      <c r="C44" s="1142"/>
      <c r="D44" s="1144"/>
      <c r="E44" s="1947"/>
      <c r="F44" s="1948"/>
      <c r="G44" s="1949"/>
      <c r="H44" s="2114"/>
      <c r="I44" s="2118"/>
      <c r="J44" s="362"/>
      <c r="M44" s="445"/>
      <c r="N44" s="445"/>
      <c r="O44" s="445"/>
      <c r="P44" s="445"/>
      <c r="Q44" s="444"/>
      <c r="S44" s="2086"/>
      <c r="T44" s="2087"/>
    </row>
    <row r="45" spans="1:20" s="330" customFormat="1" ht="13.15" customHeight="1">
      <c r="A45" s="362"/>
      <c r="B45" s="1141" t="s">
        <v>2001</v>
      </c>
      <c r="C45" s="1142"/>
      <c r="D45" s="1144"/>
      <c r="E45" s="1947"/>
      <c r="F45" s="1948"/>
      <c r="G45" s="1949"/>
      <c r="H45" s="2114"/>
      <c r="I45" s="2118"/>
      <c r="J45" s="362"/>
      <c r="M45" s="445"/>
      <c r="N45" s="445"/>
      <c r="O45" s="445"/>
      <c r="P45" s="445"/>
      <c r="Q45" s="444"/>
      <c r="S45" s="2086"/>
      <c r="T45" s="2087"/>
    </row>
    <row r="46" spans="1:20" s="330" customFormat="1" ht="13.15" customHeight="1">
      <c r="A46" s="362"/>
      <c r="B46" s="1141" t="s">
        <v>791</v>
      </c>
      <c r="C46" s="1947"/>
      <c r="D46" s="1949"/>
      <c r="E46" s="1947"/>
      <c r="F46" s="1948"/>
      <c r="G46" s="1949"/>
      <c r="H46" s="2114"/>
      <c r="I46" s="2118"/>
      <c r="J46" s="362"/>
      <c r="M46" s="445"/>
      <c r="N46" s="445"/>
      <c r="O46" s="445"/>
      <c r="P46" s="445"/>
      <c r="Q46" s="444"/>
      <c r="S46" s="2086"/>
      <c r="T46" s="2087"/>
    </row>
    <row r="47" spans="1:20" s="330" customFormat="1" ht="13.15" customHeight="1">
      <c r="A47" s="362"/>
      <c r="B47" s="1141" t="s">
        <v>791</v>
      </c>
      <c r="C47" s="1947"/>
      <c r="D47" s="1949"/>
      <c r="E47" s="1947"/>
      <c r="F47" s="1948"/>
      <c r="G47" s="1949"/>
      <c r="H47" s="2114"/>
      <c r="I47" s="2118"/>
      <c r="J47" s="362"/>
      <c r="K47" s="362"/>
      <c r="L47" s="446"/>
      <c r="M47" s="445"/>
      <c r="N47" s="445"/>
      <c r="O47" s="445"/>
      <c r="P47" s="445"/>
      <c r="Q47" s="444"/>
      <c r="S47" s="2086"/>
      <c r="T47" s="2087"/>
    </row>
    <row r="48" spans="1:20" s="330" customFormat="1" ht="13.15" customHeight="1">
      <c r="A48" s="362"/>
      <c r="B48" s="1146" t="s">
        <v>791</v>
      </c>
      <c r="C48" s="1947"/>
      <c r="D48" s="1949"/>
      <c r="E48" s="1947"/>
      <c r="F48" s="1948"/>
      <c r="G48" s="1949"/>
      <c r="H48" s="2114"/>
      <c r="I48" s="2118"/>
      <c r="J48" s="362"/>
      <c r="K48" s="362"/>
      <c r="L48" s="446"/>
      <c r="M48" s="445"/>
      <c r="N48" s="445"/>
      <c r="O48" s="445"/>
      <c r="P48" s="445"/>
      <c r="Q48" s="444"/>
      <c r="S48" s="2086"/>
      <c r="T48" s="2087"/>
    </row>
    <row r="49" spans="1:23" s="330" customFormat="1" ht="13.15" customHeight="1">
      <c r="A49" s="362"/>
      <c r="B49" s="1132" t="s">
        <v>2362</v>
      </c>
      <c r="C49" s="362"/>
      <c r="D49" s="362"/>
      <c r="E49" s="362"/>
      <c r="F49" s="362"/>
      <c r="G49" s="362"/>
      <c r="H49" s="1284">
        <f>SUM(H32:I48)</f>
        <v>10647197</v>
      </c>
      <c r="I49" s="1285"/>
      <c r="J49" s="382"/>
      <c r="K49" s="362"/>
      <c r="L49" s="446"/>
      <c r="M49" s="445"/>
      <c r="N49" s="445"/>
      <c r="O49" s="445"/>
      <c r="P49" s="445"/>
      <c r="Q49" s="444"/>
      <c r="S49" s="2086"/>
      <c r="T49" s="2087"/>
    </row>
    <row r="50" spans="1:23" s="330" customFormat="1" ht="13.15" customHeight="1" thickBot="1">
      <c r="A50" s="362"/>
      <c r="B50" s="1132" t="s">
        <v>2363</v>
      </c>
      <c r="C50" s="362"/>
      <c r="D50" s="362"/>
      <c r="E50" s="362"/>
      <c r="F50" s="362"/>
      <c r="G50" s="362"/>
      <c r="H50" s="1282">
        <f>'Part IV-Uses of Funds'!$G$130</f>
        <v>10647197</v>
      </c>
      <c r="I50" s="1283"/>
      <c r="J50" s="382"/>
      <c r="K50" s="362"/>
      <c r="L50" s="446"/>
      <c r="M50" s="445"/>
      <c r="N50" s="445"/>
      <c r="O50" s="445"/>
      <c r="P50" s="445"/>
      <c r="Q50" s="444"/>
      <c r="S50" s="2086"/>
      <c r="T50" s="2087"/>
    </row>
    <row r="51" spans="1:23" s="330" customFormat="1" ht="13.15" customHeight="1" thickBot="1">
      <c r="A51" s="362"/>
      <c r="B51" s="368" t="s">
        <v>1631</v>
      </c>
      <c r="C51" s="362"/>
      <c r="D51" s="362"/>
      <c r="E51" s="362"/>
      <c r="F51" s="362"/>
      <c r="G51" s="362"/>
      <c r="H51" s="1273">
        <f>H49-H50</f>
        <v>0</v>
      </c>
      <c r="I51" s="1274"/>
      <c r="J51" s="382"/>
      <c r="K51" s="362"/>
      <c r="L51" s="446"/>
      <c r="M51" s="445"/>
      <c r="N51" s="445"/>
      <c r="O51" s="445"/>
      <c r="P51" s="445"/>
      <c r="Q51" s="444"/>
      <c r="S51" s="2090"/>
      <c r="T51" s="2091"/>
    </row>
    <row r="52" spans="1:23" s="330" customFormat="1" ht="13.15" customHeight="1">
      <c r="A52" s="362" t="s">
        <v>3024</v>
      </c>
      <c r="B52" s="368"/>
      <c r="C52" s="362"/>
      <c r="D52" s="362"/>
      <c r="E52" s="362"/>
      <c r="F52" s="362"/>
      <c r="G52" s="362"/>
      <c r="H52" s="438"/>
      <c r="I52" s="438"/>
      <c r="J52" s="382"/>
      <c r="K52" s="362"/>
      <c r="L52" s="446"/>
      <c r="M52" s="445"/>
      <c r="N52" s="445"/>
      <c r="O52" s="445"/>
      <c r="P52" s="445"/>
      <c r="Q52" s="444"/>
      <c r="S52" s="2119"/>
      <c r="T52" s="2119"/>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1916</v>
      </c>
      <c r="B54" s="365" t="s">
        <v>608</v>
      </c>
      <c r="C54" s="382"/>
      <c r="D54" s="382"/>
      <c r="E54" s="382"/>
      <c r="F54" s="382"/>
      <c r="G54" s="382"/>
      <c r="H54" s="382"/>
      <c r="I54" s="382"/>
      <c r="J54" s="382"/>
      <c r="K54" s="365" t="s">
        <v>1916</v>
      </c>
      <c r="L54" s="365" t="s">
        <v>82</v>
      </c>
      <c r="M54" s="382"/>
      <c r="N54" s="382"/>
      <c r="O54" s="382"/>
      <c r="P54" s="382"/>
      <c r="Q54" s="382"/>
    </row>
    <row r="55" spans="1:23" ht="5.45" customHeight="1">
      <c r="B55" s="417"/>
    </row>
    <row r="56" spans="1:23" ht="409.5" customHeight="1">
      <c r="A56" s="1793" t="s">
        <v>3818</v>
      </c>
      <c r="B56" s="2120"/>
      <c r="C56" s="2120"/>
      <c r="D56" s="2120"/>
      <c r="E56" s="2120"/>
      <c r="F56" s="2120"/>
      <c r="G56" s="2120"/>
      <c r="H56" s="2120"/>
      <c r="I56" s="2120"/>
      <c r="J56" s="2121"/>
      <c r="K56" s="1796"/>
      <c r="L56" s="2120"/>
      <c r="M56" s="2120"/>
      <c r="N56" s="2120"/>
      <c r="O56" s="2120"/>
      <c r="P56" s="2120"/>
      <c r="Q56" s="2121"/>
      <c r="S56" s="1253" t="s">
        <v>2925</v>
      </c>
      <c r="T56" s="1253"/>
      <c r="U56" s="601"/>
      <c r="V56" s="601"/>
      <c r="W56" s="601"/>
    </row>
    <row r="57" spans="1:23" ht="11.25" customHeight="1">
      <c r="S57" s="601"/>
      <c r="T57" s="601"/>
      <c r="U57" s="601"/>
      <c r="V57" s="601"/>
      <c r="W57" s="601"/>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96" t="str">
        <f>CONCATENATE("PART III B: USD 538 LOAN","  -  ",'Part I-Project Information'!$O$4," ",'Part I-Project Information'!$F$23,", ",'Part I-Project Information'!$F$27,", ",'Part I-Project Information'!$J$28," County")</f>
        <v>PART III B: USD 538 LOAN  -  2014-055 Trinity Walk Phase I, Decatur, DeKalb County</v>
      </c>
      <c r="B1" s="1297"/>
      <c r="C1" s="1297"/>
      <c r="D1" s="1297"/>
      <c r="E1" s="1297"/>
      <c r="F1" s="1298"/>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89" t="s">
        <v>226</v>
      </c>
      <c r="B3" s="1289"/>
      <c r="C3" s="1289"/>
      <c r="D3" s="1289"/>
      <c r="E3" s="1289"/>
      <c r="F3" s="1289"/>
      <c r="G3" s="239"/>
      <c r="H3" s="239"/>
    </row>
    <row r="4" spans="1:17" s="227" customFormat="1" ht="6" customHeight="1"/>
    <row r="5" spans="1:17">
      <c r="A5" s="40" t="s">
        <v>2405</v>
      </c>
      <c r="B5" s="40"/>
      <c r="C5" s="312"/>
      <c r="D5" s="313">
        <f>IF(C5&gt;1500000,1500000,0)</f>
        <v>0</v>
      </c>
      <c r="E5" s="314">
        <f>IF(C5&gt;1500000,C5-1500000,0)</f>
        <v>0</v>
      </c>
    </row>
    <row r="6" spans="1:17">
      <c r="A6" s="40" t="s">
        <v>2633</v>
      </c>
      <c r="B6" s="262" t="s">
        <v>537</v>
      </c>
      <c r="C6" s="315">
        <v>0</v>
      </c>
      <c r="D6" s="138" t="s">
        <v>538</v>
      </c>
      <c r="E6" s="40"/>
    </row>
    <row r="7" spans="1:17">
      <c r="A7" s="40"/>
      <c r="B7" s="262" t="s">
        <v>2649</v>
      </c>
      <c r="C7" s="316"/>
      <c r="D7" s="138" t="s">
        <v>1776</v>
      </c>
      <c r="E7" s="40"/>
    </row>
    <row r="8" spans="1:17" ht="13.15" customHeight="1">
      <c r="A8" s="40" t="s">
        <v>2637</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0" t="s">
        <v>131</v>
      </c>
      <c r="B14" s="1290"/>
      <c r="C14" s="1290"/>
      <c r="D14" s="1290"/>
      <c r="E14" s="1290"/>
      <c r="F14" s="1290"/>
      <c r="G14" s="239"/>
      <c r="H14" s="239"/>
    </row>
    <row r="15" spans="1:17" ht="5.45" customHeight="1">
      <c r="A15" s="32"/>
      <c r="E15" s="250"/>
      <c r="F15" s="239"/>
      <c r="G15" s="239"/>
      <c r="H15" s="239"/>
    </row>
    <row r="16" spans="1:17" ht="13.15" customHeight="1">
      <c r="A16" s="252" t="s">
        <v>2650</v>
      </c>
      <c r="B16" s="253" t="s">
        <v>2647</v>
      </c>
      <c r="C16" s="253" t="s">
        <v>2648</v>
      </c>
      <c r="D16" s="1299" t="s">
        <v>2404</v>
      </c>
      <c r="E16" s="1299"/>
      <c r="F16" s="239"/>
      <c r="G16" s="239"/>
      <c r="H16" s="239"/>
    </row>
    <row r="17" spans="1:8" ht="12.6" customHeight="1">
      <c r="A17" s="94">
        <v>1</v>
      </c>
      <c r="B17" s="228">
        <f>IF(A17&gt;$C$9,0,SUM(C64:C75)*($C$6/$C$7))</f>
        <v>0</v>
      </c>
      <c r="C17" s="251">
        <f>IF(A17&gt;C9,0,(E63+K63)*$C$8)</f>
        <v>0</v>
      </c>
      <c r="D17" s="1294">
        <f t="shared" ref="D17:D56" si="0">IF(A17&gt;$C$9,0,$C$11+C17)</f>
        <v>0</v>
      </c>
      <c r="E17" s="1294"/>
      <c r="F17" s="239"/>
      <c r="G17" s="239"/>
      <c r="H17" s="239"/>
    </row>
    <row r="18" spans="1:8" ht="12.6" customHeight="1">
      <c r="A18" s="94">
        <v>2</v>
      </c>
      <c r="B18" s="228">
        <f>IF(A18&gt;C9,0,SUM(C76:C87)*($C$6/$C$7))</f>
        <v>0</v>
      </c>
      <c r="C18" s="258">
        <f>IF(A18&gt;C9,0,(E75+K75)*$C$8)</f>
        <v>0</v>
      </c>
      <c r="D18" s="1292">
        <f t="shared" si="0"/>
        <v>0</v>
      </c>
      <c r="E18" s="1292"/>
      <c r="F18" s="239"/>
      <c r="G18" s="239"/>
      <c r="H18" s="239"/>
    </row>
    <row r="19" spans="1:8" ht="12.6" customHeight="1">
      <c r="A19" s="94">
        <v>3</v>
      </c>
      <c r="B19" s="228">
        <f>IF(A19&gt;C9,0,SUM(C88:C99)*($C$6/$C$7))</f>
        <v>0</v>
      </c>
      <c r="C19" s="251">
        <f>IF(A19&gt;C9,0,(E87+K87)*$C$8)</f>
        <v>0</v>
      </c>
      <c r="D19" s="1292">
        <f t="shared" si="0"/>
        <v>0</v>
      </c>
      <c r="E19" s="1292"/>
      <c r="F19" s="239"/>
      <c r="G19" s="239"/>
      <c r="H19" s="239"/>
    </row>
    <row r="20" spans="1:8" ht="12.6" customHeight="1">
      <c r="A20" s="94">
        <v>4</v>
      </c>
      <c r="B20" s="228">
        <f>IF(A20&gt;C9,0,SUM(C100:C111)*($C$6/$C$7))</f>
        <v>0</v>
      </c>
      <c r="C20" s="251">
        <f>IF(A20&gt;C9,0,(E99+K99)*$C$8)</f>
        <v>0</v>
      </c>
      <c r="D20" s="1292">
        <f t="shared" si="0"/>
        <v>0</v>
      </c>
      <c r="E20" s="1292"/>
      <c r="F20" s="239"/>
      <c r="G20" s="239"/>
      <c r="H20" s="239"/>
    </row>
    <row r="21" spans="1:8" ht="12.6" customHeight="1">
      <c r="A21" s="94">
        <v>5</v>
      </c>
      <c r="B21" s="228">
        <f>IF(A21&gt;C9,0,SUM(C112:C123)*($C$6/$C$7))</f>
        <v>0</v>
      </c>
      <c r="C21" s="251">
        <f>IF(A21&gt;C9,0,(E111+K111)*$C$8)</f>
        <v>0</v>
      </c>
      <c r="D21" s="1293">
        <f t="shared" si="0"/>
        <v>0</v>
      </c>
      <c r="E21" s="1293"/>
      <c r="F21" s="239"/>
      <c r="G21" s="239"/>
      <c r="H21" s="239"/>
    </row>
    <row r="22" spans="1:8" ht="12.6" customHeight="1">
      <c r="A22" s="229">
        <v>6</v>
      </c>
      <c r="B22" s="230">
        <f>IF(A22&gt;C9,0,SUM(C124:C135)*($C$6/$C$7))</f>
        <v>0</v>
      </c>
      <c r="C22" s="255">
        <f>IF(A22&gt;C9,0,(E123+K123)*$C$8)</f>
        <v>0</v>
      </c>
      <c r="D22" s="1292">
        <f t="shared" si="0"/>
        <v>0</v>
      </c>
      <c r="E22" s="1292"/>
      <c r="F22" s="239"/>
      <c r="G22" s="239"/>
      <c r="H22" s="239"/>
    </row>
    <row r="23" spans="1:8" ht="12.6" customHeight="1">
      <c r="A23" s="231">
        <v>7</v>
      </c>
      <c r="B23" s="232">
        <f>IF(A23&gt;C9,0,SUM(C136:C147)*($C$6/$C$7))</f>
        <v>0</v>
      </c>
      <c r="C23" s="233">
        <f>IF(A23&gt;C9,0,(E135+K135)*$C$8)</f>
        <v>0</v>
      </c>
      <c r="D23" s="1292">
        <f t="shared" si="0"/>
        <v>0</v>
      </c>
      <c r="E23" s="1292"/>
      <c r="F23" s="239"/>
      <c r="G23" s="239"/>
      <c r="H23" s="239"/>
    </row>
    <row r="24" spans="1:8" ht="12.6" customHeight="1">
      <c r="A24" s="231">
        <v>8</v>
      </c>
      <c r="B24" s="232">
        <f>IF(A24&gt;C9,0,SUM(C148:C159)*($C$6/$C$7))</f>
        <v>0</v>
      </c>
      <c r="C24" s="233">
        <f>IF(A24&gt;C9,0,(E147+K147)*$C$8)</f>
        <v>0</v>
      </c>
      <c r="D24" s="1292">
        <f t="shared" si="0"/>
        <v>0</v>
      </c>
      <c r="E24" s="1292"/>
      <c r="F24" s="239"/>
      <c r="G24" s="239"/>
      <c r="H24" s="239"/>
    </row>
    <row r="25" spans="1:8" ht="12.6" customHeight="1">
      <c r="A25" s="231">
        <v>9</v>
      </c>
      <c r="B25" s="232">
        <f>IF(A25&gt;C9,0,SUM(C160:C171)*($C$6/$C$7))</f>
        <v>0</v>
      </c>
      <c r="C25" s="233">
        <f>IF(A25&gt;C9,0,(E159+K159)*$C$8)</f>
        <v>0</v>
      </c>
      <c r="D25" s="1292">
        <f t="shared" si="0"/>
        <v>0</v>
      </c>
      <c r="E25" s="1292"/>
      <c r="F25" s="239"/>
      <c r="G25" s="239"/>
      <c r="H25" s="239"/>
    </row>
    <row r="26" spans="1:8" ht="12.6" customHeight="1">
      <c r="A26" s="234">
        <v>10</v>
      </c>
      <c r="B26" s="235">
        <f>IF(A26&gt;C9,0,SUM(C172:C183)*($C$6/$C$7))</f>
        <v>0</v>
      </c>
      <c r="C26" s="254">
        <f>IF(A26&gt;C9,0,(E171+K171)*$C$8)</f>
        <v>0</v>
      </c>
      <c r="D26" s="1293">
        <f t="shared" si="0"/>
        <v>0</v>
      </c>
      <c r="E26" s="1293"/>
      <c r="F26" s="239"/>
      <c r="G26" s="239"/>
      <c r="H26" s="239"/>
    </row>
    <row r="27" spans="1:8" ht="12.6" customHeight="1">
      <c r="A27" s="236">
        <v>11</v>
      </c>
      <c r="B27" s="228">
        <f>IF(A27&gt;C9,0,SUM(C184:C195)*($C$6/$C$7))</f>
        <v>0</v>
      </c>
      <c r="C27" s="251">
        <f>IF(A27&gt;C9,0,(E183+K183)*$C$8)</f>
        <v>0</v>
      </c>
      <c r="D27" s="1292">
        <f t="shared" si="0"/>
        <v>0</v>
      </c>
      <c r="E27" s="1292"/>
      <c r="F27" s="239"/>
      <c r="G27" s="239"/>
      <c r="H27" s="239"/>
    </row>
    <row r="28" spans="1:8" ht="12.6" customHeight="1">
      <c r="A28" s="236">
        <v>12</v>
      </c>
      <c r="B28" s="228">
        <f>IF(A28&gt;C9,0,SUM(C196:C207)*($C$6/$C$7))</f>
        <v>0</v>
      </c>
      <c r="C28" s="251">
        <f>IF(A28&gt;C9,0,(E195+K195)*$C$8)</f>
        <v>0</v>
      </c>
      <c r="D28" s="1292">
        <f t="shared" si="0"/>
        <v>0</v>
      </c>
      <c r="E28" s="1292"/>
      <c r="F28" s="239"/>
      <c r="G28" s="239"/>
      <c r="H28" s="239"/>
    </row>
    <row r="29" spans="1:8" ht="12.6" customHeight="1">
      <c r="A29" s="236">
        <v>13</v>
      </c>
      <c r="B29" s="228">
        <f>IF(A29&gt;C9,0,SUM(C208:C219)*($C$6/$C$7))</f>
        <v>0</v>
      </c>
      <c r="C29" s="251">
        <f>IF(A29&gt;C9,0,(E207+K207)*$C$8)</f>
        <v>0</v>
      </c>
      <c r="D29" s="1292">
        <f t="shared" si="0"/>
        <v>0</v>
      </c>
      <c r="E29" s="1292"/>
      <c r="F29" s="239"/>
      <c r="G29" s="239"/>
      <c r="H29" s="239"/>
    </row>
    <row r="30" spans="1:8" ht="12.6" customHeight="1">
      <c r="A30" s="236">
        <v>14</v>
      </c>
      <c r="B30" s="228">
        <f>IF(A30&gt;C9,0,SUM(C220:C231)*($C$6/$C$7))</f>
        <v>0</v>
      </c>
      <c r="C30" s="251">
        <f>IF(A30&gt;C9,0,(E219+K219)*$C$8)</f>
        <v>0</v>
      </c>
      <c r="D30" s="1292">
        <f t="shared" si="0"/>
        <v>0</v>
      </c>
      <c r="E30" s="1292"/>
      <c r="F30" s="239"/>
      <c r="G30" s="239"/>
      <c r="H30" s="239"/>
    </row>
    <row r="31" spans="1:8" ht="12.6" customHeight="1">
      <c r="A31" s="236">
        <v>15</v>
      </c>
      <c r="B31" s="228">
        <f>IF(A31&gt;C9,0,SUM(C232:C243)*($C$6/$C$7))</f>
        <v>0</v>
      </c>
      <c r="C31" s="251">
        <f>IF(A31&gt;C9,0,(E231+K231)*$C$8)</f>
        <v>0</v>
      </c>
      <c r="D31" s="1293">
        <f t="shared" si="0"/>
        <v>0</v>
      </c>
      <c r="E31" s="1293"/>
      <c r="F31" s="239"/>
      <c r="G31" s="239"/>
      <c r="H31" s="239"/>
    </row>
    <row r="32" spans="1:8" ht="12.6" customHeight="1">
      <c r="A32" s="238">
        <v>16</v>
      </c>
      <c r="B32" s="230">
        <f>IF(A32&gt;C9,0,SUM(C244:C255)*($C$6/$C$7))</f>
        <v>0</v>
      </c>
      <c r="C32" s="255">
        <f>IF(A32&gt;C9,0,(E243+K243)*$C$8)</f>
        <v>0</v>
      </c>
      <c r="D32" s="1292">
        <f t="shared" si="0"/>
        <v>0</v>
      </c>
      <c r="E32" s="1292"/>
      <c r="F32" s="239"/>
      <c r="G32" s="239"/>
      <c r="H32" s="239"/>
    </row>
    <row r="33" spans="1:8" ht="12.6" customHeight="1">
      <c r="A33" s="231">
        <v>17</v>
      </c>
      <c r="B33" s="232">
        <f>IF(A33&gt;C9,0,SUM(C256:C267)*($C$6/$C$7))</f>
        <v>0</v>
      </c>
      <c r="C33" s="233">
        <f>IF(A33&gt;C9,0,(E255+K255)*$C$8)</f>
        <v>0</v>
      </c>
      <c r="D33" s="1292">
        <f t="shared" si="0"/>
        <v>0</v>
      </c>
      <c r="E33" s="1292"/>
      <c r="F33" s="239"/>
      <c r="G33" s="239"/>
      <c r="H33" s="239"/>
    </row>
    <row r="34" spans="1:8" ht="12.6" customHeight="1">
      <c r="A34" s="231">
        <v>18</v>
      </c>
      <c r="B34" s="232">
        <f>IF(A34&gt;C9,0,SUM(C268:C279)*($C$6/$C$7))</f>
        <v>0</v>
      </c>
      <c r="C34" s="233">
        <f>IF(A34&gt;C9,0,(E267+K267)*$C$8)</f>
        <v>0</v>
      </c>
      <c r="D34" s="1292">
        <f t="shared" si="0"/>
        <v>0</v>
      </c>
      <c r="E34" s="1292"/>
      <c r="F34" s="239"/>
      <c r="G34" s="239"/>
      <c r="H34" s="239"/>
    </row>
    <row r="35" spans="1:8" ht="12.6" customHeight="1">
      <c r="A35" s="231">
        <v>19</v>
      </c>
      <c r="B35" s="232">
        <f>IF(A35&gt;C9,0,SUM(C280:C291)*($C$6/$C$7))</f>
        <v>0</v>
      </c>
      <c r="C35" s="233">
        <f>IF(A35&gt;C9,0,(E279+K279)*$C$8)</f>
        <v>0</v>
      </c>
      <c r="D35" s="1292">
        <f t="shared" si="0"/>
        <v>0</v>
      </c>
      <c r="E35" s="1292"/>
      <c r="F35" s="239"/>
      <c r="G35" s="239"/>
      <c r="H35" s="239"/>
    </row>
    <row r="36" spans="1:8" ht="12.6" customHeight="1">
      <c r="A36" s="234">
        <v>20</v>
      </c>
      <c r="B36" s="235">
        <f>IF(A36&gt;C9,0,SUM(C292:C303)*($C$6/$C$7))</f>
        <v>0</v>
      </c>
      <c r="C36" s="254">
        <f>IF(A36&gt;C9,0,(E291+K291)*$C$8)</f>
        <v>0</v>
      </c>
      <c r="D36" s="1293">
        <f t="shared" si="0"/>
        <v>0</v>
      </c>
      <c r="E36" s="1293"/>
      <c r="F36" s="239"/>
      <c r="G36" s="239"/>
      <c r="H36" s="239"/>
    </row>
    <row r="37" spans="1:8" ht="12.6" customHeight="1">
      <c r="A37" s="94">
        <v>21</v>
      </c>
      <c r="B37" s="230">
        <f>IF(A37&gt;C9,0,SUM(C293:C304)*($C$6/$C$7))</f>
        <v>0</v>
      </c>
      <c r="C37" s="255">
        <f>IF(A37&gt;C9,0,(E303+K303)*$C$8)</f>
        <v>0</v>
      </c>
      <c r="D37" s="1295">
        <f t="shared" si="0"/>
        <v>0</v>
      </c>
      <c r="E37" s="1295"/>
      <c r="F37" s="239"/>
      <c r="G37" s="239"/>
      <c r="H37" s="239"/>
    </row>
    <row r="38" spans="1:8" ht="12.6" customHeight="1">
      <c r="A38" s="94">
        <v>22</v>
      </c>
      <c r="B38" s="232">
        <f>IF(A38&gt;C9,0,SUM(C294:C305)*($C$6/$C$7))</f>
        <v>0</v>
      </c>
      <c r="C38" s="233">
        <f>IF(A38&gt;C9,0,(E315+K315)*$C$8)</f>
        <v>0</v>
      </c>
      <c r="D38" s="1292">
        <f t="shared" si="0"/>
        <v>0</v>
      </c>
      <c r="E38" s="1292"/>
      <c r="F38" s="239"/>
      <c r="G38" s="239"/>
      <c r="H38" s="239"/>
    </row>
    <row r="39" spans="1:8" ht="12.6" customHeight="1">
      <c r="A39" s="94">
        <v>23</v>
      </c>
      <c r="B39" s="232">
        <f>IF(A39&gt;C9,0,SUM(C295:C306)*($C$6/$C$7))</f>
        <v>0</v>
      </c>
      <c r="C39" s="233">
        <f>IF(A39&gt;C9,0,(E327+K327)*$C$8)</f>
        <v>0</v>
      </c>
      <c r="D39" s="1292">
        <f t="shared" si="0"/>
        <v>0</v>
      </c>
      <c r="E39" s="1292"/>
      <c r="F39" s="239"/>
      <c r="G39" s="239"/>
      <c r="H39" s="239"/>
    </row>
    <row r="40" spans="1:8" ht="12.6" customHeight="1">
      <c r="A40" s="94">
        <v>24</v>
      </c>
      <c r="B40" s="232">
        <f>IF(A40&gt;C9,0,SUM(C296:C307)*($C$6/$C$7))</f>
        <v>0</v>
      </c>
      <c r="C40" s="233">
        <f>IF(A40&gt;C9,0,(E339+K339)*$C$8)</f>
        <v>0</v>
      </c>
      <c r="D40" s="1292">
        <f t="shared" si="0"/>
        <v>0</v>
      </c>
      <c r="E40" s="1292"/>
      <c r="F40" s="239"/>
      <c r="G40" s="239"/>
      <c r="H40" s="239"/>
    </row>
    <row r="41" spans="1:8" ht="12.6" customHeight="1">
      <c r="A41" s="94">
        <v>25</v>
      </c>
      <c r="B41" s="235">
        <f>IF(A41&gt;C9,0,SUM(C297:C308)*($C$6/$C$7))</f>
        <v>0</v>
      </c>
      <c r="C41" s="254">
        <f>IF(A41&gt;C9,0,(E351+K351)*$C$8)</f>
        <v>0</v>
      </c>
      <c r="D41" s="1293">
        <f t="shared" si="0"/>
        <v>0</v>
      </c>
      <c r="E41" s="1293"/>
      <c r="F41" s="239"/>
      <c r="G41" s="239"/>
      <c r="H41" s="239"/>
    </row>
    <row r="42" spans="1:8" ht="12.6" customHeight="1">
      <c r="A42" s="229">
        <v>26</v>
      </c>
      <c r="B42" s="230">
        <f>IF(A42&gt;C9,0,SUM(C298:C309)*($C$6/$C$7))</f>
        <v>0</v>
      </c>
      <c r="C42" s="255">
        <f>IF(A42&gt;C9,0,(E363+K363)*$C$8)</f>
        <v>0</v>
      </c>
      <c r="D42" s="1295">
        <f t="shared" si="0"/>
        <v>0</v>
      </c>
      <c r="E42" s="1295"/>
      <c r="F42" s="239"/>
      <c r="G42" s="239"/>
      <c r="H42" s="239"/>
    </row>
    <row r="43" spans="1:8" ht="12.6" customHeight="1">
      <c r="A43" s="231">
        <v>27</v>
      </c>
      <c r="B43" s="232">
        <f>IF(A43&gt;C9,0,SUM(C299:C310)*($C$6/$C$7))</f>
        <v>0</v>
      </c>
      <c r="C43" s="233">
        <f>IF(A43&gt;C9,0,(E375+K375)*$C$8)</f>
        <v>0</v>
      </c>
      <c r="D43" s="1292">
        <f t="shared" si="0"/>
        <v>0</v>
      </c>
      <c r="E43" s="1292"/>
      <c r="F43" s="239"/>
      <c r="G43" s="239"/>
      <c r="H43" s="239"/>
    </row>
    <row r="44" spans="1:8" ht="12.6" customHeight="1">
      <c r="A44" s="231">
        <v>28</v>
      </c>
      <c r="B44" s="232">
        <f>IF(A44&gt;C9,0,SUM(C300:C311)*($C$6/$C$7))</f>
        <v>0</v>
      </c>
      <c r="C44" s="233">
        <f>IF(A44&gt;C9,0,(E387+K387)*$C$8)</f>
        <v>0</v>
      </c>
      <c r="D44" s="1292">
        <f t="shared" si="0"/>
        <v>0</v>
      </c>
      <c r="E44" s="1292"/>
      <c r="F44" s="239"/>
      <c r="G44" s="239"/>
      <c r="H44" s="239"/>
    </row>
    <row r="45" spans="1:8" ht="12.6" customHeight="1">
      <c r="A45" s="231">
        <v>29</v>
      </c>
      <c r="B45" s="232">
        <f>IF(A45&gt;C9,0,SUM(C301:C312)*($C$6/$C$7))</f>
        <v>0</v>
      </c>
      <c r="C45" s="233">
        <f>IF(A45&gt;C9,0,(E411+K411)*$C$8)</f>
        <v>0</v>
      </c>
      <c r="D45" s="1292">
        <f t="shared" si="0"/>
        <v>0</v>
      </c>
      <c r="E45" s="1292"/>
      <c r="F45" s="239"/>
      <c r="G45" s="239"/>
      <c r="H45" s="239"/>
    </row>
    <row r="46" spans="1:8" ht="12.6" customHeight="1">
      <c r="A46" s="234">
        <v>30</v>
      </c>
      <c r="B46" s="235">
        <f>IF(A46&gt;C9,0,SUM(C302:C313)*($C$6/$C$7))</f>
        <v>0</v>
      </c>
      <c r="C46" s="254">
        <f>IF(A46&gt;C9,0,(E423+K423)*$C$8)</f>
        <v>0</v>
      </c>
      <c r="D46" s="1293">
        <f t="shared" si="0"/>
        <v>0</v>
      </c>
      <c r="E46" s="1293"/>
      <c r="F46" s="239"/>
      <c r="G46" s="239"/>
      <c r="H46" s="239"/>
    </row>
    <row r="47" spans="1:8" ht="12.6" customHeight="1">
      <c r="A47" s="238">
        <v>31</v>
      </c>
      <c r="B47" s="230">
        <f>IF(A47&gt;C9,0,SUM(C303:C314)*($C$6/$C$7))</f>
        <v>0</v>
      </c>
      <c r="C47" s="255">
        <f>IF(A47&gt;C9,0,(E435+K435)*$C$8)</f>
        <v>0</v>
      </c>
      <c r="D47" s="1295">
        <f t="shared" si="0"/>
        <v>0</v>
      </c>
      <c r="E47" s="1295"/>
      <c r="F47" s="239"/>
      <c r="G47" s="239"/>
      <c r="H47" s="239"/>
    </row>
    <row r="48" spans="1:8" ht="12.6" customHeight="1">
      <c r="A48" s="231">
        <v>32</v>
      </c>
      <c r="B48" s="232">
        <f>IF(A48&gt;C9,0,SUM(C304:C315)*($C$6/$C$7))</f>
        <v>0</v>
      </c>
      <c r="C48" s="233">
        <f>IF(A48&gt;C9,0,(E447+K447)*$C$8)</f>
        <v>0</v>
      </c>
      <c r="D48" s="1292">
        <f t="shared" si="0"/>
        <v>0</v>
      </c>
      <c r="E48" s="1292"/>
      <c r="F48" s="239"/>
      <c r="G48" s="239"/>
      <c r="H48" s="239"/>
    </row>
    <row r="49" spans="1:12" ht="12.6" customHeight="1">
      <c r="A49" s="231">
        <v>33</v>
      </c>
      <c r="B49" s="232">
        <f>IF(A49&gt;C9,0,SUM(C305:C316)*($C$6/$C$7))</f>
        <v>0</v>
      </c>
      <c r="C49" s="233">
        <f>IF(A49&gt;C9,0,(E459+K459)*$C$8)</f>
        <v>0</v>
      </c>
      <c r="D49" s="1292">
        <f t="shared" si="0"/>
        <v>0</v>
      </c>
      <c r="E49" s="1292"/>
      <c r="F49" s="239"/>
      <c r="G49" s="239"/>
      <c r="H49" s="239"/>
    </row>
    <row r="50" spans="1:12" ht="12.6" customHeight="1">
      <c r="A50" s="231">
        <v>34</v>
      </c>
      <c r="B50" s="232">
        <f>IF(A50&gt;C9,0,SUM(C306:C317)*($C$6/$C$7))</f>
        <v>0</v>
      </c>
      <c r="C50" s="233">
        <f>IF(A50&gt;C9,0,(E471+K471)*$C$8)</f>
        <v>0</v>
      </c>
      <c r="D50" s="1292">
        <f t="shared" si="0"/>
        <v>0</v>
      </c>
      <c r="E50" s="1292"/>
      <c r="F50" s="239"/>
      <c r="G50" s="239"/>
      <c r="H50" s="239"/>
    </row>
    <row r="51" spans="1:12" ht="12.6" customHeight="1">
      <c r="A51" s="234">
        <v>35</v>
      </c>
      <c r="B51" s="235">
        <f>IF(A51&gt;C9,0,SUM(C307:C318)*($C$6/$C$7))</f>
        <v>0</v>
      </c>
      <c r="C51" s="254">
        <f>IF(A51&gt;C9,0,(E483+K483)*$C$8)</f>
        <v>0</v>
      </c>
      <c r="D51" s="1293">
        <f t="shared" si="0"/>
        <v>0</v>
      </c>
      <c r="E51" s="1293"/>
      <c r="F51" s="239"/>
      <c r="G51" s="239"/>
      <c r="H51" s="239"/>
    </row>
    <row r="52" spans="1:12" ht="12.6" customHeight="1">
      <c r="A52" s="238">
        <v>36</v>
      </c>
      <c r="B52" s="230">
        <f>IF(A52&gt;C9,0,SUM(C308:C319)*($C$6/$C$7))</f>
        <v>0</v>
      </c>
      <c r="C52" s="255">
        <f>IF(A52&gt;C9,0,(E495+K495)*$C$8)</f>
        <v>0</v>
      </c>
      <c r="D52" s="1295">
        <f t="shared" si="0"/>
        <v>0</v>
      </c>
      <c r="E52" s="1295"/>
      <c r="F52" s="239"/>
      <c r="G52" s="239"/>
      <c r="H52" s="239"/>
    </row>
    <row r="53" spans="1:12" ht="12.6" customHeight="1">
      <c r="A53" s="231">
        <v>37</v>
      </c>
      <c r="B53" s="232">
        <f>IF(A53&gt;C9,0,SUM(C309:C320)*($C$6/$C$7))</f>
        <v>0</v>
      </c>
      <c r="C53" s="233">
        <f>IF(A53&gt;C9,0,(E507+K507)*$C$8)</f>
        <v>0</v>
      </c>
      <c r="D53" s="1292">
        <f t="shared" si="0"/>
        <v>0</v>
      </c>
      <c r="E53" s="1292"/>
      <c r="F53" s="239"/>
      <c r="G53" s="239"/>
      <c r="H53" s="239"/>
    </row>
    <row r="54" spans="1:12" ht="12.6" customHeight="1">
      <c r="A54" s="231">
        <v>38</v>
      </c>
      <c r="B54" s="232">
        <f>IF(A54&gt;C9,0,SUM(C310:C321)*($C$6/$C$7))</f>
        <v>0</v>
      </c>
      <c r="C54" s="233">
        <f>IF(A54&gt;C9,0,(E519+K519)*$C$8)</f>
        <v>0</v>
      </c>
      <c r="D54" s="1292">
        <f t="shared" si="0"/>
        <v>0</v>
      </c>
      <c r="E54" s="1292"/>
      <c r="F54" s="239"/>
      <c r="G54" s="239"/>
      <c r="H54" s="239"/>
    </row>
    <row r="55" spans="1:12" ht="12.6" customHeight="1">
      <c r="A55" s="231">
        <v>39</v>
      </c>
      <c r="B55" s="232">
        <f>IF(A55&gt;C9,0,SUM(C311:C322)*($C$6/$C$7))</f>
        <v>0</v>
      </c>
      <c r="C55" s="233">
        <f>IF(A55&gt;C9,0,(E531+K531)*$C$8)</f>
        <v>0</v>
      </c>
      <c r="D55" s="1292">
        <f t="shared" si="0"/>
        <v>0</v>
      </c>
      <c r="E55" s="1292"/>
      <c r="F55" s="239"/>
      <c r="G55" s="239"/>
      <c r="H55" s="239"/>
    </row>
    <row r="56" spans="1:12" ht="12.6" customHeight="1">
      <c r="A56" s="234">
        <v>40</v>
      </c>
      <c r="B56" s="235">
        <f>IF(A56&gt;C9,0,SUM(C312:C323)*($C$6/$C$7))</f>
        <v>0</v>
      </c>
      <c r="C56" s="254">
        <f>IF(A56&gt;C9,0,(E543+K543)*$C$8)</f>
        <v>0</v>
      </c>
      <c r="D56" s="1293">
        <f t="shared" si="0"/>
        <v>0</v>
      </c>
      <c r="E56" s="1293"/>
      <c r="F56" s="239"/>
      <c r="G56" s="239"/>
      <c r="H56" s="239"/>
    </row>
    <row r="57" spans="1:12" ht="3" customHeight="1">
      <c r="A57" s="239"/>
      <c r="B57" s="239"/>
      <c r="C57" s="239"/>
      <c r="D57" s="239"/>
      <c r="E57" s="239"/>
      <c r="F57" s="239"/>
      <c r="G57" s="239"/>
      <c r="H57" s="239"/>
    </row>
    <row r="58" spans="1:12" ht="13.15" customHeight="1">
      <c r="A58" s="1291" t="str">
        <f>CONCATENATE('Part I-Project Information'!$O$4," ",'Part I-Project Information'!$F$23,", ",'Part I-Project Information'!$F$27,", ",'Part I-Project Information'!$J$28," County")</f>
        <v>2014-055 Trinity Walk Phase I, Decatur, DeKalb County</v>
      </c>
      <c r="B58" s="1291"/>
      <c r="C58" s="1291"/>
      <c r="D58" s="1291"/>
      <c r="E58" s="1291"/>
      <c r="F58" s="1291"/>
      <c r="G58" s="1291" t="str">
        <f>CONCATENATE('Part I-Project Information'!$O$4," ",'Part I-Project Information'!$F$23,", ",'Part I-Project Information'!$F$27,", ",'Part I-Project Information'!$J$28," County")</f>
        <v>2014-055 Trinity Walk Phase I, Decatur, DeKalb County</v>
      </c>
      <c r="H58" s="1291"/>
      <c r="I58" s="1291"/>
      <c r="J58" s="1291"/>
      <c r="K58" s="1291"/>
      <c r="L58" s="1291"/>
    </row>
    <row r="59" spans="1:12" ht="15">
      <c r="A59" s="1288" t="s">
        <v>2641</v>
      </c>
      <c r="B59" s="1288"/>
      <c r="C59" s="1288"/>
      <c r="D59" s="1288"/>
      <c r="E59" s="1288"/>
      <c r="F59" s="1288"/>
      <c r="G59" s="1288" t="s">
        <v>2641</v>
      </c>
      <c r="H59" s="1288"/>
      <c r="I59" s="1288"/>
      <c r="J59" s="1288"/>
      <c r="K59" s="1288"/>
      <c r="L59" s="1288"/>
    </row>
    <row r="60" spans="1:12" ht="6" customHeight="1">
      <c r="C60" s="237"/>
      <c r="D60" s="237"/>
      <c r="I60" s="237"/>
      <c r="J60" s="237"/>
    </row>
    <row r="61" spans="1:12">
      <c r="A61" s="240" t="s">
        <v>2642</v>
      </c>
      <c r="B61" s="241" t="s">
        <v>2643</v>
      </c>
      <c r="C61" s="241" t="s">
        <v>1380</v>
      </c>
      <c r="D61" s="241" t="s">
        <v>2644</v>
      </c>
      <c r="E61" s="240" t="s">
        <v>2645</v>
      </c>
      <c r="F61" s="269" t="s">
        <v>2650</v>
      </c>
      <c r="G61" s="240" t="s">
        <v>2642</v>
      </c>
      <c r="H61" s="241" t="s">
        <v>2643</v>
      </c>
      <c r="I61" s="241" t="s">
        <v>1380</v>
      </c>
      <c r="J61" s="241" t="s">
        <v>2644</v>
      </c>
      <c r="K61" s="240" t="s">
        <v>2645</v>
      </c>
      <c r="L61" s="269" t="s">
        <v>2650</v>
      </c>
    </row>
    <row r="62" spans="1:12" ht="3.6" customHeight="1">
      <c r="A62" s="243"/>
      <c r="B62" s="137"/>
      <c r="C62" s="137"/>
      <c r="D62" s="137"/>
      <c r="E62" s="137"/>
      <c r="F62" s="94"/>
      <c r="G62" s="243"/>
      <c r="H62" s="137"/>
      <c r="I62" s="137"/>
      <c r="J62" s="137"/>
      <c r="K62" s="137"/>
      <c r="L62" s="94"/>
    </row>
    <row r="63" spans="1:12">
      <c r="A63" s="244" t="s">
        <v>2646</v>
      </c>
      <c r="B63" s="245"/>
      <c r="C63" s="245"/>
      <c r="D63" s="245"/>
      <c r="E63" s="246">
        <f>IF($C$5&gt;1500000,$D$5,$C$5)</f>
        <v>0</v>
      </c>
      <c r="F63" s="94"/>
      <c r="G63" s="244" t="s">
        <v>2646</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96" t="str">
        <f>CONCATENATE("PART III C  - HUD INSURED LOAN","  -  ",'Part I-Project Information'!$O$4," ",'Part I-Project Information'!$F$23,", ",'Part I-Project Information'!$F$27,", ",'Part I-Project Information'!$J$28," County")</f>
        <v>PART III C  - HUD INSURED LOAN  -  2014-055 Trinity Walk Phase I, Decatur, DeKalb County</v>
      </c>
      <c r="B1" s="1297"/>
      <c r="C1" s="1297"/>
      <c r="D1" s="1297"/>
      <c r="E1" s="1297"/>
      <c r="F1" s="1298"/>
      <c r="G1" s="201"/>
      <c r="H1" s="201"/>
      <c r="I1" s="201"/>
      <c r="J1" s="201"/>
      <c r="K1" s="201"/>
      <c r="L1" s="201"/>
      <c r="M1" s="201"/>
      <c r="N1" s="201"/>
      <c r="O1" s="201"/>
      <c r="P1" s="201"/>
      <c r="Q1" s="201"/>
    </row>
    <row r="2" spans="1:17">
      <c r="A2" s="16"/>
      <c r="B2" s="227"/>
      <c r="C2" s="227"/>
      <c r="D2" s="227"/>
    </row>
    <row r="3" spans="1:17" ht="15.6" customHeight="1">
      <c r="A3" s="1289" t="s">
        <v>226</v>
      </c>
      <c r="B3" s="1289"/>
      <c r="C3" s="1289"/>
      <c r="D3" s="1289"/>
      <c r="E3" s="1289"/>
      <c r="F3" s="1289"/>
      <c r="G3" s="272"/>
      <c r="H3" s="272"/>
    </row>
    <row r="4" spans="1:17">
      <c r="A4" s="16"/>
      <c r="B4" s="227"/>
      <c r="C4" s="227"/>
      <c r="D4" s="227"/>
    </row>
    <row r="5" spans="1:17" ht="13.15" customHeight="1">
      <c r="A5" s="31" t="s">
        <v>2405</v>
      </c>
      <c r="D5" s="267"/>
      <c r="E5" s="1300" t="s">
        <v>1013</v>
      </c>
      <c r="F5" s="1301"/>
      <c r="G5" s="190"/>
    </row>
    <row r="6" spans="1:17">
      <c r="E6" s="1301"/>
      <c r="F6" s="1301"/>
      <c r="G6" s="190"/>
    </row>
    <row r="7" spans="1:17">
      <c r="A7" s="31" t="s">
        <v>2633</v>
      </c>
      <c r="C7" s="31" t="s">
        <v>2634</v>
      </c>
      <c r="D7" s="268"/>
      <c r="E7" s="1301"/>
      <c r="F7" s="1301"/>
      <c r="G7" s="190"/>
    </row>
    <row r="8" spans="1:17">
      <c r="C8" s="31" t="s">
        <v>2635</v>
      </c>
      <c r="D8" s="268"/>
      <c r="E8" s="1301"/>
      <c r="F8" s="1301"/>
      <c r="G8" s="190"/>
    </row>
    <row r="9" spans="1:17">
      <c r="C9" s="31" t="s">
        <v>2636</v>
      </c>
      <c r="D9" s="268"/>
      <c r="E9" s="1301"/>
      <c r="F9" s="1301"/>
      <c r="G9" s="190"/>
    </row>
    <row r="10" spans="1:17">
      <c r="C10" s="31" t="s">
        <v>2649</v>
      </c>
      <c r="D10" s="273">
        <f>D7+D8+D9</f>
        <v>0</v>
      </c>
      <c r="E10" s="1301"/>
      <c r="F10" s="1301"/>
      <c r="G10" s="190"/>
    </row>
    <row r="11" spans="1:17">
      <c r="F11" s="190"/>
      <c r="G11" s="190"/>
    </row>
    <row r="12" spans="1:17">
      <c r="A12" s="31" t="s">
        <v>1837</v>
      </c>
      <c r="D12" s="266"/>
      <c r="E12" s="31" t="s">
        <v>2273</v>
      </c>
      <c r="F12" s="190"/>
      <c r="G12" s="190"/>
    </row>
    <row r="13" spans="1:17">
      <c r="D13" s="237"/>
      <c r="F13" s="190"/>
      <c r="G13" s="190"/>
    </row>
    <row r="14" spans="1:17">
      <c r="A14" s="31" t="s">
        <v>2638</v>
      </c>
      <c r="D14" s="265"/>
      <c r="E14" s="31" t="s">
        <v>2639</v>
      </c>
      <c r="F14" s="274"/>
    </row>
    <row r="15" spans="1:17">
      <c r="D15" s="257"/>
      <c r="F15" s="274"/>
    </row>
    <row r="16" spans="1:17">
      <c r="A16" s="31" t="s">
        <v>2640</v>
      </c>
      <c r="D16" s="265"/>
      <c r="E16" s="31" t="s">
        <v>2639</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290" t="s">
        <v>1838</v>
      </c>
      <c r="B24" s="1290"/>
      <c r="C24" s="1290"/>
      <c r="D24" s="1290"/>
      <c r="E24" s="1290"/>
      <c r="F24" s="1290"/>
      <c r="J24" s="276"/>
    </row>
    <row r="25" spans="1:10">
      <c r="C25" s="237"/>
      <c r="J25" s="276"/>
    </row>
    <row r="26" spans="1:10">
      <c r="A26" s="121"/>
      <c r="B26" s="94"/>
      <c r="C26" s="1302" t="s">
        <v>2404</v>
      </c>
      <c r="D26" s="271"/>
      <c r="E26" s="94"/>
      <c r="F26" s="1302" t="s">
        <v>2404</v>
      </c>
      <c r="J26" s="276"/>
    </row>
    <row r="27" spans="1:10">
      <c r="A27" s="277" t="s">
        <v>2650</v>
      </c>
      <c r="B27" s="84" t="s">
        <v>1088</v>
      </c>
      <c r="C27" s="1303"/>
      <c r="D27" s="278" t="s">
        <v>2650</v>
      </c>
      <c r="E27" s="84" t="s">
        <v>1088</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1" t="str">
        <f>CONCATENATE('Part I-Project Information'!$O$4," ",'Part I-Project Information'!$F$23,", ",'Part I-Project Information'!$F$27,", ",'Part I-Project Information'!$J$28," County")</f>
        <v>2014-055 Trinity Walk Phase I, Decatur, DeKalb County</v>
      </c>
      <c r="B50" s="1291"/>
      <c r="C50" s="1291"/>
      <c r="D50" s="1291"/>
      <c r="E50" s="1291"/>
      <c r="F50" s="1291"/>
      <c r="G50" s="262"/>
      <c r="H50" s="262"/>
    </row>
    <row r="51" spans="1:10" ht="15">
      <c r="A51" s="1288" t="s">
        <v>2641</v>
      </c>
      <c r="B51" s="1288"/>
      <c r="C51" s="1288"/>
      <c r="D51" s="1288"/>
      <c r="E51" s="1288"/>
      <c r="F51" s="1288"/>
      <c r="G51" s="288"/>
      <c r="H51" s="288"/>
      <c r="I51" s="288"/>
      <c r="J51" s="288"/>
    </row>
    <row r="52" spans="1:10" ht="5.45" customHeight="1">
      <c r="C52" s="237"/>
      <c r="D52" s="237"/>
      <c r="G52" s="242"/>
      <c r="H52" s="236"/>
      <c r="I52" s="242"/>
    </row>
    <row r="53" spans="1:10">
      <c r="A53" s="240" t="s">
        <v>2642</v>
      </c>
      <c r="B53" s="240" t="s">
        <v>2643</v>
      </c>
      <c r="C53" s="240" t="s">
        <v>1380</v>
      </c>
      <c r="D53" s="240" t="s">
        <v>2644</v>
      </c>
      <c r="E53" s="240" t="s">
        <v>2645</v>
      </c>
      <c r="F53" s="269" t="s">
        <v>2650</v>
      </c>
      <c r="G53" s="289"/>
      <c r="H53" s="289"/>
      <c r="I53" s="289"/>
    </row>
    <row r="54" spans="1:10" ht="3.6" customHeight="1">
      <c r="F54" s="94"/>
      <c r="G54" s="242"/>
      <c r="H54" s="236"/>
      <c r="I54" s="242"/>
    </row>
    <row r="55" spans="1:10">
      <c r="A55" s="31" t="s">
        <v>2646</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95" zoomScaleNormal="100" zoomScaleSheetLayoutView="90" workbookViewId="0">
      <selection activeCell="A95"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64" t="str">
        <f>CONCATENATE("PART FOUR -  USES OF FUNDS","  -  ",'Part I-Project Information'!$O$4," ",'Part I-Project Information'!$F$23,", ",'Part I-Project Information'!F27,", ",'Part I-Project Information'!J28," County")</f>
        <v>PART FOUR -  USES OF FUNDS  -  2014-055 Trinity Walk Phase I, Decatur, DeKalb County</v>
      </c>
      <c r="B1" s="1365"/>
      <c r="C1" s="1365"/>
      <c r="D1" s="1365"/>
      <c r="E1" s="1365"/>
      <c r="F1" s="1365"/>
      <c r="G1" s="1365"/>
      <c r="H1" s="1365"/>
      <c r="I1" s="1365"/>
      <c r="J1" s="1365"/>
      <c r="K1" s="1365"/>
      <c r="L1" s="1365"/>
      <c r="M1" s="1365"/>
      <c r="N1" s="1365"/>
      <c r="O1" s="1365"/>
      <c r="P1" s="1365"/>
      <c r="Q1" s="1365"/>
      <c r="R1" s="1365"/>
      <c r="S1" s="1365"/>
      <c r="T1" s="1365"/>
      <c r="W1" s="1363" t="str">
        <f>A1</f>
        <v>PART FOUR -  USES OF FUNDS  -  2014-055 Trinity Walk Phase I, Decatur, DeKalb County</v>
      </c>
      <c r="X1" s="1363"/>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17"/>
      <c r="B4" s="617"/>
      <c r="C4" s="617"/>
      <c r="D4" s="632"/>
      <c r="E4" s="632"/>
      <c r="F4" s="632"/>
      <c r="G4" s="632"/>
      <c r="H4" s="632"/>
      <c r="I4" s="365"/>
      <c r="J4" s="617"/>
      <c r="K4" s="617"/>
      <c r="L4" s="617"/>
      <c r="M4" s="617"/>
      <c r="N4" s="617"/>
      <c r="O4" s="617"/>
      <c r="P4" s="617"/>
      <c r="Q4" s="617"/>
      <c r="R4" s="617"/>
      <c r="S4" s="617"/>
      <c r="T4" s="617"/>
    </row>
    <row r="5" spans="1:24" s="362" customFormat="1" ht="19.5" customHeight="1" thickBot="1">
      <c r="A5" s="524" t="s">
        <v>657</v>
      </c>
      <c r="B5" s="524" t="s">
        <v>956</v>
      </c>
      <c r="D5" s="632"/>
      <c r="E5" s="632"/>
      <c r="F5" s="632"/>
      <c r="G5" s="632"/>
      <c r="H5" s="632"/>
      <c r="I5" s="632"/>
      <c r="J5" s="1311" t="s">
        <v>285</v>
      </c>
      <c r="K5" s="1312"/>
      <c r="L5" s="420"/>
      <c r="M5" s="1305" t="s">
        <v>520</v>
      </c>
      <c r="N5" s="1306"/>
      <c r="P5" s="1311" t="s">
        <v>286</v>
      </c>
      <c r="Q5" s="1312"/>
      <c r="S5" s="1311" t="s">
        <v>287</v>
      </c>
      <c r="T5" s="1312"/>
      <c r="W5" s="525" t="str">
        <f>B5</f>
        <v>DEVELOPMENT BUDGET</v>
      </c>
    </row>
    <row r="6" spans="1:24" s="362" customFormat="1" ht="19.5" customHeight="1" thickBot="1">
      <c r="G6" s="1366" t="s">
        <v>104</v>
      </c>
      <c r="H6" s="1367"/>
      <c r="J6" s="1313"/>
      <c r="K6" s="1314"/>
      <c r="L6" s="420"/>
      <c r="M6" s="1307"/>
      <c r="N6" s="1308"/>
      <c r="P6" s="1313"/>
      <c r="Q6" s="1314"/>
      <c r="S6" s="1313"/>
      <c r="T6" s="1314"/>
      <c r="W6" s="1378" t="s">
        <v>2893</v>
      </c>
      <c r="X6" s="1378"/>
    </row>
    <row r="7" spans="1:24" s="362" customFormat="1" ht="12" customHeight="1">
      <c r="B7" s="365" t="s">
        <v>105</v>
      </c>
      <c r="O7" s="617" t="str">
        <f>B7</f>
        <v>PRE-DEVELOPMENT COSTS</v>
      </c>
      <c r="W7" s="362" t="str">
        <f>B7</f>
        <v>PRE-DEVELOPMENT COSTS</v>
      </c>
    </row>
    <row r="8" spans="1:24" s="362" customFormat="1" ht="12.6" customHeight="1">
      <c r="B8" s="362" t="s">
        <v>2137</v>
      </c>
      <c r="G8" s="2092">
        <v>9000</v>
      </c>
      <c r="H8" s="2093"/>
      <c r="J8" s="2092">
        <v>9000</v>
      </c>
      <c r="K8" s="2093"/>
      <c r="L8" s="1148"/>
      <c r="M8" s="2092"/>
      <c r="N8" s="2093"/>
      <c r="P8" s="2092"/>
      <c r="Q8" s="2093"/>
      <c r="S8" s="2092"/>
      <c r="T8" s="2093"/>
      <c r="V8" s="2122"/>
      <c r="W8" s="2123"/>
      <c r="X8" s="2124"/>
    </row>
    <row r="9" spans="1:24" s="362" customFormat="1" ht="12.6" customHeight="1">
      <c r="B9" s="362" t="s">
        <v>481</v>
      </c>
      <c r="G9" s="2092">
        <v>5500</v>
      </c>
      <c r="H9" s="2093"/>
      <c r="J9" s="2092">
        <v>5500</v>
      </c>
      <c r="K9" s="2093"/>
      <c r="L9" s="1148"/>
      <c r="M9" s="2092"/>
      <c r="N9" s="2093"/>
      <c r="P9" s="2092"/>
      <c r="Q9" s="2093"/>
      <c r="S9" s="2092"/>
      <c r="T9" s="2093"/>
      <c r="V9" s="2122"/>
      <c r="W9" s="2125"/>
      <c r="X9" s="2126"/>
    </row>
    <row r="10" spans="1:24" s="362" customFormat="1" ht="12.6" customHeight="1">
      <c r="B10" s="362" t="s">
        <v>517</v>
      </c>
      <c r="G10" s="2092">
        <v>3000</v>
      </c>
      <c r="H10" s="2093"/>
      <c r="J10" s="2092">
        <v>3000</v>
      </c>
      <c r="K10" s="2093"/>
      <c r="L10" s="1148"/>
      <c r="M10" s="2092"/>
      <c r="N10" s="2093"/>
      <c r="P10" s="2092"/>
      <c r="Q10" s="2093"/>
      <c r="S10" s="2092"/>
      <c r="T10" s="2093"/>
      <c r="V10" s="2122"/>
      <c r="W10" s="2125"/>
      <c r="X10" s="2126"/>
    </row>
    <row r="11" spans="1:24" s="362" customFormat="1" ht="12.6" customHeight="1">
      <c r="B11" s="362" t="s">
        <v>518</v>
      </c>
      <c r="G11" s="2092">
        <v>5705</v>
      </c>
      <c r="H11" s="2093"/>
      <c r="J11" s="2092">
        <v>5705</v>
      </c>
      <c r="K11" s="2093"/>
      <c r="L11" s="1148"/>
      <c r="M11" s="2092"/>
      <c r="N11" s="2093"/>
      <c r="P11" s="2092"/>
      <c r="Q11" s="2093"/>
      <c r="S11" s="2092"/>
      <c r="T11" s="2093"/>
      <c r="V11" s="2122"/>
      <c r="W11" s="2125"/>
      <c r="X11" s="2126"/>
    </row>
    <row r="12" spans="1:24" s="362" customFormat="1" ht="12.6" customHeight="1">
      <c r="B12" s="362" t="s">
        <v>2670</v>
      </c>
      <c r="G12" s="2092">
        <v>12600</v>
      </c>
      <c r="H12" s="2093"/>
      <c r="J12" s="2092">
        <v>12600</v>
      </c>
      <c r="K12" s="2093"/>
      <c r="L12" s="1148"/>
      <c r="M12" s="2092"/>
      <c r="N12" s="2093"/>
      <c r="P12" s="2092"/>
      <c r="Q12" s="2093"/>
      <c r="S12" s="2092"/>
      <c r="T12" s="2093"/>
      <c r="V12" s="2122"/>
      <c r="W12" s="2125"/>
      <c r="X12" s="2126"/>
    </row>
    <row r="13" spans="1:24" s="362" customFormat="1" ht="12.6" customHeight="1">
      <c r="B13" s="362" t="s">
        <v>198</v>
      </c>
      <c r="G13" s="2092">
        <v>2500</v>
      </c>
      <c r="H13" s="2093"/>
      <c r="J13" s="2092">
        <v>2500</v>
      </c>
      <c r="K13" s="2093"/>
      <c r="L13" s="1148"/>
      <c r="M13" s="2092"/>
      <c r="N13" s="2093"/>
      <c r="P13" s="2092"/>
      <c r="Q13" s="2093"/>
      <c r="S13" s="2092"/>
      <c r="T13" s="2093"/>
      <c r="V13" s="2122"/>
      <c r="W13" s="2125"/>
      <c r="X13" s="2126"/>
    </row>
    <row r="14" spans="1:24" s="362" customFormat="1" ht="12.6" customHeight="1">
      <c r="A14" s="448" t="str">
        <f>IF(AND(G14&gt;0,OR(C14="",C14="&lt;Enter detailed description here; use Comments section if needed&gt;")),"X","")</f>
        <v/>
      </c>
      <c r="B14" s="362" t="s">
        <v>791</v>
      </c>
      <c r="C14" s="1953" t="s">
        <v>2580</v>
      </c>
      <c r="D14" s="1953"/>
      <c r="E14" s="1953"/>
      <c r="F14" s="1954"/>
      <c r="G14" s="2092"/>
      <c r="H14" s="2093"/>
      <c r="J14" s="2092"/>
      <c r="K14" s="2093"/>
      <c r="L14" s="1148"/>
      <c r="M14" s="2092"/>
      <c r="N14" s="2093"/>
      <c r="P14" s="2092"/>
      <c r="Q14" s="2093"/>
      <c r="S14" s="2092"/>
      <c r="T14" s="2093"/>
      <c r="U14" s="447" t="str">
        <f>IF(AND(G14&gt;0,OR(C14="",C14="&lt;Enter detailed description here; use Comments section if needed&gt;")),"NO DESCRIPTION PROVIDED - please enter detailed description in Other box at left; use Comments section below if needed.","")</f>
        <v/>
      </c>
      <c r="V14" s="2127"/>
      <c r="W14" s="2125"/>
      <c r="X14" s="2126"/>
    </row>
    <row r="15" spans="1:24" s="362" customFormat="1" ht="12.6" customHeight="1">
      <c r="A15" s="448" t="str">
        <f>IF(AND(G15&gt;0,OR(C15="",C15="&lt;Enter detailed description here; use Comments section if needed&gt;")),"X","")</f>
        <v/>
      </c>
      <c r="B15" s="362" t="s">
        <v>791</v>
      </c>
      <c r="C15" s="1953" t="s">
        <v>2580</v>
      </c>
      <c r="D15" s="1953"/>
      <c r="E15" s="1953"/>
      <c r="F15" s="1954"/>
      <c r="G15" s="2092"/>
      <c r="H15" s="2093"/>
      <c r="J15" s="2092"/>
      <c r="K15" s="2093"/>
      <c r="L15" s="1148"/>
      <c r="M15" s="2092"/>
      <c r="N15" s="2093"/>
      <c r="P15" s="2092"/>
      <c r="Q15" s="2093"/>
      <c r="S15" s="2092"/>
      <c r="T15" s="2093"/>
      <c r="U15" s="447" t="str">
        <f>IF(AND(G15&gt;0,OR(C15="",C15="&lt;Enter detailed description here; use Comments section if needed&gt;")),"NO DESCRIPTION PROVIDED - please enter detailed description in Other box at left; use Comments section below if needed.","")</f>
        <v/>
      </c>
      <c r="V15" s="2127"/>
      <c r="W15" s="2125"/>
      <c r="X15" s="2126"/>
    </row>
    <row r="16" spans="1:24" s="362" customFormat="1" ht="12.6" customHeight="1" thickBot="1">
      <c r="A16" s="448" t="str">
        <f>IF(AND(G16&gt;0,OR(C16="",C16="&lt;Enter detailed description here; use Comments section if needed&gt;")),"X","")</f>
        <v/>
      </c>
      <c r="B16" s="362" t="s">
        <v>791</v>
      </c>
      <c r="C16" s="1953" t="s">
        <v>2580</v>
      </c>
      <c r="D16" s="1953"/>
      <c r="E16" s="1953"/>
      <c r="F16" s="1954"/>
      <c r="G16" s="2092"/>
      <c r="H16" s="2093"/>
      <c r="J16" s="2128"/>
      <c r="K16" s="2129"/>
      <c r="L16" s="1148"/>
      <c r="M16" s="2092"/>
      <c r="N16" s="2093"/>
      <c r="P16" s="2092"/>
      <c r="Q16" s="2093"/>
      <c r="S16" s="2128"/>
      <c r="T16" s="2129"/>
      <c r="U16" s="447" t="str">
        <f>IF(AND(G16&gt;0,OR(C16="",C16="&lt;Enter detailed description here; use Comments section if needed&gt;")),"NO DESCRIPTION PROVIDED - please enter detailed description in Other box at left; use Comments section below if needed.","")</f>
        <v/>
      </c>
      <c r="V16" s="2127"/>
      <c r="W16" s="2125"/>
      <c r="X16" s="2126"/>
    </row>
    <row r="17" spans="2:24" s="362" customFormat="1" ht="12.6" customHeight="1" thickTop="1">
      <c r="F17" s="421" t="s">
        <v>199</v>
      </c>
      <c r="G17" s="1309">
        <f>SUM(G8:H16)</f>
        <v>38305</v>
      </c>
      <c r="H17" s="1310"/>
      <c r="J17" s="1309">
        <f>SUM(J8:K16)</f>
        <v>38305</v>
      </c>
      <c r="K17" s="1379"/>
      <c r="L17" s="1148"/>
      <c r="M17" s="1309">
        <f>SUM(M8:N16)</f>
        <v>0</v>
      </c>
      <c r="N17" s="1310"/>
      <c r="P17" s="1309">
        <f>SUM(P8:Q16)</f>
        <v>0</v>
      </c>
      <c r="Q17" s="1310"/>
      <c r="S17" s="1309">
        <f>SUM(S8:T16)</f>
        <v>0</v>
      </c>
      <c r="T17" s="1310"/>
      <c r="V17" s="2130"/>
      <c r="W17" s="2131"/>
      <c r="X17" s="2132"/>
    </row>
    <row r="18" spans="2:24" s="362" customFormat="1" ht="12" customHeight="1">
      <c r="B18" s="365" t="s">
        <v>2339</v>
      </c>
      <c r="J18" s="420"/>
      <c r="K18" s="420"/>
      <c r="M18" s="420"/>
      <c r="N18" s="420"/>
      <c r="O18" s="422" t="str">
        <f>B18</f>
        <v>ACQUISITION</v>
      </c>
      <c r="P18" s="420"/>
      <c r="Q18" s="420"/>
      <c r="S18" s="420"/>
      <c r="T18" s="420"/>
      <c r="W18" s="362" t="str">
        <f>B18</f>
        <v>ACQUISITION</v>
      </c>
    </row>
    <row r="19" spans="2:24" s="362" customFormat="1" ht="12.6" customHeight="1">
      <c r="B19" s="362" t="s">
        <v>2340</v>
      </c>
      <c r="G19" s="2092"/>
      <c r="H19" s="2093"/>
      <c r="J19" s="423"/>
      <c r="K19" s="420"/>
      <c r="L19" s="423"/>
      <c r="M19" s="423"/>
      <c r="N19" s="420"/>
      <c r="P19" s="423"/>
      <c r="Q19" s="420"/>
      <c r="S19" s="2092"/>
      <c r="T19" s="2093"/>
      <c r="V19" s="2122"/>
      <c r="W19" s="2123"/>
      <c r="X19" s="2124"/>
    </row>
    <row r="20" spans="2:24" s="362" customFormat="1" ht="12.6" customHeight="1">
      <c r="B20" s="362" t="s">
        <v>1184</v>
      </c>
      <c r="G20" s="2092">
        <v>379147</v>
      </c>
      <c r="H20" s="2093"/>
      <c r="J20" s="423"/>
      <c r="K20" s="420"/>
      <c r="L20" s="423"/>
      <c r="M20" s="423"/>
      <c r="N20" s="420"/>
      <c r="P20" s="423"/>
      <c r="Q20" s="420"/>
      <c r="S20" s="2092">
        <v>379147</v>
      </c>
      <c r="T20" s="2093"/>
      <c r="V20" s="2122"/>
      <c r="W20" s="2125"/>
      <c r="X20" s="2126"/>
    </row>
    <row r="21" spans="2:24" s="362" customFormat="1" ht="12.6" customHeight="1">
      <c r="B21" s="362" t="s">
        <v>482</v>
      </c>
      <c r="G21" s="2092"/>
      <c r="H21" s="2093"/>
      <c r="J21" s="423"/>
      <c r="K21" s="420"/>
      <c r="L21" s="423"/>
      <c r="M21" s="2092"/>
      <c r="N21" s="2093"/>
      <c r="P21" s="423"/>
      <c r="Q21" s="420"/>
      <c r="S21" s="2092"/>
      <c r="T21" s="2093"/>
      <c r="V21" s="2122"/>
      <c r="W21" s="2125"/>
      <c r="X21" s="2126"/>
    </row>
    <row r="22" spans="2:24" s="362" customFormat="1" ht="12.6" customHeight="1" thickBot="1">
      <c r="B22" s="362" t="s">
        <v>451</v>
      </c>
      <c r="G22" s="2133"/>
      <c r="H22" s="2134"/>
      <c r="J22" s="423"/>
      <c r="K22" s="420"/>
      <c r="L22" s="423"/>
      <c r="M22" s="2133"/>
      <c r="N22" s="2134"/>
      <c r="P22" s="423"/>
      <c r="Q22" s="420"/>
      <c r="S22" s="2092"/>
      <c r="T22" s="2093"/>
      <c r="V22" s="2122"/>
      <c r="W22" s="2125"/>
      <c r="X22" s="2126"/>
    </row>
    <row r="23" spans="2:24" s="362" customFormat="1" ht="12.6" customHeight="1" thickTop="1">
      <c r="F23" s="421" t="s">
        <v>199</v>
      </c>
      <c r="G23" s="1309">
        <f>SUM(G19:H22)</f>
        <v>379147</v>
      </c>
      <c r="H23" s="1310"/>
      <c r="J23" s="423"/>
      <c r="K23" s="420"/>
      <c r="L23" s="423"/>
      <c r="M23" s="1309">
        <f>SUM(M21:N22)</f>
        <v>0</v>
      </c>
      <c r="N23" s="1310"/>
      <c r="P23" s="423"/>
      <c r="Q23" s="420"/>
      <c r="S23" s="1309">
        <f>SUM(S19:T22)</f>
        <v>379147</v>
      </c>
      <c r="T23" s="1310"/>
      <c r="V23" s="2130"/>
      <c r="W23" s="2131"/>
      <c r="X23" s="2132"/>
    </row>
    <row r="24" spans="2:24" s="362" customFormat="1" ht="12" customHeight="1">
      <c r="B24" s="365" t="s">
        <v>1185</v>
      </c>
      <c r="J24" s="423"/>
      <c r="K24" s="420"/>
      <c r="M24" s="423"/>
      <c r="N24" s="420"/>
      <c r="O24" s="422" t="str">
        <f>B24</f>
        <v>LAND IMPROVEMENTS</v>
      </c>
      <c r="P24" s="423"/>
      <c r="Q24" s="420"/>
      <c r="S24" s="423"/>
      <c r="T24" s="420"/>
      <c r="W24" s="362" t="str">
        <f>B24</f>
        <v>LAND IMPROVEMENTS</v>
      </c>
    </row>
    <row r="25" spans="2:24" s="362" customFormat="1" ht="12.6" customHeight="1">
      <c r="B25" s="362" t="s">
        <v>1186</v>
      </c>
      <c r="G25" s="2092">
        <v>691336</v>
      </c>
      <c r="H25" s="2093"/>
      <c r="J25" s="2128">
        <v>623203</v>
      </c>
      <c r="K25" s="2129"/>
      <c r="L25" s="1148"/>
      <c r="M25" s="2128"/>
      <c r="N25" s="2129"/>
      <c r="P25" s="2128"/>
      <c r="Q25" s="2129"/>
      <c r="S25" s="2092">
        <v>68134</v>
      </c>
      <c r="T25" s="2093"/>
      <c r="V25" s="2122"/>
      <c r="W25" s="2123"/>
      <c r="X25" s="2124"/>
    </row>
    <row r="26" spans="2:24" s="362" customFormat="1" ht="12.6" customHeight="1" thickBot="1">
      <c r="B26" s="362" t="s">
        <v>1187</v>
      </c>
      <c r="G26" s="2092"/>
      <c r="H26" s="2093"/>
      <c r="J26" s="2128"/>
      <c r="K26" s="2129"/>
      <c r="L26" s="424"/>
      <c r="M26" s="1359"/>
      <c r="N26" s="1359"/>
      <c r="P26" s="1359"/>
      <c r="Q26" s="1359"/>
      <c r="S26" s="2092"/>
      <c r="T26" s="2093"/>
      <c r="V26" s="2122"/>
      <c r="W26" s="2125"/>
      <c r="X26" s="2126"/>
    </row>
    <row r="27" spans="2:24" s="362" customFormat="1" ht="12.6" customHeight="1" thickTop="1">
      <c r="F27" s="421" t="s">
        <v>199</v>
      </c>
      <c r="G27" s="1309">
        <f>SUM(G25:H26)</f>
        <v>691336</v>
      </c>
      <c r="H27" s="1310"/>
      <c r="J27" s="1309">
        <f>SUM(J25:K26)</f>
        <v>623203</v>
      </c>
      <c r="K27" s="1310"/>
      <c r="L27" s="423"/>
      <c r="M27" s="1309">
        <f>M25</f>
        <v>0</v>
      </c>
      <c r="N27" s="1310"/>
      <c r="P27" s="1309">
        <f>P25</f>
        <v>0</v>
      </c>
      <c r="Q27" s="1310"/>
      <c r="S27" s="1309">
        <f>SUM(S25:T26)</f>
        <v>68134</v>
      </c>
      <c r="T27" s="1310"/>
      <c r="V27" s="2130"/>
      <c r="W27" s="2131"/>
      <c r="X27" s="2132"/>
    </row>
    <row r="28" spans="2:24" s="362" customFormat="1" ht="12" customHeight="1">
      <c r="B28" s="365" t="s">
        <v>1188</v>
      </c>
      <c r="J28" s="423"/>
      <c r="K28" s="420"/>
      <c r="M28" s="423"/>
      <c r="N28" s="420"/>
      <c r="O28" s="422" t="str">
        <f>B28</f>
        <v>STRUCTURES</v>
      </c>
      <c r="P28" s="423"/>
      <c r="Q28" s="420"/>
      <c r="S28" s="423"/>
      <c r="T28" s="420"/>
      <c r="W28" s="362" t="str">
        <f>B28</f>
        <v>STRUCTURES</v>
      </c>
    </row>
    <row r="29" spans="2:24" s="362" customFormat="1" ht="12.6" customHeight="1">
      <c r="B29" s="362" t="s">
        <v>1189</v>
      </c>
      <c r="G29" s="2092">
        <v>4586951</v>
      </c>
      <c r="H29" s="2093"/>
      <c r="J29" s="2092">
        <v>4586951</v>
      </c>
      <c r="K29" s="2093"/>
      <c r="L29" s="1148"/>
      <c r="M29" s="2092"/>
      <c r="N29" s="2093"/>
      <c r="P29" s="2092"/>
      <c r="Q29" s="2093"/>
      <c r="S29" s="2092"/>
      <c r="T29" s="2093"/>
      <c r="V29" s="2122"/>
      <c r="W29" s="2123"/>
      <c r="X29" s="2124"/>
    </row>
    <row r="30" spans="2:24" s="362" customFormat="1" ht="12.6" customHeight="1">
      <c r="B30" s="362" t="s">
        <v>1190</v>
      </c>
      <c r="G30" s="2092"/>
      <c r="H30" s="2093"/>
      <c r="J30" s="2092"/>
      <c r="K30" s="2093"/>
      <c r="L30" s="1148"/>
      <c r="M30" s="2092"/>
      <c r="N30" s="2093"/>
      <c r="P30" s="2092"/>
      <c r="Q30" s="2093"/>
      <c r="S30" s="2092"/>
      <c r="T30" s="2093"/>
      <c r="V30" s="2122"/>
      <c r="W30" s="2125"/>
      <c r="X30" s="2126"/>
    </row>
    <row r="31" spans="2:24" s="362" customFormat="1" ht="12.6" customHeight="1">
      <c r="B31" s="362" t="s">
        <v>3231</v>
      </c>
      <c r="G31" s="2092">
        <v>320000</v>
      </c>
      <c r="H31" s="2093"/>
      <c r="J31" s="2092">
        <v>320000</v>
      </c>
      <c r="K31" s="2093"/>
      <c r="L31" s="1148"/>
      <c r="M31" s="2092"/>
      <c r="N31" s="2093"/>
      <c r="P31" s="2092"/>
      <c r="Q31" s="2093"/>
      <c r="S31" s="2092"/>
      <c r="T31" s="2093"/>
      <c r="V31" s="2122"/>
      <c r="W31" s="2125"/>
      <c r="X31" s="2126"/>
    </row>
    <row r="32" spans="2:24" ht="12.6" customHeight="1" thickBot="1">
      <c r="B32" s="362" t="s">
        <v>3230</v>
      </c>
      <c r="G32" s="2092"/>
      <c r="H32" s="2093"/>
      <c r="I32" s="362"/>
      <c r="J32" s="2092"/>
      <c r="K32" s="2093"/>
      <c r="L32" s="1148"/>
      <c r="M32" s="2092"/>
      <c r="N32" s="2093"/>
      <c r="O32" s="362"/>
      <c r="P32" s="2092"/>
      <c r="Q32" s="2093"/>
      <c r="R32" s="362"/>
      <c r="S32" s="2092"/>
      <c r="T32" s="2093"/>
      <c r="V32" s="2122"/>
      <c r="W32" s="2125"/>
      <c r="X32" s="2126"/>
    </row>
    <row r="33" spans="1:24" s="362" customFormat="1" ht="12.6" customHeight="1" thickTop="1">
      <c r="C33" s="1327"/>
      <c r="D33" s="1327"/>
      <c r="E33" s="1151"/>
      <c r="F33" s="421" t="s">
        <v>199</v>
      </c>
      <c r="G33" s="1309">
        <f>SUM(G29:H32)</f>
        <v>4906951</v>
      </c>
      <c r="H33" s="1310"/>
      <c r="J33" s="1309">
        <f>SUM(J29:K32)</f>
        <v>4906951</v>
      </c>
      <c r="K33" s="1310"/>
      <c r="L33" s="1148"/>
      <c r="M33" s="1309">
        <f>SUM(M29:N32)</f>
        <v>0</v>
      </c>
      <c r="N33" s="1310"/>
      <c r="P33" s="1309">
        <f>SUM(P29:Q32)</f>
        <v>0</v>
      </c>
      <c r="Q33" s="1310"/>
      <c r="S33" s="1309">
        <f>SUM(S29:T32)</f>
        <v>0</v>
      </c>
      <c r="T33" s="1310"/>
      <c r="V33" s="2130"/>
      <c r="W33" s="2131"/>
      <c r="X33" s="2132"/>
    </row>
    <row r="34" spans="1:24" s="362" customFormat="1" ht="12" customHeight="1">
      <c r="B34" s="365" t="s">
        <v>2496</v>
      </c>
      <c r="E34" s="633">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2497</v>
      </c>
      <c r="E35" s="425">
        <f>'DCA Underwriting Assumptions'!$R$37</f>
        <v>0.06</v>
      </c>
      <c r="F35" s="484">
        <f>E35*($G$27+$G$33)</f>
        <v>335897.22</v>
      </c>
      <c r="G35" s="2092">
        <v>335897</v>
      </c>
      <c r="H35" s="2093"/>
      <c r="I35" s="382"/>
      <c r="J35" s="2092">
        <v>335897</v>
      </c>
      <c r="K35" s="2093"/>
      <c r="L35" s="1148"/>
      <c r="M35" s="2092"/>
      <c r="N35" s="2093"/>
      <c r="P35" s="2092"/>
      <c r="Q35" s="2093"/>
      <c r="S35" s="2092"/>
      <c r="T35" s="2093"/>
      <c r="V35" s="2122"/>
      <c r="W35" s="2123"/>
      <c r="X35" s="2124"/>
    </row>
    <row r="36" spans="1:24" s="362" customFormat="1" ht="12.6" customHeight="1">
      <c r="B36" s="362" t="s">
        <v>3008</v>
      </c>
      <c r="E36" s="483">
        <f>'DCA Underwriting Assumptions'!$R$38</f>
        <v>0.02</v>
      </c>
      <c r="F36" s="484">
        <f>E36*($G$27+$G$33)</f>
        <v>111965.74</v>
      </c>
      <c r="G36" s="2092">
        <v>111965</v>
      </c>
      <c r="H36" s="2093"/>
      <c r="I36" s="382"/>
      <c r="J36" s="2092">
        <v>111965</v>
      </c>
      <c r="K36" s="2093"/>
      <c r="L36" s="1148"/>
      <c r="M36" s="2092"/>
      <c r="N36" s="2093"/>
      <c r="P36" s="2092"/>
      <c r="Q36" s="2093"/>
      <c r="S36" s="2092"/>
      <c r="T36" s="2093"/>
      <c r="V36" s="2122"/>
      <c r="W36" s="2125"/>
      <c r="X36" s="2126"/>
    </row>
    <row r="37" spans="1:24" s="362" customFormat="1" ht="12.6" customHeight="1" thickBot="1">
      <c r="B37" s="362" t="s">
        <v>3009</v>
      </c>
      <c r="E37" s="483">
        <f>'DCA Underwriting Assumptions'!$R$39</f>
        <v>0.06</v>
      </c>
      <c r="F37" s="484">
        <f>E37*($G$27+$G$33)</f>
        <v>335897.22</v>
      </c>
      <c r="G37" s="2092">
        <v>335897</v>
      </c>
      <c r="H37" s="2093"/>
      <c r="I37" s="382"/>
      <c r="J37" s="2092">
        <v>335897</v>
      </c>
      <c r="K37" s="2093"/>
      <c r="L37" s="1148"/>
      <c r="M37" s="2092"/>
      <c r="N37" s="2093"/>
      <c r="P37" s="2092"/>
      <c r="Q37" s="2093"/>
      <c r="S37" s="2092"/>
      <c r="T37" s="2093"/>
      <c r="V37" s="2122"/>
      <c r="W37" s="2125"/>
      <c r="X37" s="2126"/>
    </row>
    <row r="38" spans="1:24" s="362" customFormat="1" ht="12.6" customHeight="1" thickTop="1">
      <c r="B38" s="362" t="s">
        <v>2178</v>
      </c>
      <c r="D38" s="428"/>
      <c r="E38" s="1142"/>
      <c r="F38" s="485" t="s">
        <v>199</v>
      </c>
      <c r="G38" s="1309">
        <f>SUM(G35:H37)</f>
        <v>783759</v>
      </c>
      <c r="H38" s="1310"/>
      <c r="J38" s="1309">
        <f>SUM(J35:K37)</f>
        <v>783759</v>
      </c>
      <c r="K38" s="1310"/>
      <c r="L38" s="423"/>
      <c r="M38" s="1309">
        <f>SUM(M35:N37)</f>
        <v>0</v>
      </c>
      <c r="N38" s="1310"/>
      <c r="P38" s="1309">
        <f>SUM(P35:Q37)</f>
        <v>0</v>
      </c>
      <c r="Q38" s="1310"/>
      <c r="S38" s="1309">
        <f>SUM(S35:T37)</f>
        <v>0</v>
      </c>
      <c r="T38" s="1310"/>
      <c r="V38" s="2130"/>
      <c r="W38" s="2131"/>
      <c r="X38" s="2132"/>
    </row>
    <row r="39" spans="1:24" s="362" customFormat="1" ht="3" customHeight="1">
      <c r="A39" s="617"/>
      <c r="B39" s="617"/>
      <c r="C39" s="617"/>
      <c r="D39" s="617"/>
      <c r="E39" s="617"/>
      <c r="F39" s="617"/>
      <c r="G39" s="617"/>
      <c r="H39" s="617"/>
      <c r="I39" s="617"/>
      <c r="J39" s="617"/>
      <c r="K39" s="617"/>
      <c r="L39" s="617"/>
      <c r="M39" s="617"/>
      <c r="N39" s="617"/>
      <c r="O39" s="617"/>
      <c r="P39" s="617"/>
      <c r="Q39" s="617"/>
      <c r="R39" s="617"/>
      <c r="S39" s="617"/>
      <c r="T39" s="617"/>
    </row>
    <row r="40" spans="1:24" s="362" customFormat="1" ht="12" customHeight="1">
      <c r="B40" s="365" t="s">
        <v>3013</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791</v>
      </c>
      <c r="C41" s="1953" t="s">
        <v>2580</v>
      </c>
      <c r="D41" s="2135"/>
      <c r="E41" s="2135"/>
      <c r="F41" s="2064"/>
      <c r="G41" s="2092"/>
      <c r="H41" s="2093"/>
      <c r="I41" s="362"/>
      <c r="J41" s="2092"/>
      <c r="K41" s="2093"/>
      <c r="L41" s="1148"/>
      <c r="M41" s="2092"/>
      <c r="N41" s="2093"/>
      <c r="O41" s="362"/>
      <c r="P41" s="2092"/>
      <c r="Q41" s="2093"/>
      <c r="R41" s="362"/>
      <c r="S41" s="2092"/>
      <c r="T41" s="2093"/>
      <c r="V41" s="2122"/>
      <c r="W41" s="2123"/>
      <c r="X41" s="2124"/>
    </row>
    <row r="42" spans="1:24" s="362" customFormat="1" ht="6" customHeight="1">
      <c r="A42" s="617"/>
      <c r="B42" s="617"/>
      <c r="C42" s="617"/>
      <c r="D42" s="363"/>
      <c r="E42" s="363"/>
      <c r="F42" s="363"/>
      <c r="G42" s="617"/>
      <c r="H42" s="617"/>
      <c r="I42" s="617"/>
      <c r="J42" s="617"/>
      <c r="K42" s="617"/>
      <c r="L42" s="617"/>
      <c r="M42" s="617"/>
      <c r="N42" s="617"/>
      <c r="O42" s="617"/>
      <c r="P42" s="617"/>
      <c r="Q42" s="617"/>
      <c r="R42" s="617"/>
      <c r="S42" s="617"/>
      <c r="T42" s="617"/>
      <c r="W42" s="2125"/>
      <c r="X42" s="2126"/>
    </row>
    <row r="43" spans="1:24" s="362" customFormat="1" ht="12.6" customHeight="1">
      <c r="B43" s="661" t="s">
        <v>3019</v>
      </c>
      <c r="C43" s="662"/>
      <c r="E43" s="1369" t="s">
        <v>3018</v>
      </c>
      <c r="F43" s="1150">
        <f>B44/'Part VI-Revenues &amp; Expenses'!$M$60</f>
        <v>92493.420289855072</v>
      </c>
      <c r="G43" s="659" t="s">
        <v>3222</v>
      </c>
      <c r="H43" s="618"/>
      <c r="I43" s="618"/>
      <c r="J43" s="1362">
        <f>B44/'Part VI-Revenues &amp; Expenses'!$M$62</f>
        <v>92493.420289855072</v>
      </c>
      <c r="K43" s="1362"/>
      <c r="L43" s="618"/>
      <c r="M43" s="1360" t="s">
        <v>1492</v>
      </c>
      <c r="N43" s="1360"/>
      <c r="O43" s="618"/>
      <c r="P43" s="1362">
        <f>B44/'Part I-Project Information'!$P$59</f>
        <v>92.674740434182823</v>
      </c>
      <c r="Q43" s="1362"/>
      <c r="R43" s="618"/>
      <c r="S43" s="1376" t="s">
        <v>3229</v>
      </c>
      <c r="T43" s="1377"/>
      <c r="W43" s="2125"/>
      <c r="X43" s="2126"/>
    </row>
    <row r="44" spans="1:24" s="362" customFormat="1" ht="12.6" customHeight="1">
      <c r="B44" s="1371">
        <f>G27+G33+G38+G41</f>
        <v>6382046</v>
      </c>
      <c r="C44" s="1372"/>
      <c r="E44" s="1370"/>
      <c r="F44" s="1149">
        <f>B44/'Part VI-Revenues &amp; Expenses'!$M$98</f>
        <v>97.339220620758027</v>
      </c>
      <c r="G44" s="660" t="s">
        <v>3223</v>
      </c>
      <c r="H44" s="1147"/>
      <c r="I44" s="1147"/>
      <c r="J44" s="1368">
        <f>B44/'Part VI-Revenues &amp; Expenses'!$M$100</f>
        <v>97.339220620758027</v>
      </c>
      <c r="K44" s="1368"/>
      <c r="L44" s="1147"/>
      <c r="M44" s="1361" t="s">
        <v>3228</v>
      </c>
      <c r="N44" s="1361"/>
      <c r="O44" s="1147"/>
      <c r="P44" s="1147"/>
      <c r="Q44" s="1147"/>
      <c r="R44" s="1147"/>
      <c r="S44" s="1147"/>
      <c r="T44" s="412"/>
      <c r="W44" s="2131"/>
      <c r="X44" s="2132"/>
    </row>
    <row r="45" spans="1:24" s="362" customFormat="1" ht="3" customHeight="1">
      <c r="A45" s="617"/>
      <c r="B45" s="617"/>
      <c r="C45" s="617"/>
      <c r="D45" s="617"/>
      <c r="E45" s="617"/>
      <c r="F45" s="617"/>
      <c r="G45" s="617"/>
      <c r="H45" s="617"/>
      <c r="I45" s="617"/>
      <c r="J45" s="617"/>
      <c r="K45" s="617"/>
      <c r="L45" s="617"/>
      <c r="M45" s="617"/>
      <c r="N45" s="617"/>
      <c r="O45" s="617"/>
      <c r="P45" s="617"/>
      <c r="Q45" s="617"/>
      <c r="R45" s="617"/>
      <c r="S45" s="617"/>
      <c r="T45" s="617"/>
    </row>
    <row r="46" spans="1:24" s="362" customFormat="1" ht="12" customHeight="1">
      <c r="B46" s="365" t="s">
        <v>1191</v>
      </c>
      <c r="J46" s="423"/>
      <c r="K46" s="420"/>
      <c r="M46" s="423"/>
      <c r="N46" s="420"/>
      <c r="O46" s="422" t="str">
        <f>B46</f>
        <v>CONSTRUCTION CONTINGENCY</v>
      </c>
      <c r="P46" s="423"/>
      <c r="Q46" s="420"/>
      <c r="S46" s="423"/>
      <c r="T46" s="420"/>
      <c r="W46" s="362" t="str">
        <f>B46</f>
        <v>CONSTRUCTION CONTINGENCY</v>
      </c>
    </row>
    <row r="47" spans="1:24" ht="12.6" customHeight="1">
      <c r="B47" s="362" t="s">
        <v>2097</v>
      </c>
      <c r="F47" s="488">
        <f>G47/$B$44</f>
        <v>4.9999952993131043E-2</v>
      </c>
      <c r="G47" s="2092">
        <v>319102</v>
      </c>
      <c r="H47" s="2093"/>
      <c r="I47" s="362"/>
      <c r="J47" s="2092">
        <v>319102</v>
      </c>
      <c r="K47" s="2093"/>
      <c r="L47" s="1148"/>
      <c r="M47" s="2092"/>
      <c r="N47" s="2093"/>
      <c r="O47" s="362"/>
      <c r="P47" s="2092"/>
      <c r="Q47" s="2093"/>
      <c r="R47" s="362"/>
      <c r="S47" s="2092"/>
      <c r="T47" s="2093"/>
      <c r="V47" s="2122"/>
      <c r="W47" s="2136"/>
      <c r="X47" s="2137"/>
    </row>
    <row r="48" spans="1:24" s="362" customFormat="1" ht="3" customHeight="1">
      <c r="A48" s="617"/>
      <c r="B48" s="617"/>
      <c r="C48" s="617"/>
      <c r="D48" s="617"/>
      <c r="E48" s="617"/>
      <c r="F48" s="617"/>
      <c r="G48" s="617"/>
      <c r="H48" s="617"/>
      <c r="I48" s="617"/>
      <c r="J48" s="617"/>
      <c r="K48" s="617"/>
      <c r="L48" s="617"/>
      <c r="M48" s="617"/>
      <c r="N48" s="617"/>
      <c r="O48" s="617"/>
      <c r="P48" s="617"/>
      <c r="Q48" s="617"/>
      <c r="R48" s="617"/>
      <c r="S48" s="617"/>
      <c r="T48" s="617"/>
    </row>
    <row r="49" spans="1:24" s="362" customFormat="1" ht="3" customHeight="1" thickBot="1">
      <c r="A49" s="617"/>
      <c r="B49" s="617"/>
      <c r="C49" s="617"/>
      <c r="D49" s="617"/>
      <c r="E49" s="617"/>
      <c r="F49" s="617"/>
      <c r="G49" s="617"/>
      <c r="H49" s="617"/>
      <c r="I49" s="617"/>
      <c r="J49" s="617"/>
      <c r="K49" s="617"/>
      <c r="L49" s="617"/>
      <c r="M49" s="617"/>
      <c r="N49" s="617"/>
      <c r="O49" s="617"/>
      <c r="P49" s="617"/>
      <c r="Q49" s="617"/>
      <c r="R49" s="617"/>
      <c r="S49" s="617"/>
      <c r="T49" s="617"/>
    </row>
    <row r="50" spans="1:24" s="362" customFormat="1" ht="18.75" customHeight="1" thickBot="1">
      <c r="A50" s="524" t="s">
        <v>657</v>
      </c>
      <c r="B50" s="524" t="s">
        <v>3395</v>
      </c>
      <c r="H50" s="1142"/>
      <c r="I50" s="1142"/>
      <c r="J50" s="1311" t="s">
        <v>285</v>
      </c>
      <c r="K50" s="1312"/>
      <c r="L50" s="420"/>
      <c r="M50" s="1305" t="s">
        <v>520</v>
      </c>
      <c r="N50" s="1306"/>
      <c r="P50" s="1311" t="s">
        <v>286</v>
      </c>
      <c r="Q50" s="1312"/>
      <c r="S50" s="1311" t="s">
        <v>287</v>
      </c>
      <c r="T50" s="1312"/>
      <c r="W50" s="525" t="str">
        <f>B50</f>
        <v>DEVELOPMENT BUDGET (cont'd)</v>
      </c>
    </row>
    <row r="51" spans="1:24" s="362" customFormat="1" ht="18.75" customHeight="1" thickBot="1">
      <c r="G51" s="1366" t="s">
        <v>104</v>
      </c>
      <c r="H51" s="1367"/>
      <c r="J51" s="1313"/>
      <c r="K51" s="1314"/>
      <c r="L51" s="420"/>
      <c r="M51" s="1307"/>
      <c r="N51" s="1308"/>
      <c r="P51" s="1313"/>
      <c r="Q51" s="1314"/>
      <c r="S51" s="1313"/>
      <c r="T51" s="1314"/>
      <c r="W51" s="1378" t="s">
        <v>2893</v>
      </c>
      <c r="X51" s="1378"/>
    </row>
    <row r="52" spans="1:24" s="362" customFormat="1" ht="12" customHeight="1">
      <c r="B52" s="365" t="s">
        <v>772</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2499</v>
      </c>
      <c r="G53" s="2092">
        <v>71000</v>
      </c>
      <c r="H53" s="2093"/>
      <c r="J53" s="2092">
        <v>63900</v>
      </c>
      <c r="K53" s="2093"/>
      <c r="L53" s="1148"/>
      <c r="M53" s="2092"/>
      <c r="N53" s="2093"/>
      <c r="P53" s="2092"/>
      <c r="Q53" s="2093"/>
      <c r="S53" s="2092">
        <v>7100</v>
      </c>
      <c r="T53" s="2093"/>
      <c r="V53" s="2122"/>
      <c r="W53" s="2123"/>
      <c r="X53" s="2124"/>
    </row>
    <row r="54" spans="1:24" s="362" customFormat="1" ht="12" customHeight="1">
      <c r="B54" s="362" t="s">
        <v>2500</v>
      </c>
      <c r="G54" s="2092">
        <v>175760</v>
      </c>
      <c r="H54" s="2093"/>
      <c r="J54" s="2092">
        <v>108928</v>
      </c>
      <c r="K54" s="2093"/>
      <c r="L54" s="1148"/>
      <c r="M54" s="2092"/>
      <c r="N54" s="2093"/>
      <c r="P54" s="2092"/>
      <c r="Q54" s="2093"/>
      <c r="S54" s="2092">
        <v>66832</v>
      </c>
      <c r="T54" s="2093"/>
      <c r="V54" s="2122"/>
      <c r="W54" s="2125"/>
      <c r="X54" s="2126"/>
    </row>
    <row r="55" spans="1:24" s="362" customFormat="1" ht="12" customHeight="1">
      <c r="B55" s="362" t="s">
        <v>2501</v>
      </c>
      <c r="G55" s="2092">
        <v>45000</v>
      </c>
      <c r="H55" s="2093"/>
      <c r="J55" s="2092">
        <v>45000</v>
      </c>
      <c r="K55" s="2093"/>
      <c r="L55" s="1148"/>
      <c r="M55" s="2092"/>
      <c r="N55" s="2093"/>
      <c r="P55" s="2092"/>
      <c r="Q55" s="2093"/>
      <c r="S55" s="2092"/>
      <c r="T55" s="2093"/>
      <c r="V55" s="2122"/>
      <c r="W55" s="2125"/>
      <c r="X55" s="2126"/>
    </row>
    <row r="56" spans="1:24" s="362" customFormat="1" ht="12" customHeight="1">
      <c r="B56" s="362" t="s">
        <v>2915</v>
      </c>
      <c r="G56" s="2092">
        <v>65000</v>
      </c>
      <c r="H56" s="2093"/>
      <c r="J56" s="2092">
        <v>65000</v>
      </c>
      <c r="K56" s="2093"/>
      <c r="L56" s="1148"/>
      <c r="M56" s="2092"/>
      <c r="N56" s="2093"/>
      <c r="P56" s="2092"/>
      <c r="Q56" s="2093"/>
      <c r="S56" s="2092"/>
      <c r="T56" s="2093"/>
      <c r="V56" s="2122"/>
      <c r="W56" s="2125"/>
      <c r="X56" s="2126"/>
    </row>
    <row r="57" spans="1:24" s="362" customFormat="1" ht="12" customHeight="1">
      <c r="B57" s="362" t="s">
        <v>773</v>
      </c>
      <c r="G57" s="2092">
        <v>8000</v>
      </c>
      <c r="H57" s="2093"/>
      <c r="J57" s="2092">
        <v>8000</v>
      </c>
      <c r="K57" s="2093"/>
      <c r="L57" s="1148"/>
      <c r="M57" s="2092"/>
      <c r="N57" s="2093"/>
      <c r="P57" s="2092"/>
      <c r="Q57" s="2093"/>
      <c r="S57" s="2092"/>
      <c r="T57" s="2093"/>
      <c r="V57" s="2122"/>
      <c r="W57" s="2125"/>
      <c r="X57" s="2126"/>
    </row>
    <row r="58" spans="1:24" s="362" customFormat="1" ht="12" customHeight="1">
      <c r="B58" s="362" t="s">
        <v>2502</v>
      </c>
      <c r="G58" s="2092">
        <v>15000</v>
      </c>
      <c r="H58" s="2093"/>
      <c r="J58" s="2092">
        <v>15000</v>
      </c>
      <c r="K58" s="2093"/>
      <c r="L58" s="1148"/>
      <c r="M58" s="2092"/>
      <c r="N58" s="2093"/>
      <c r="P58" s="2092"/>
      <c r="Q58" s="2093"/>
      <c r="S58" s="2092"/>
      <c r="T58" s="2093"/>
      <c r="V58" s="2122"/>
      <c r="W58" s="2125"/>
      <c r="X58" s="2126"/>
    </row>
    <row r="59" spans="1:24" s="362" customFormat="1" ht="12" customHeight="1">
      <c r="B59" s="362" t="s">
        <v>1356</v>
      </c>
      <c r="G59" s="2092">
        <v>25000</v>
      </c>
      <c r="H59" s="2093"/>
      <c r="J59" s="2092">
        <v>25000</v>
      </c>
      <c r="K59" s="2093"/>
      <c r="L59" s="1148"/>
      <c r="M59" s="2092"/>
      <c r="N59" s="2093"/>
      <c r="P59" s="2092"/>
      <c r="Q59" s="2093"/>
      <c r="S59" s="2092"/>
      <c r="T59" s="2093"/>
      <c r="V59" s="2122"/>
      <c r="W59" s="2125"/>
      <c r="X59" s="2126"/>
    </row>
    <row r="60" spans="1:24" s="362" customFormat="1" ht="12" customHeight="1">
      <c r="B60" s="362" t="s">
        <v>295</v>
      </c>
      <c r="G60" s="2092"/>
      <c r="H60" s="2093"/>
      <c r="J60" s="2092"/>
      <c r="K60" s="2093"/>
      <c r="L60" s="1148"/>
      <c r="M60" s="2092"/>
      <c r="N60" s="2093"/>
      <c r="P60" s="2092"/>
      <c r="Q60" s="2093"/>
      <c r="S60" s="2092"/>
      <c r="T60" s="2093"/>
      <c r="V60" s="2122"/>
      <c r="W60" s="2125"/>
      <c r="X60" s="2126"/>
    </row>
    <row r="61" spans="1:24" s="362" customFormat="1" ht="12" customHeight="1">
      <c r="B61" s="427" t="s">
        <v>1222</v>
      </c>
      <c r="D61" s="425"/>
      <c r="E61" s="425"/>
      <c r="F61" s="426"/>
      <c r="G61" s="2092">
        <v>62560</v>
      </c>
      <c r="H61" s="2093"/>
      <c r="I61" s="382"/>
      <c r="J61" s="2092">
        <v>46304</v>
      </c>
      <c r="K61" s="2093"/>
      <c r="L61" s="1148"/>
      <c r="M61" s="2092"/>
      <c r="N61" s="2093"/>
      <c r="P61" s="2092"/>
      <c r="Q61" s="2093"/>
      <c r="S61" s="2092">
        <v>16256</v>
      </c>
      <c r="T61" s="2093"/>
      <c r="V61" s="2122"/>
      <c r="W61" s="2125"/>
      <c r="X61" s="2126"/>
    </row>
    <row r="62" spans="1:24" s="362" customFormat="1" ht="12" customHeight="1">
      <c r="A62" s="448" t="str">
        <f>IF(AND(G62&gt;0,OR(C62="",C62="&lt;Enter detailed description here; use Comments section if needed&gt;")),"X","")</f>
        <v/>
      </c>
      <c r="B62" s="362" t="s">
        <v>791</v>
      </c>
      <c r="C62" s="1953" t="s">
        <v>2580</v>
      </c>
      <c r="D62" s="1953"/>
      <c r="E62" s="1953"/>
      <c r="F62" s="1954"/>
      <c r="G62" s="2092"/>
      <c r="H62" s="2093"/>
      <c r="J62" s="2092"/>
      <c r="K62" s="2093"/>
      <c r="L62" s="1148"/>
      <c r="M62" s="2092"/>
      <c r="N62" s="2093"/>
      <c r="P62" s="2092"/>
      <c r="Q62" s="2093"/>
      <c r="S62" s="2092"/>
      <c r="T62" s="2093"/>
      <c r="U62" s="447" t="str">
        <f>IF(AND(G62&gt;0,OR(C62="",C62="&lt;Enter detailed description here; use Comments section if needed&gt;")),"NO DESCRIPTION PROVIDED - please enter detailed description in Other box at left; use Comments section below if needed.","")</f>
        <v/>
      </c>
      <c r="V62" s="2122"/>
      <c r="W62" s="2125"/>
      <c r="X62" s="2126"/>
    </row>
    <row r="63" spans="1:24" s="362" customFormat="1" ht="12" customHeight="1" thickBot="1">
      <c r="A63" s="448" t="str">
        <f>IF(AND(G63&gt;0,OR(C63="",C63="&lt;Enter detailed description here; use Comments section if needed&gt;")),"X","")</f>
        <v/>
      </c>
      <c r="B63" s="362" t="s">
        <v>791</v>
      </c>
      <c r="C63" s="1953" t="s">
        <v>2580</v>
      </c>
      <c r="D63" s="1953"/>
      <c r="E63" s="1953"/>
      <c r="F63" s="1954"/>
      <c r="G63" s="2092"/>
      <c r="H63" s="2093"/>
      <c r="J63" s="2092"/>
      <c r="K63" s="2093"/>
      <c r="L63" s="1148"/>
      <c r="M63" s="2092"/>
      <c r="N63" s="2093"/>
      <c r="P63" s="2092"/>
      <c r="Q63" s="2093"/>
      <c r="S63" s="2092"/>
      <c r="T63" s="2093"/>
      <c r="U63" s="447" t="str">
        <f>IF(AND(G63&gt;0,OR(C63="",C63="&lt;Enter detailed description here; use Comments section if needed&gt;")),"NO DESCRIPTION PROVIDED - please enter detailed description in Other box at left; use Comments section below if needed.","")</f>
        <v/>
      </c>
      <c r="V63" s="2122"/>
      <c r="W63" s="2125"/>
      <c r="X63" s="2126"/>
    </row>
    <row r="64" spans="1:24" s="362" customFormat="1" ht="12" customHeight="1" thickTop="1">
      <c r="F64" s="421" t="s">
        <v>199</v>
      </c>
      <c r="G64" s="1309">
        <f>SUM(G53:H63)</f>
        <v>467320</v>
      </c>
      <c r="H64" s="1310"/>
      <c r="J64" s="1309">
        <f>SUM(J53:K63)</f>
        <v>377132</v>
      </c>
      <c r="K64" s="1310"/>
      <c r="L64" s="423"/>
      <c r="M64" s="1309">
        <f>SUM(M53:N63)</f>
        <v>0</v>
      </c>
      <c r="N64" s="1310"/>
      <c r="P64" s="1309">
        <f>SUM(P53:Q63)</f>
        <v>0</v>
      </c>
      <c r="Q64" s="1310"/>
      <c r="S64" s="1309">
        <f>SUM(S53:T63)</f>
        <v>90188</v>
      </c>
      <c r="T64" s="1310"/>
      <c r="V64" s="2130"/>
      <c r="W64" s="2131"/>
      <c r="X64" s="2132"/>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092">
        <v>251160</v>
      </c>
      <c r="H66" s="2093"/>
      <c r="J66" s="2092">
        <v>251160</v>
      </c>
      <c r="K66" s="2093"/>
      <c r="L66" s="1148"/>
      <c r="M66" s="2092"/>
      <c r="N66" s="2093"/>
      <c r="P66" s="2092"/>
      <c r="Q66" s="2093"/>
      <c r="S66" s="2092"/>
      <c r="T66" s="2093"/>
      <c r="V66" s="2122"/>
      <c r="W66" s="2123"/>
      <c r="X66" s="2124"/>
    </row>
    <row r="67" spans="1:24" s="362" customFormat="1" ht="12" customHeight="1">
      <c r="B67" s="362" t="s">
        <v>507</v>
      </c>
      <c r="G67" s="2092">
        <v>100890</v>
      </c>
      <c r="H67" s="2093"/>
      <c r="J67" s="2092">
        <v>100890</v>
      </c>
      <c r="K67" s="2093"/>
      <c r="L67" s="1148"/>
      <c r="M67" s="2092"/>
      <c r="N67" s="2093"/>
      <c r="P67" s="2092"/>
      <c r="Q67" s="2093"/>
      <c r="S67" s="2092"/>
      <c r="T67" s="2093"/>
      <c r="V67" s="2122"/>
      <c r="W67" s="2125"/>
      <c r="X67" s="2126"/>
    </row>
    <row r="68" spans="1:24" s="362" customFormat="1" ht="12" customHeight="1">
      <c r="B68" s="362" t="s">
        <v>1193</v>
      </c>
      <c r="F68" s="362" t="s">
        <v>3148</v>
      </c>
      <c r="G68" s="2092">
        <v>5000</v>
      </c>
      <c r="H68" s="2093"/>
      <c r="J68" s="2092">
        <v>5000</v>
      </c>
      <c r="K68" s="2093"/>
      <c r="L68" s="1148"/>
      <c r="M68" s="2092"/>
      <c r="N68" s="2093"/>
      <c r="P68" s="2092"/>
      <c r="Q68" s="2093"/>
      <c r="S68" s="2092"/>
      <c r="T68" s="2093"/>
      <c r="V68" s="2122"/>
      <c r="W68" s="2125"/>
      <c r="X68" s="2126"/>
    </row>
    <row r="69" spans="1:24" s="362" customFormat="1" ht="12" customHeight="1">
      <c r="B69" s="362" t="s">
        <v>1194</v>
      </c>
      <c r="G69" s="2092">
        <v>37000</v>
      </c>
      <c r="H69" s="2093"/>
      <c r="J69" s="2092">
        <v>37000</v>
      </c>
      <c r="K69" s="2093"/>
      <c r="L69" s="1148"/>
      <c r="M69" s="2092"/>
      <c r="N69" s="2093"/>
      <c r="P69" s="2092"/>
      <c r="Q69" s="2093"/>
      <c r="S69" s="2092"/>
      <c r="T69" s="2093"/>
      <c r="V69" s="2122"/>
      <c r="W69" s="2125"/>
      <c r="X69" s="2126"/>
    </row>
    <row r="70" spans="1:24" s="362" customFormat="1" ht="12" customHeight="1">
      <c r="B70" s="362" t="s">
        <v>1195</v>
      </c>
      <c r="G70" s="2092">
        <v>10500</v>
      </c>
      <c r="H70" s="2093"/>
      <c r="J70" s="2092">
        <v>10500</v>
      </c>
      <c r="K70" s="2093"/>
      <c r="L70" s="1148"/>
      <c r="M70" s="2092"/>
      <c r="N70" s="2093"/>
      <c r="P70" s="2092"/>
      <c r="Q70" s="2093"/>
      <c r="S70" s="2092"/>
      <c r="T70" s="2093"/>
      <c r="V70" s="2122"/>
      <c r="W70" s="2125"/>
      <c r="X70" s="2126"/>
    </row>
    <row r="71" spans="1:24" s="362" customFormat="1" ht="12" customHeight="1">
      <c r="B71" s="362" t="s">
        <v>1196</v>
      </c>
      <c r="G71" s="2092">
        <v>50000</v>
      </c>
      <c r="H71" s="2093"/>
      <c r="J71" s="2092">
        <v>50000</v>
      </c>
      <c r="K71" s="2093"/>
      <c r="L71" s="1148"/>
      <c r="M71" s="2092"/>
      <c r="N71" s="2093"/>
      <c r="P71" s="2092"/>
      <c r="Q71" s="2093"/>
      <c r="S71" s="2092"/>
      <c r="T71" s="2093"/>
      <c r="V71" s="2122"/>
      <c r="W71" s="2125"/>
      <c r="X71" s="2126"/>
    </row>
    <row r="72" spans="1:24" s="362" customFormat="1" ht="12" customHeight="1">
      <c r="B72" s="362" t="s">
        <v>508</v>
      </c>
      <c r="G72" s="2092">
        <v>115705</v>
      </c>
      <c r="H72" s="2093"/>
      <c r="J72" s="2092">
        <v>115705</v>
      </c>
      <c r="K72" s="2093"/>
      <c r="L72" s="1148"/>
      <c r="M72" s="2092"/>
      <c r="N72" s="2093"/>
      <c r="P72" s="2092"/>
      <c r="Q72" s="2093"/>
      <c r="S72" s="2092"/>
      <c r="T72" s="2093"/>
      <c r="V72" s="2122"/>
      <c r="W72" s="2125"/>
      <c r="X72" s="2126"/>
    </row>
    <row r="73" spans="1:24" s="362" customFormat="1" ht="12" customHeight="1">
      <c r="B73" s="362" t="s">
        <v>509</v>
      </c>
      <c r="G73" s="2092">
        <v>10000</v>
      </c>
      <c r="H73" s="2093"/>
      <c r="J73" s="2092"/>
      <c r="K73" s="2093"/>
      <c r="L73" s="1148"/>
      <c r="M73" s="2092"/>
      <c r="N73" s="2093"/>
      <c r="P73" s="2092"/>
      <c r="Q73" s="2093"/>
      <c r="S73" s="2092">
        <v>10000</v>
      </c>
      <c r="T73" s="2093"/>
      <c r="V73" s="2122"/>
      <c r="W73" s="2125"/>
      <c r="X73" s="2126"/>
    </row>
    <row r="74" spans="1:24" s="362" customFormat="1" ht="12" customHeight="1">
      <c r="B74" s="362" t="s">
        <v>2188</v>
      </c>
      <c r="G74" s="2092">
        <v>72598</v>
      </c>
      <c r="H74" s="2093"/>
      <c r="J74" s="2092">
        <v>72598</v>
      </c>
      <c r="K74" s="2093"/>
      <c r="L74" s="1148"/>
      <c r="M74" s="2092"/>
      <c r="N74" s="2093"/>
      <c r="P74" s="2092"/>
      <c r="Q74" s="2093"/>
      <c r="S74" s="2092"/>
      <c r="T74" s="2093"/>
      <c r="V74" s="2122"/>
      <c r="W74" s="2125"/>
      <c r="X74" s="2126"/>
    </row>
    <row r="75" spans="1:24" s="362" customFormat="1" ht="12" customHeight="1">
      <c r="B75" s="362" t="s">
        <v>1357</v>
      </c>
      <c r="G75" s="2092">
        <v>2500</v>
      </c>
      <c r="H75" s="2093"/>
      <c r="J75" s="2092">
        <v>2500</v>
      </c>
      <c r="K75" s="2093"/>
      <c r="L75" s="1148"/>
      <c r="M75" s="2092"/>
      <c r="N75" s="2093"/>
      <c r="P75" s="2092"/>
      <c r="Q75" s="2093"/>
      <c r="S75" s="2092"/>
      <c r="T75" s="2093"/>
      <c r="V75" s="2122"/>
      <c r="W75" s="2125"/>
      <c r="X75" s="2126"/>
    </row>
    <row r="76" spans="1:24" s="362" customFormat="1" ht="12" customHeight="1" thickBot="1">
      <c r="A76" s="448" t="str">
        <f>IF(AND(G76&gt;0,OR(C76="",C76="&lt;Enter detailed description here; use Comments section if needed&gt;")),"X","")</f>
        <v/>
      </c>
      <c r="B76" s="362" t="s">
        <v>791</v>
      </c>
      <c r="C76" s="1953" t="s">
        <v>2580</v>
      </c>
      <c r="D76" s="1953"/>
      <c r="E76" s="1953"/>
      <c r="F76" s="1954"/>
      <c r="G76" s="2092"/>
      <c r="H76" s="2093"/>
      <c r="J76" s="2092"/>
      <c r="K76" s="2093"/>
      <c r="L76" s="1148"/>
      <c r="M76" s="2092"/>
      <c r="N76" s="2093"/>
      <c r="P76" s="2092"/>
      <c r="Q76" s="2093"/>
      <c r="S76" s="2092"/>
      <c r="T76" s="2093"/>
      <c r="U76" s="447" t="str">
        <f>IF(AND(G76&gt;0,OR(C76="",C76="&lt;Enter detailed description here; use Comments section if needed&gt;")),"NO DESCRIPTION PROVIDED - please enter detailed description in Other box at left; use Comments section below if needed.","")</f>
        <v/>
      </c>
      <c r="V76" s="2122"/>
      <c r="W76" s="2125"/>
      <c r="X76" s="2126"/>
    </row>
    <row r="77" spans="1:24" s="362" customFormat="1" ht="12" customHeight="1" thickTop="1">
      <c r="F77" s="421" t="s">
        <v>199</v>
      </c>
      <c r="G77" s="1309">
        <f>SUM(G66:H76)</f>
        <v>655353</v>
      </c>
      <c r="H77" s="1310"/>
      <c r="J77" s="1309">
        <f>SUM(J66:K76)</f>
        <v>645353</v>
      </c>
      <c r="K77" s="1310"/>
      <c r="L77" s="423"/>
      <c r="M77" s="1309">
        <f>SUM(M66:N76)</f>
        <v>0</v>
      </c>
      <c r="N77" s="1310"/>
      <c r="P77" s="1309">
        <f>SUM(P66:Q76)</f>
        <v>0</v>
      </c>
      <c r="Q77" s="1310"/>
      <c r="S77" s="1309">
        <f>SUM(S66:T76)</f>
        <v>10000</v>
      </c>
      <c r="T77" s="1310"/>
      <c r="V77" s="2130"/>
      <c r="W77" s="2131"/>
      <c r="X77" s="2132"/>
    </row>
    <row r="78" spans="1:24" ht="12" customHeight="1">
      <c r="A78" s="362"/>
      <c r="B78" s="365" t="s">
        <v>1349</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1350</v>
      </c>
      <c r="G79" s="2092">
        <v>50000</v>
      </c>
      <c r="H79" s="2093"/>
      <c r="J79" s="2092">
        <v>50000</v>
      </c>
      <c r="K79" s="2093"/>
      <c r="L79" s="1148"/>
      <c r="M79" s="2092"/>
      <c r="N79" s="2093"/>
      <c r="P79" s="2092"/>
      <c r="Q79" s="2093"/>
      <c r="S79" s="2092"/>
      <c r="T79" s="2093"/>
      <c r="V79" s="2122"/>
      <c r="W79" s="1745"/>
      <c r="X79" s="1746"/>
    </row>
    <row r="80" spans="1:24" s="362" customFormat="1" ht="12" customHeight="1">
      <c r="B80" s="362" t="s">
        <v>1351</v>
      </c>
      <c r="G80" s="2092">
        <v>172921</v>
      </c>
      <c r="H80" s="2093"/>
      <c r="J80" s="2092">
        <v>172921</v>
      </c>
      <c r="K80" s="2093"/>
      <c r="L80" s="1148"/>
      <c r="M80" s="2092"/>
      <c r="N80" s="2093"/>
      <c r="P80" s="2092"/>
      <c r="Q80" s="2093"/>
      <c r="S80" s="2092"/>
      <c r="T80" s="2093"/>
      <c r="V80" s="2122"/>
      <c r="W80" s="1753"/>
      <c r="X80" s="1754"/>
    </row>
    <row r="81" spans="1:24" s="362" customFormat="1" ht="12" customHeight="1">
      <c r="B81" s="362" t="s">
        <v>1352</v>
      </c>
      <c r="D81" s="430" t="s">
        <v>1493</v>
      </c>
      <c r="E81" s="2138"/>
      <c r="G81" s="2092">
        <v>12000</v>
      </c>
      <c r="H81" s="2093"/>
      <c r="I81" s="382"/>
      <c r="J81" s="2092">
        <v>12000</v>
      </c>
      <c r="K81" s="2093"/>
      <c r="L81" s="1148"/>
      <c r="M81" s="2092"/>
      <c r="N81" s="2093"/>
      <c r="P81" s="2092"/>
      <c r="Q81" s="2093"/>
      <c r="S81" s="2092"/>
      <c r="T81" s="2093"/>
      <c r="V81" s="2122"/>
      <c r="W81" s="1753"/>
      <c r="X81" s="1754"/>
    </row>
    <row r="82" spans="1:24" s="362" customFormat="1" ht="12" customHeight="1" thickBot="1">
      <c r="B82" s="362" t="s">
        <v>1353</v>
      </c>
      <c r="D82" s="430" t="s">
        <v>1493</v>
      </c>
      <c r="E82" s="2138"/>
      <c r="G82" s="2092"/>
      <c r="H82" s="2093"/>
      <c r="I82" s="382"/>
      <c r="J82" s="2092"/>
      <c r="K82" s="2093"/>
      <c r="L82" s="1148"/>
      <c r="M82" s="2092"/>
      <c r="N82" s="2093"/>
      <c r="P82" s="2092"/>
      <c r="Q82" s="2093"/>
      <c r="S82" s="2092"/>
      <c r="T82" s="2093"/>
      <c r="V82" s="2122"/>
      <c r="W82" s="1753"/>
      <c r="X82" s="1754"/>
    </row>
    <row r="83" spans="1:24" s="362" customFormat="1" ht="12" customHeight="1" thickTop="1">
      <c r="F83" s="421" t="s">
        <v>199</v>
      </c>
      <c r="G83" s="1309">
        <f>SUM(G79:H82)</f>
        <v>234921</v>
      </c>
      <c r="H83" s="1310"/>
      <c r="J83" s="1309">
        <f>SUM(J79:K82)</f>
        <v>234921</v>
      </c>
      <c r="K83" s="1310"/>
      <c r="L83" s="423"/>
      <c r="M83" s="1309">
        <f>SUM(M79:N82)</f>
        <v>0</v>
      </c>
      <c r="N83" s="1310"/>
      <c r="P83" s="1309">
        <f>SUM(P79:Q82)</f>
        <v>0</v>
      </c>
      <c r="Q83" s="1310"/>
      <c r="S83" s="1309">
        <f>SUM(S79:T82)</f>
        <v>0</v>
      </c>
      <c r="T83" s="1310"/>
      <c r="V83" s="2130"/>
      <c r="W83" s="1761"/>
      <c r="X83" s="1762"/>
    </row>
    <row r="84" spans="1:24" s="362" customFormat="1" ht="12" customHeight="1">
      <c r="B84" s="365" t="s">
        <v>774</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1354</v>
      </c>
      <c r="G85" s="2092"/>
      <c r="H85" s="2093"/>
      <c r="J85" s="1304"/>
      <c r="K85" s="1304"/>
      <c r="L85" s="1148"/>
      <c r="M85" s="1304"/>
      <c r="N85" s="1304"/>
      <c r="P85" s="1304"/>
      <c r="Q85" s="1304"/>
      <c r="S85" s="2092"/>
      <c r="T85" s="2093"/>
      <c r="V85" s="2122"/>
      <c r="W85" s="1745"/>
      <c r="X85" s="1746"/>
    </row>
    <row r="86" spans="1:24" s="362" customFormat="1" ht="12" customHeight="1">
      <c r="B86" s="362" t="s">
        <v>1355</v>
      </c>
      <c r="G86" s="2092"/>
      <c r="H86" s="2093"/>
      <c r="J86" s="1304"/>
      <c r="K86" s="1304"/>
      <c r="L86" s="1148"/>
      <c r="M86" s="1304"/>
      <c r="N86" s="1304"/>
      <c r="P86" s="1304"/>
      <c r="Q86" s="1304"/>
      <c r="S86" s="2092"/>
      <c r="T86" s="2093"/>
      <c r="V86" s="2122"/>
      <c r="W86" s="1753"/>
      <c r="X86" s="1754"/>
    </row>
    <row r="87" spans="1:24" s="362" customFormat="1" ht="12" customHeight="1">
      <c r="B87" s="362" t="s">
        <v>1356</v>
      </c>
      <c r="G87" s="2092">
        <v>5000</v>
      </c>
      <c r="H87" s="2093"/>
      <c r="J87" s="1304"/>
      <c r="K87" s="1304"/>
      <c r="L87" s="1148"/>
      <c r="M87" s="1304"/>
      <c r="N87" s="1304"/>
      <c r="P87" s="1304"/>
      <c r="Q87" s="1304"/>
      <c r="S87" s="2092">
        <v>5000</v>
      </c>
      <c r="T87" s="2093"/>
      <c r="V87" s="2122"/>
      <c r="W87" s="1753"/>
      <c r="X87" s="1754"/>
    </row>
    <row r="88" spans="1:24" s="362" customFormat="1" ht="12" customHeight="1">
      <c r="B88" s="362" t="s">
        <v>1358</v>
      </c>
      <c r="G88" s="2092"/>
      <c r="H88" s="2093"/>
      <c r="J88" s="1304"/>
      <c r="K88" s="1304"/>
      <c r="L88" s="1148"/>
      <c r="M88" s="1304"/>
      <c r="N88" s="1304"/>
      <c r="P88" s="1304"/>
      <c r="Q88" s="1304"/>
      <c r="S88" s="2092"/>
      <c r="T88" s="2093"/>
      <c r="V88" s="2122"/>
      <c r="W88" s="1753"/>
      <c r="X88" s="1754"/>
    </row>
    <row r="89" spans="1:24" s="362" customFormat="1" ht="12" customHeight="1">
      <c r="B89" s="362" t="s">
        <v>2449</v>
      </c>
      <c r="G89" s="2092"/>
      <c r="H89" s="2093"/>
      <c r="J89" s="1304"/>
      <c r="K89" s="1304"/>
      <c r="L89" s="1148"/>
      <c r="M89" s="1304"/>
      <c r="N89" s="1304"/>
      <c r="P89" s="1304"/>
      <c r="Q89" s="1304"/>
      <c r="S89" s="2092"/>
      <c r="T89" s="2093"/>
      <c r="V89" s="2122"/>
      <c r="W89" s="1753"/>
      <c r="X89" s="1754"/>
    </row>
    <row r="90" spans="1:24" s="362" customFormat="1" ht="12" customHeight="1" thickBot="1">
      <c r="A90" s="448" t="str">
        <f>IF(AND(G90&gt;0,OR(C90="",C90="&lt;Enter detailed description here; use Comments section if needed&gt;")),"X","")</f>
        <v/>
      </c>
      <c r="B90" s="362" t="s">
        <v>791</v>
      </c>
      <c r="C90" s="1953" t="s">
        <v>2580</v>
      </c>
      <c r="D90" s="1953"/>
      <c r="E90" s="1953"/>
      <c r="F90" s="1954"/>
      <c r="G90" s="2092"/>
      <c r="H90" s="2093"/>
      <c r="J90" s="1304"/>
      <c r="K90" s="1304"/>
      <c r="L90" s="1148"/>
      <c r="M90" s="1304"/>
      <c r="N90" s="1304"/>
      <c r="P90" s="1304"/>
      <c r="Q90" s="1304"/>
      <c r="S90" s="2092"/>
      <c r="T90" s="2093"/>
      <c r="U90" s="447" t="str">
        <f>IF(AND(G90&gt;0,OR(C90="",C90="&lt;Enter detailed description here; use Comments section if needed&gt;")),"NO DESCRIPTION PROVIDED - please enter detailed description in Other box at left; use Comments section below if needed.","")</f>
        <v/>
      </c>
      <c r="V90" s="2122"/>
      <c r="W90" s="1753"/>
      <c r="X90" s="1754"/>
    </row>
    <row r="91" spans="1:24" s="362" customFormat="1" ht="12" customHeight="1" thickTop="1">
      <c r="F91" s="421" t="s">
        <v>199</v>
      </c>
      <c r="G91" s="1309">
        <f>SUM(G85:H90)</f>
        <v>5000</v>
      </c>
      <c r="H91" s="1310"/>
      <c r="J91" s="1304"/>
      <c r="K91" s="1304"/>
      <c r="L91" s="423"/>
      <c r="M91" s="1304"/>
      <c r="N91" s="1304"/>
      <c r="P91" s="1304"/>
      <c r="Q91" s="1304"/>
      <c r="S91" s="1309">
        <f>SUM(S85:T90)</f>
        <v>5000</v>
      </c>
      <c r="T91" s="1310"/>
      <c r="V91" s="2130"/>
      <c r="W91" s="1761"/>
      <c r="X91" s="1762"/>
    </row>
    <row r="92" spans="1:24" s="362" customFormat="1" ht="6" customHeight="1" thickBot="1">
      <c r="A92" s="617"/>
      <c r="B92" s="617"/>
      <c r="C92" s="617"/>
      <c r="D92" s="617"/>
      <c r="E92" s="617"/>
      <c r="F92" s="617"/>
      <c r="G92" s="617"/>
      <c r="H92" s="617"/>
      <c r="I92" s="617"/>
      <c r="J92" s="617"/>
      <c r="K92" s="617"/>
      <c r="L92" s="617"/>
      <c r="M92" s="617"/>
      <c r="N92" s="617"/>
      <c r="O92" s="617"/>
      <c r="P92" s="617"/>
      <c r="Q92" s="617"/>
      <c r="R92" s="617"/>
      <c r="S92" s="617"/>
      <c r="T92" s="617"/>
    </row>
    <row r="93" spans="1:24" s="362" customFormat="1" ht="18" customHeight="1" thickBot="1">
      <c r="A93" s="524" t="s">
        <v>657</v>
      </c>
      <c r="B93" s="524" t="s">
        <v>3394</v>
      </c>
      <c r="H93" s="1142"/>
      <c r="I93" s="1142"/>
      <c r="J93" s="1311" t="s">
        <v>285</v>
      </c>
      <c r="K93" s="1312"/>
      <c r="L93" s="420"/>
      <c r="M93" s="1305" t="s">
        <v>520</v>
      </c>
      <c r="N93" s="1306"/>
      <c r="P93" s="1311" t="s">
        <v>286</v>
      </c>
      <c r="Q93" s="1312"/>
      <c r="S93" s="1311" t="s">
        <v>287</v>
      </c>
      <c r="T93" s="1312"/>
      <c r="W93" s="525" t="str">
        <f>B93</f>
        <v>DEVELOPMENT BUDGET  (cont'd)</v>
      </c>
    </row>
    <row r="94" spans="1:24" s="362" customFormat="1" ht="18" customHeight="1" thickBot="1">
      <c r="G94" s="1366" t="s">
        <v>104</v>
      </c>
      <c r="H94" s="1367"/>
      <c r="J94" s="1313"/>
      <c r="K94" s="1314"/>
      <c r="L94" s="420"/>
      <c r="M94" s="1307"/>
      <c r="N94" s="1308"/>
      <c r="P94" s="1313"/>
      <c r="Q94" s="1314"/>
      <c r="S94" s="1313"/>
      <c r="T94" s="1314"/>
      <c r="W94" s="1378" t="s">
        <v>2893</v>
      </c>
      <c r="X94" s="1378"/>
    </row>
    <row r="95" spans="1:24" s="362" customFormat="1" ht="13.15" customHeight="1">
      <c r="B95" s="365" t="s">
        <v>775</v>
      </c>
      <c r="J95" s="423"/>
      <c r="K95" s="423"/>
      <c r="M95" s="423"/>
      <c r="N95" s="423"/>
      <c r="O95" s="422" t="str">
        <f>B95</f>
        <v>DCA-RELATED COSTS</v>
      </c>
      <c r="P95" s="423"/>
      <c r="Q95" s="423"/>
      <c r="S95" s="423"/>
      <c r="T95" s="423"/>
      <c r="W95" s="362" t="str">
        <f>B95</f>
        <v>DCA-RELATED COSTS</v>
      </c>
    </row>
    <row r="96" spans="1:24" s="362" customFormat="1" ht="12.6" customHeight="1">
      <c r="B96" s="362" t="s">
        <v>1643</v>
      </c>
      <c r="G96" s="2092">
        <v>2500</v>
      </c>
      <c r="H96" s="2093"/>
      <c r="J96" s="423"/>
      <c r="K96" s="423"/>
      <c r="L96" s="1148"/>
      <c r="M96" s="423"/>
      <c r="N96" s="423"/>
      <c r="P96" s="423"/>
      <c r="Q96" s="423"/>
      <c r="S96" s="2092">
        <v>2500</v>
      </c>
      <c r="T96" s="2093"/>
      <c r="V96" s="2122"/>
      <c r="W96" s="1745"/>
      <c r="X96" s="1746"/>
    </row>
    <row r="97" spans="1:24" s="362" customFormat="1" ht="12.6" customHeight="1">
      <c r="B97" s="362" t="s">
        <v>1274</v>
      </c>
      <c r="G97" s="2092">
        <v>5500</v>
      </c>
      <c r="H97" s="2093"/>
      <c r="J97" s="423"/>
      <c r="K97" s="423"/>
      <c r="L97" s="431"/>
      <c r="M97" s="423"/>
      <c r="N97" s="423"/>
      <c r="P97" s="423"/>
      <c r="Q97" s="423"/>
      <c r="S97" s="2092">
        <v>5500</v>
      </c>
      <c r="T97" s="2093"/>
      <c r="V97" s="2122"/>
      <c r="W97" s="1753"/>
      <c r="X97" s="1754"/>
    </row>
    <row r="98" spans="1:24" s="362" customFormat="1" ht="12.6" customHeight="1">
      <c r="B98" s="362" t="s">
        <v>2920</v>
      </c>
      <c r="G98" s="2092"/>
      <c r="H98" s="2093"/>
      <c r="J98" s="423"/>
      <c r="K98" s="423"/>
      <c r="L98" s="431"/>
      <c r="M98" s="423"/>
      <c r="N98" s="423"/>
      <c r="O98" s="1142"/>
      <c r="P98" s="423"/>
      <c r="Q98" s="423"/>
      <c r="S98" s="2092"/>
      <c r="T98" s="2093"/>
      <c r="V98" s="2122"/>
      <c r="W98" s="1753"/>
      <c r="X98" s="1754"/>
    </row>
    <row r="99" spans="1:24" s="362" customFormat="1" ht="12.6" customHeight="1">
      <c r="B99" s="362" t="s">
        <v>552</v>
      </c>
      <c r="E99" s="1373">
        <f>'DCA Underwriting Assumptions'!$Q$40*$J$173</f>
        <v>57636.873919999998</v>
      </c>
      <c r="F99" s="1374"/>
      <c r="G99" s="2092">
        <v>57637</v>
      </c>
      <c r="H99" s="2093"/>
      <c r="J99" s="423"/>
      <c r="K99" s="423"/>
      <c r="L99" s="1148"/>
      <c r="M99" s="423"/>
      <c r="N99" s="423"/>
      <c r="O99" s="1142"/>
      <c r="P99" s="423"/>
      <c r="Q99" s="423"/>
      <c r="S99" s="2092">
        <v>57637</v>
      </c>
      <c r="T99" s="2093"/>
      <c r="V99" s="2122"/>
      <c r="W99" s="1753"/>
      <c r="X99" s="1754"/>
    </row>
    <row r="100" spans="1:24" s="362" customFormat="1" ht="12.6" customHeight="1">
      <c r="B100" s="362" t="s">
        <v>803</v>
      </c>
      <c r="E100" s="137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55200</v>
      </c>
      <c r="F100" s="1374"/>
      <c r="G100" s="2092">
        <v>55200</v>
      </c>
      <c r="H100" s="2093"/>
      <c r="J100" s="332"/>
      <c r="K100" s="332"/>
      <c r="L100" s="332"/>
      <c r="M100" s="332"/>
      <c r="N100" s="332"/>
      <c r="O100" s="332"/>
      <c r="P100" s="332"/>
      <c r="Q100" s="332"/>
      <c r="S100" s="2092">
        <v>55200</v>
      </c>
      <c r="T100" s="2093"/>
      <c r="V100" s="2122"/>
      <c r="W100" s="1753"/>
      <c r="X100" s="1754"/>
    </row>
    <row r="101" spans="1:24" s="362" customFormat="1" ht="12.6" customHeight="1">
      <c r="B101" s="362" t="s">
        <v>515</v>
      </c>
      <c r="G101" s="2092"/>
      <c r="H101" s="2093"/>
      <c r="J101" s="332"/>
      <c r="K101" s="332"/>
      <c r="L101" s="332"/>
      <c r="M101" s="332"/>
      <c r="N101" s="332"/>
      <c r="O101" s="332"/>
      <c r="P101" s="332"/>
      <c r="Q101" s="332"/>
      <c r="S101" s="2092"/>
      <c r="T101" s="2093"/>
      <c r="V101" s="2122"/>
      <c r="W101" s="1753"/>
      <c r="X101" s="1754"/>
    </row>
    <row r="102" spans="1:24" s="362" customFormat="1" ht="12.6" customHeight="1">
      <c r="B102" s="362" t="s">
        <v>2506</v>
      </c>
      <c r="G102" s="2092">
        <v>3000</v>
      </c>
      <c r="H102" s="2093"/>
      <c r="J102" s="332"/>
      <c r="K102" s="332"/>
      <c r="L102" s="332"/>
      <c r="M102" s="332"/>
      <c r="N102" s="332"/>
      <c r="O102" s="332"/>
      <c r="P102" s="332"/>
      <c r="Q102" s="332"/>
      <c r="S102" s="2092">
        <v>3000</v>
      </c>
      <c r="T102" s="2093"/>
      <c r="V102" s="2122"/>
      <c r="W102" s="1753"/>
      <c r="X102" s="1754"/>
    </row>
    <row r="103" spans="1:24" s="362" customFormat="1" ht="12.6" customHeight="1">
      <c r="A103" s="448" t="str">
        <f>IF(AND(G103&gt;0,OR(C103="",C103="&lt;Enter detailed description here; use Comments section if needed&gt;")),"X","")</f>
        <v/>
      </c>
      <c r="B103" s="362" t="s">
        <v>791</v>
      </c>
      <c r="C103" s="1953" t="s">
        <v>2580</v>
      </c>
      <c r="D103" s="1953"/>
      <c r="E103" s="1953"/>
      <c r="F103" s="1954"/>
      <c r="G103" s="2092"/>
      <c r="H103" s="2093"/>
      <c r="J103" s="332"/>
      <c r="K103" s="332"/>
      <c r="L103" s="332"/>
      <c r="M103" s="332"/>
      <c r="N103" s="332"/>
      <c r="O103" s="332"/>
      <c r="P103" s="332"/>
      <c r="Q103" s="332"/>
      <c r="S103" s="2092"/>
      <c r="T103" s="2093"/>
      <c r="U103" s="447" t="str">
        <f>IF(AND(G103&gt;0,OR(C103="",C103="&lt;Enter detailed description here; use Comments section if needed&gt;")),"NO DESCRIPTION PROVIDED - please enter detailed description in Other box at left; use Comments section below if needed.","")</f>
        <v/>
      </c>
      <c r="V103" s="2122"/>
      <c r="W103" s="1753"/>
      <c r="X103" s="1754"/>
    </row>
    <row r="104" spans="1:24" s="362" customFormat="1" ht="12.6" customHeight="1" thickBot="1">
      <c r="A104" s="448" t="str">
        <f>IF(AND(G104&gt;0,OR(C104="",C104="&lt;Enter detailed description here; use Comments section if needed&gt;")),"X","")</f>
        <v/>
      </c>
      <c r="B104" s="362" t="s">
        <v>791</v>
      </c>
      <c r="C104" s="1953" t="s">
        <v>2580</v>
      </c>
      <c r="D104" s="1953"/>
      <c r="E104" s="1953"/>
      <c r="F104" s="1954"/>
      <c r="G104" s="2092"/>
      <c r="H104" s="2093"/>
      <c r="J104" s="332"/>
      <c r="K104" s="332"/>
      <c r="L104" s="332"/>
      <c r="M104" s="332"/>
      <c r="N104" s="332"/>
      <c r="O104" s="332"/>
      <c r="P104" s="332"/>
      <c r="Q104" s="332"/>
      <c r="S104" s="2092"/>
      <c r="T104" s="2093"/>
      <c r="U104" s="447" t="str">
        <f>IF(AND(G104&gt;0,OR(C104="",C104="&lt;Enter detailed description here; use Comments section if needed&gt;")),"NO DESCRIPTION PROVIDED - please enter detailed description in Other box at left; use Comments section below if needed.","")</f>
        <v/>
      </c>
      <c r="V104" s="2122"/>
      <c r="W104" s="1753"/>
      <c r="X104" s="1754"/>
    </row>
    <row r="105" spans="1:24" s="362" customFormat="1" ht="12.6" customHeight="1" thickTop="1">
      <c r="F105" s="421" t="s">
        <v>199</v>
      </c>
      <c r="G105" s="1309">
        <f>SUM(G96:H104)</f>
        <v>123837</v>
      </c>
      <c r="H105" s="1310"/>
      <c r="J105" s="423"/>
      <c r="K105" s="423"/>
      <c r="L105" s="1148"/>
      <c r="M105" s="423"/>
      <c r="N105" s="423"/>
      <c r="P105" s="423"/>
      <c r="Q105" s="423"/>
      <c r="S105" s="1309">
        <f>SUM(S96:T104)</f>
        <v>123837</v>
      </c>
      <c r="T105" s="1310"/>
      <c r="V105" s="2130"/>
      <c r="W105" s="1761"/>
      <c r="X105" s="1762"/>
    </row>
    <row r="106" spans="1:24" s="362" customFormat="1" ht="13.15" customHeight="1">
      <c r="B106" s="365" t="s">
        <v>2450</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092">
        <v>90000</v>
      </c>
      <c r="H107" s="2093"/>
      <c r="J107" s="1304"/>
      <c r="K107" s="1304"/>
      <c r="L107" s="1148"/>
      <c r="M107" s="1304"/>
      <c r="N107" s="1304"/>
      <c r="O107" s="1142"/>
      <c r="P107" s="1304"/>
      <c r="Q107" s="1304"/>
      <c r="S107" s="2092">
        <v>90000</v>
      </c>
      <c r="T107" s="2093"/>
      <c r="V107" s="2122"/>
      <c r="W107" s="1745"/>
      <c r="X107" s="1746"/>
    </row>
    <row r="108" spans="1:24" s="362" customFormat="1" ht="12.6" customHeight="1">
      <c r="B108" s="362" t="s">
        <v>296</v>
      </c>
      <c r="G108" s="2092">
        <v>20000</v>
      </c>
      <c r="H108" s="2093"/>
      <c r="J108" s="1304"/>
      <c r="K108" s="1304"/>
      <c r="L108" s="1148"/>
      <c r="M108" s="1304"/>
      <c r="N108" s="1304"/>
      <c r="O108" s="1142"/>
      <c r="P108" s="1304"/>
      <c r="Q108" s="1304"/>
      <c r="S108" s="2092">
        <v>20000</v>
      </c>
      <c r="T108" s="2093"/>
      <c r="V108" s="2122"/>
      <c r="W108" s="1753"/>
      <c r="X108" s="1754"/>
    </row>
    <row r="109" spans="1:24" s="362" customFormat="1" ht="12.6" customHeight="1">
      <c r="B109" s="362" t="s">
        <v>2544</v>
      </c>
      <c r="G109" s="2092">
        <v>70000</v>
      </c>
      <c r="H109" s="2093"/>
      <c r="J109" s="1304"/>
      <c r="K109" s="1304"/>
      <c r="L109" s="1148"/>
      <c r="M109" s="1304"/>
      <c r="N109" s="1304"/>
      <c r="O109" s="1142"/>
      <c r="P109" s="1304"/>
      <c r="Q109" s="1304"/>
      <c r="S109" s="2092">
        <v>70000</v>
      </c>
      <c r="T109" s="2093"/>
      <c r="V109" s="2122"/>
      <c r="W109" s="1753"/>
      <c r="X109" s="1754"/>
    </row>
    <row r="110" spans="1:24" s="362" customFormat="1" ht="12.6" customHeight="1" thickBot="1">
      <c r="A110" s="448" t="str">
        <f>IF(AND(G110&gt;0,OR(C110="",C110="&lt;Enter detailed description here; use Comments section if needed&gt;")),"X","")</f>
        <v/>
      </c>
      <c r="B110" s="362" t="s">
        <v>791</v>
      </c>
      <c r="C110" s="1953" t="s">
        <v>2580</v>
      </c>
      <c r="D110" s="1953"/>
      <c r="E110" s="1953"/>
      <c r="F110" s="1954"/>
      <c r="G110" s="2092"/>
      <c r="H110" s="2093"/>
      <c r="J110" s="1304"/>
      <c r="K110" s="1304"/>
      <c r="L110" s="1148"/>
      <c r="M110" s="1304"/>
      <c r="N110" s="1304"/>
      <c r="O110" s="1142"/>
      <c r="P110" s="1304"/>
      <c r="Q110" s="1304"/>
      <c r="S110" s="2092"/>
      <c r="T110" s="2093"/>
      <c r="U110" s="447" t="str">
        <f>IF(AND(G110&gt;0,OR(C110="",C110="&lt;Enter detailed description here; use Comments section if needed&gt;")),"NO DESCRIPTION PROVIDED - please enter detailed description in Other box at left; use Comments section below if needed.","")</f>
        <v/>
      </c>
      <c r="V110" s="2122"/>
      <c r="W110" s="1753"/>
      <c r="X110" s="1754"/>
    </row>
    <row r="111" spans="1:24" s="362" customFormat="1" ht="12.6" customHeight="1" thickTop="1">
      <c r="F111" s="421" t="s">
        <v>199</v>
      </c>
      <c r="G111" s="1309">
        <f>SUM(G107:H110)</f>
        <v>180000</v>
      </c>
      <c r="H111" s="1310"/>
      <c r="J111" s="1304"/>
      <c r="K111" s="1304"/>
      <c r="L111" s="1148"/>
      <c r="M111" s="1304"/>
      <c r="N111" s="1304"/>
      <c r="O111" s="1142"/>
      <c r="P111" s="1304"/>
      <c r="Q111" s="1304"/>
      <c r="S111" s="1309">
        <f>SUM(S107:T110)</f>
        <v>180000</v>
      </c>
      <c r="T111" s="1310"/>
      <c r="V111" s="2130"/>
      <c r="W111" s="1761"/>
      <c r="X111" s="1762"/>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1990</v>
      </c>
      <c r="F113" s="489">
        <f>G113/$G$116</f>
        <v>0.19999985066948603</v>
      </c>
      <c r="G113" s="2092">
        <v>267862</v>
      </c>
      <c r="H113" s="2093"/>
      <c r="J113" s="2092">
        <v>267862</v>
      </c>
      <c r="K113" s="2093"/>
      <c r="L113" s="422"/>
      <c r="M113" s="2092"/>
      <c r="N113" s="2093"/>
      <c r="P113" s="2092"/>
      <c r="Q113" s="2093"/>
      <c r="S113" s="2092"/>
      <c r="T113" s="2093"/>
      <c r="V113" s="2122"/>
      <c r="W113" s="1745"/>
      <c r="X113" s="1746"/>
    </row>
    <row r="114" spans="1:24" s="362" customFormat="1" ht="12.6" customHeight="1">
      <c r="B114" s="362" t="s">
        <v>1991</v>
      </c>
      <c r="F114" s="489">
        <f>G114/$G$116</f>
        <v>0</v>
      </c>
      <c r="G114" s="2092"/>
      <c r="H114" s="2093"/>
      <c r="J114" s="2092"/>
      <c r="K114" s="2093"/>
      <c r="L114" s="1148"/>
      <c r="M114" s="2092"/>
      <c r="N114" s="2093"/>
      <c r="P114" s="2092"/>
      <c r="Q114" s="2093"/>
      <c r="S114" s="2092"/>
      <c r="T114" s="2093"/>
      <c r="V114" s="2122"/>
      <c r="W114" s="1753"/>
      <c r="X114" s="1754"/>
    </row>
    <row r="115" spans="1:24" s="362" customFormat="1" ht="12.6" customHeight="1" thickBot="1">
      <c r="B115" s="362" t="s">
        <v>1983</v>
      </c>
      <c r="F115" s="489">
        <f>G115/$G$116</f>
        <v>0.800000149330514</v>
      </c>
      <c r="G115" s="2092">
        <v>1071449</v>
      </c>
      <c r="H115" s="2093"/>
      <c r="J115" s="2092">
        <v>1071449</v>
      </c>
      <c r="K115" s="2093"/>
      <c r="L115" s="1148"/>
      <c r="M115" s="2092"/>
      <c r="N115" s="2093"/>
      <c r="P115" s="2092"/>
      <c r="Q115" s="2093"/>
      <c r="S115" s="2092"/>
      <c r="T115" s="2093"/>
      <c r="V115" s="2122"/>
      <c r="W115" s="1753"/>
      <c r="X115" s="1754"/>
    </row>
    <row r="116" spans="1:24" s="362" customFormat="1" ht="12.6" customHeight="1" thickTop="1">
      <c r="C116" s="447" t="str">
        <f>IF(G116&lt;='DCA Underwriting Assumptions'!$Q$48,"","Developer Fee exceeds DCA Program Maximum !!!")</f>
        <v/>
      </c>
      <c r="F116" s="421" t="s">
        <v>199</v>
      </c>
      <c r="G116" s="1309">
        <f>SUM(G113:H115)</f>
        <v>1339311</v>
      </c>
      <c r="H116" s="1310"/>
      <c r="J116" s="1309">
        <f>SUM(J113:K115)</f>
        <v>1339311</v>
      </c>
      <c r="K116" s="1310"/>
      <c r="L116" s="1148"/>
      <c r="M116" s="1309">
        <f>SUM(M113:N115)</f>
        <v>0</v>
      </c>
      <c r="N116" s="1310"/>
      <c r="P116" s="1309">
        <f>SUM(P113:Q115)</f>
        <v>0</v>
      </c>
      <c r="Q116" s="1310"/>
      <c r="S116" s="1309">
        <f>SUM(S113:T115)</f>
        <v>0</v>
      </c>
      <c r="T116" s="1310"/>
      <c r="V116" s="2130"/>
      <c r="W116" s="1761"/>
      <c r="X116" s="1762"/>
    </row>
    <row r="117" spans="1:24" s="362" customFormat="1" ht="13.15" customHeight="1">
      <c r="B117" s="365" t="s">
        <v>1395</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092"/>
      <c r="H118" s="2093"/>
      <c r="J118" s="432"/>
      <c r="K118" s="432"/>
      <c r="L118" s="432"/>
      <c r="M118" s="432"/>
      <c r="N118" s="432"/>
      <c r="P118" s="432"/>
      <c r="Q118" s="432"/>
      <c r="S118" s="2092"/>
      <c r="T118" s="2093"/>
      <c r="V118" s="2122"/>
      <c r="W118" s="1745"/>
      <c r="X118" s="1746"/>
    </row>
    <row r="119" spans="1:24" s="362" customFormat="1" ht="12.6" customHeight="1">
      <c r="B119" s="362" t="s">
        <v>1642</v>
      </c>
      <c r="F119" s="643">
        <f>+'Part VI-Revenues &amp; Expenses'!P157*('DCA Underwriting Assumptions'!$Q$60/12)</f>
        <v>84038.25</v>
      </c>
      <c r="G119" s="2092">
        <v>84977</v>
      </c>
      <c r="H119" s="2093"/>
      <c r="J119" s="1304"/>
      <c r="K119" s="1304"/>
      <c r="L119" s="1148"/>
      <c r="M119" s="1304"/>
      <c r="N119" s="1304"/>
      <c r="O119" s="1142"/>
      <c r="P119" s="1304"/>
      <c r="Q119" s="1304"/>
      <c r="R119" s="1142"/>
      <c r="S119" s="2092">
        <v>84977</v>
      </c>
      <c r="T119" s="2093"/>
      <c r="V119" s="2122"/>
      <c r="W119" s="1753"/>
      <c r="X119" s="1754"/>
    </row>
    <row r="120" spans="1:24" s="362" customFormat="1" ht="12.6" customHeight="1">
      <c r="B120" s="362" t="s">
        <v>724</v>
      </c>
      <c r="F120" s="644">
        <f>'Part VI-Revenues &amp; Expenses'!P157*('DCA Underwriting Assumptions'!Q59/12)+('Part VII-Pro Forma'!B23+'Part VII-Pro Forma'!B24+'Part VII-Pro Forma'!B25+'Part VII-Pro Forma'!B26)*'DCA Underwriting Assumptions'!Q58/(-12)</f>
        <v>207038</v>
      </c>
      <c r="G120" s="2092">
        <v>208916</v>
      </c>
      <c r="H120" s="2093"/>
      <c r="J120" s="431"/>
      <c r="K120" s="431"/>
      <c r="L120" s="431"/>
      <c r="M120" s="431"/>
      <c r="N120" s="431"/>
      <c r="O120" s="1142"/>
      <c r="P120" s="431"/>
      <c r="Q120" s="431"/>
      <c r="R120" s="1142"/>
      <c r="S120" s="2092">
        <v>208916</v>
      </c>
      <c r="T120" s="2093"/>
      <c r="V120" s="2122"/>
      <c r="W120" s="1753"/>
      <c r="X120" s="1754"/>
    </row>
    <row r="121" spans="1:24" s="362" customFormat="1" ht="12.6" customHeight="1">
      <c r="B121" s="362" t="s">
        <v>1322</v>
      </c>
      <c r="G121" s="2092">
        <v>17250</v>
      </c>
      <c r="H121" s="2093"/>
      <c r="J121" s="432"/>
      <c r="K121" s="432"/>
      <c r="L121" s="432"/>
      <c r="M121" s="432"/>
      <c r="N121" s="432"/>
      <c r="P121" s="432"/>
      <c r="Q121" s="432"/>
      <c r="S121" s="2092">
        <v>17250</v>
      </c>
      <c r="T121" s="2093"/>
      <c r="V121" s="2122"/>
      <c r="W121" s="1753"/>
      <c r="X121" s="1754"/>
    </row>
    <row r="122" spans="1:24" s="362" customFormat="1" ht="12.6" customHeight="1">
      <c r="B122" s="362" t="s">
        <v>1323</v>
      </c>
      <c r="E122" s="362" t="s">
        <v>3140</v>
      </c>
      <c r="F122" s="589">
        <f>G122/'Part VI-Revenues &amp; Expenses'!$M$62</f>
        <v>2266.927536231884</v>
      </c>
      <c r="G122" s="2092">
        <v>156418</v>
      </c>
      <c r="H122" s="2093"/>
      <c r="J122" s="2092">
        <v>156418</v>
      </c>
      <c r="K122" s="2093"/>
      <c r="L122" s="1148"/>
      <c r="M122" s="2092"/>
      <c r="N122" s="2093"/>
      <c r="P122" s="2092"/>
      <c r="Q122" s="2093"/>
      <c r="S122" s="2092"/>
      <c r="T122" s="2093"/>
      <c r="V122" s="2122"/>
      <c r="W122" s="1753"/>
      <c r="X122" s="1754"/>
    </row>
    <row r="123" spans="1:24" s="362" customFormat="1" ht="12.6" customHeight="1" thickBot="1">
      <c r="A123" s="448" t="str">
        <f>IF(AND(G123&gt;0,OR(C123="",C123="&lt;Enter detailed description here; use Comments section if needed&gt;")),"X","")</f>
        <v/>
      </c>
      <c r="B123" s="362" t="s">
        <v>791</v>
      </c>
      <c r="C123" s="1953" t="s">
        <v>2580</v>
      </c>
      <c r="D123" s="1953"/>
      <c r="E123" s="1953"/>
      <c r="F123" s="1954"/>
      <c r="G123" s="2092"/>
      <c r="H123" s="2093"/>
      <c r="J123" s="2092"/>
      <c r="K123" s="2093"/>
      <c r="L123" s="1148"/>
      <c r="M123" s="2092"/>
      <c r="N123" s="2093"/>
      <c r="P123" s="2092"/>
      <c r="Q123" s="2093"/>
      <c r="S123" s="2092"/>
      <c r="T123" s="2093"/>
      <c r="U123" s="447" t="str">
        <f>IF(AND(G123&gt;0,OR(C123="",C123="&lt;Enter detailed description here; use Comments section if needed&gt;")),"NO DESCRIPTION PROVIDED - please enter detailed description in Other box at left; use Comments section below if needed.","")</f>
        <v/>
      </c>
      <c r="V123" s="2122"/>
      <c r="W123" s="1753"/>
      <c r="X123" s="1754"/>
    </row>
    <row r="124" spans="1:24" s="362" customFormat="1" ht="12.6" customHeight="1" thickTop="1">
      <c r="B124" s="433"/>
      <c r="F124" s="421" t="s">
        <v>199</v>
      </c>
      <c r="G124" s="1309">
        <f>SUM(G118:H123)</f>
        <v>467561</v>
      </c>
      <c r="H124" s="1310"/>
      <c r="J124" s="1309">
        <f>SUM(J122:K123)</f>
        <v>156418</v>
      </c>
      <c r="K124" s="1310"/>
      <c r="L124" s="1148"/>
      <c r="M124" s="1309">
        <f>SUM(M122:N123)</f>
        <v>0</v>
      </c>
      <c r="N124" s="1310"/>
      <c r="P124" s="1309">
        <f>SUM(P122:Q123)</f>
        <v>0</v>
      </c>
      <c r="Q124" s="1310"/>
      <c r="S124" s="1309">
        <f>SUM(S118:T123)</f>
        <v>311143</v>
      </c>
      <c r="T124" s="1310"/>
      <c r="V124" s="2130"/>
      <c r="W124" s="1761"/>
      <c r="X124" s="1762"/>
    </row>
    <row r="125" spans="1:24" s="362" customFormat="1" ht="13.15" customHeight="1">
      <c r="B125" s="365" t="s">
        <v>651</v>
      </c>
      <c r="C125" s="1132"/>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652</v>
      </c>
      <c r="C126" s="1132"/>
      <c r="G126" s="2092">
        <v>55294</v>
      </c>
      <c r="H126" s="2093"/>
      <c r="J126" s="2092">
        <v>55294</v>
      </c>
      <c r="K126" s="2093"/>
      <c r="L126" s="422"/>
      <c r="M126" s="2092"/>
      <c r="N126" s="2093"/>
      <c r="P126" s="2092"/>
      <c r="Q126" s="2093"/>
      <c r="S126" s="2092"/>
      <c r="T126" s="2093"/>
      <c r="V126" s="2122"/>
      <c r="W126" s="1745"/>
      <c r="X126" s="1746"/>
    </row>
    <row r="127" spans="1:24" s="362" customFormat="1" ht="12.6" customHeight="1" thickBot="1">
      <c r="A127" s="448" t="str">
        <f>IF(AND(G127&gt;0,OR(C127="",C127="&lt;Enter detailed description here; use Comments section if needed&gt;")),"X","")</f>
        <v/>
      </c>
      <c r="B127" s="362" t="s">
        <v>791</v>
      </c>
      <c r="C127" s="1953" t="s">
        <v>2580</v>
      </c>
      <c r="D127" s="1953"/>
      <c r="E127" s="1953"/>
      <c r="F127" s="1954"/>
      <c r="G127" s="2092"/>
      <c r="H127" s="2093"/>
      <c r="J127" s="2092"/>
      <c r="K127" s="2093"/>
      <c r="L127" s="1148"/>
      <c r="M127" s="2092"/>
      <c r="N127" s="2093"/>
      <c r="P127" s="2092"/>
      <c r="Q127" s="2093"/>
      <c r="S127" s="2092"/>
      <c r="T127" s="2093"/>
      <c r="U127" s="447" t="str">
        <f>IF(AND(G127&gt;0,OR(C127="",C127="&lt;Enter detailed description here; use Comments section if needed&gt;")),"NO DESCRIPTION PROVIDED - please enter detailed description in Other box at left; use Comments section below if needed.","")</f>
        <v/>
      </c>
      <c r="V127" s="2122"/>
      <c r="W127" s="1753"/>
      <c r="X127" s="1754"/>
    </row>
    <row r="128" spans="1:24" s="362" customFormat="1" ht="12.6" customHeight="1" thickTop="1">
      <c r="C128" s="1132"/>
      <c r="F128" s="421" t="s">
        <v>199</v>
      </c>
      <c r="G128" s="1309">
        <f>SUM(G126:H127)</f>
        <v>55294</v>
      </c>
      <c r="H128" s="1310"/>
      <c r="J128" s="1309">
        <f>SUM(J126:K127)</f>
        <v>55294</v>
      </c>
      <c r="K128" s="1310"/>
      <c r="L128" s="1148"/>
      <c r="M128" s="1309">
        <f>SUM(M126:N127)</f>
        <v>0</v>
      </c>
      <c r="N128" s="1310"/>
      <c r="P128" s="1309">
        <f>SUM(P126:Q127)</f>
        <v>0</v>
      </c>
      <c r="Q128" s="1310"/>
      <c r="S128" s="1309">
        <f>SUM(S126:T127)</f>
        <v>0</v>
      </c>
      <c r="T128" s="1310"/>
      <c r="V128" s="2130"/>
      <c r="W128" s="1753"/>
      <c r="X128" s="1754"/>
    </row>
    <row r="129" spans="1:24" s="362" customFormat="1" ht="3" customHeight="1" thickBot="1">
      <c r="C129" s="1132"/>
      <c r="H129" s="429"/>
      <c r="I129" s="429"/>
      <c r="L129" s="1142"/>
      <c r="W129" s="1753"/>
      <c r="X129" s="1754"/>
    </row>
    <row r="130" spans="1:24" s="362" customFormat="1" ht="13.9" customHeight="1" thickBot="1">
      <c r="B130" s="369" t="s">
        <v>3213</v>
      </c>
      <c r="G130" s="1356">
        <f>G17+G23+G27+G33+G38+G41+G47+G64+G77+G83+G91+G105+G111+G116+G124+G128</f>
        <v>10647197</v>
      </c>
      <c r="H130" s="1357"/>
      <c r="J130" s="1356">
        <f>J17+J23+J27+J33+J38+J41+J47+J64+J77+J83+J91+J105+J111+J116+J124+J128</f>
        <v>9479749</v>
      </c>
      <c r="K130" s="1357"/>
      <c r="M130" s="1356">
        <f>M17+M23+M27+M33+M38+M41+M47+M64+M77+M83+M91+M105+M111+M116+M124+M128</f>
        <v>0</v>
      </c>
      <c r="N130" s="1357"/>
      <c r="P130" s="1356">
        <f>P17+P23+P27+P33+P38+P41+P47+P64+P77+P83+P91+P105+P111+P116+P124+P128</f>
        <v>0</v>
      </c>
      <c r="Q130" s="1357"/>
      <c r="S130" s="1356">
        <f>S17+S23+S27+S33+S38+S41+S47+S64+S77+S83+S91+S105+S111+S116+S124+S128</f>
        <v>1167449</v>
      </c>
      <c r="T130" s="1357"/>
      <c r="V130" s="2139"/>
      <c r="W130" s="2140"/>
      <c r="X130" s="1762"/>
    </row>
    <row r="131" spans="1:24" s="362" customFormat="1" ht="3" customHeight="1">
      <c r="C131" s="1132"/>
      <c r="H131" s="429"/>
      <c r="I131" s="429"/>
      <c r="L131" s="1142"/>
    </row>
    <row r="132" spans="1:24" s="362" customFormat="1" ht="13.9" customHeight="1">
      <c r="B132" s="654" t="s">
        <v>3155</v>
      </c>
      <c r="C132" s="652"/>
      <c r="D132" s="1358">
        <f>G130/'Part VI-Revenues &amp; Expenses'!$M$62</f>
        <v>154307.20289855072</v>
      </c>
      <c r="E132" s="1358"/>
      <c r="F132" s="653" t="s">
        <v>3154</v>
      </c>
      <c r="G132" s="1358">
        <f>G130/'Part VI-Revenues &amp; Expenses'!$M$100</f>
        <v>162.39147410966217</v>
      </c>
      <c r="H132" s="1375"/>
      <c r="I132" s="434"/>
    </row>
    <row r="133" spans="1:24" s="362" customFormat="1" ht="3" customHeight="1">
      <c r="I133" s="434"/>
      <c r="L133" s="434"/>
    </row>
    <row r="134" spans="1:24" s="362" customFormat="1" ht="3.6" customHeight="1" thickBot="1">
      <c r="D134" s="1132"/>
      <c r="E134" s="1132"/>
      <c r="I134" s="429"/>
      <c r="J134" s="429"/>
      <c r="K134" s="435"/>
      <c r="L134" s="368"/>
      <c r="P134" s="1142"/>
    </row>
    <row r="135" spans="1:24" s="362" customFormat="1" ht="25.9" customHeight="1">
      <c r="A135" s="524" t="s">
        <v>790</v>
      </c>
      <c r="B135" s="526" t="s">
        <v>1520</v>
      </c>
      <c r="C135" s="363"/>
      <c r="D135" s="1148"/>
      <c r="E135" s="1148"/>
      <c r="F135" s="1148"/>
      <c r="G135" s="1142"/>
      <c r="H135" s="1142"/>
      <c r="I135" s="436"/>
      <c r="J135" s="1311" t="s">
        <v>285</v>
      </c>
      <c r="K135" s="1312"/>
      <c r="M135" s="1311" t="s">
        <v>103</v>
      </c>
      <c r="N135" s="1312"/>
      <c r="P135" s="1311" t="s">
        <v>286</v>
      </c>
      <c r="Q135" s="1312"/>
      <c r="W135" s="525" t="str">
        <f>B135</f>
        <v>TAX CREDIT CALCULATION - BASIS METHOD</v>
      </c>
    </row>
    <row r="136" spans="1:24" s="362" customFormat="1" ht="15" customHeight="1" thickBot="1">
      <c r="B136" s="369" t="s">
        <v>2183</v>
      </c>
      <c r="D136" s="1148"/>
      <c r="E136" s="1148"/>
      <c r="I136" s="436"/>
      <c r="J136" s="1313"/>
      <c r="K136" s="1314"/>
      <c r="L136" s="363"/>
      <c r="M136" s="1313"/>
      <c r="N136" s="1314"/>
      <c r="P136" s="1313"/>
      <c r="Q136" s="1314"/>
      <c r="W136" s="362" t="str">
        <f>B136</f>
        <v>Subtractions From Eligible Basis</v>
      </c>
      <c r="X136" s="405"/>
    </row>
    <row r="137" spans="1:24" s="362" customFormat="1" ht="6" customHeight="1">
      <c r="D137" s="1132"/>
      <c r="E137" s="1132"/>
      <c r="I137" s="429"/>
      <c r="J137" s="429"/>
      <c r="K137" s="435"/>
      <c r="L137" s="368"/>
      <c r="P137" s="1142"/>
    </row>
    <row r="138" spans="1:24" s="362" customFormat="1" ht="13.9" customHeight="1">
      <c r="B138" s="1132" t="s">
        <v>147</v>
      </c>
      <c r="D138" s="1142"/>
      <c r="E138" s="1142"/>
      <c r="F138" s="1142"/>
      <c r="G138" s="1142"/>
      <c r="H138" s="1142"/>
      <c r="I138" s="436"/>
      <c r="J138" s="2141"/>
      <c r="K138" s="2142"/>
      <c r="P138" s="2141"/>
      <c r="Q138" s="2142"/>
      <c r="V138" s="2122"/>
      <c r="W138" s="1745"/>
      <c r="X138" s="1746"/>
    </row>
    <row r="139" spans="1:24" s="362" customFormat="1" ht="13.9" customHeight="1">
      <c r="B139" s="1142" t="s">
        <v>2292</v>
      </c>
      <c r="D139" s="1142"/>
      <c r="E139" s="1142"/>
      <c r="F139" s="1142"/>
      <c r="G139" s="1142"/>
      <c r="H139" s="1142"/>
      <c r="I139" s="436"/>
      <c r="J139" s="2141"/>
      <c r="K139" s="2142"/>
      <c r="P139" s="2141"/>
      <c r="Q139" s="2142"/>
      <c r="V139" s="2122"/>
      <c r="W139" s="1753"/>
      <c r="X139" s="1754"/>
    </row>
    <row r="140" spans="1:24" s="362" customFormat="1" ht="13.9" customHeight="1">
      <c r="B140" s="1142" t="s">
        <v>1993</v>
      </c>
      <c r="D140" s="1142"/>
      <c r="E140" s="1142"/>
      <c r="I140" s="436"/>
      <c r="J140" s="2141"/>
      <c r="K140" s="2142"/>
      <c r="P140" s="2141"/>
      <c r="Q140" s="2142"/>
      <c r="V140" s="2122"/>
      <c r="W140" s="1753"/>
      <c r="X140" s="1754"/>
    </row>
    <row r="141" spans="1:24" s="362" customFormat="1" ht="13.9" customHeight="1">
      <c r="B141" s="1142" t="s">
        <v>1994</v>
      </c>
      <c r="D141" s="1142"/>
      <c r="E141" s="1142"/>
      <c r="I141" s="436"/>
      <c r="J141" s="2141"/>
      <c r="K141" s="2142"/>
      <c r="P141" s="2141"/>
      <c r="Q141" s="2142"/>
      <c r="V141" s="2122"/>
      <c r="W141" s="1753"/>
      <c r="X141" s="1754"/>
    </row>
    <row r="142" spans="1:24" s="362" customFormat="1" ht="13.9" customHeight="1">
      <c r="B142" s="1142" t="s">
        <v>267</v>
      </c>
      <c r="D142" s="1142"/>
      <c r="E142" s="1142"/>
      <c r="I142" s="436"/>
      <c r="J142" s="2141"/>
      <c r="K142" s="2142"/>
      <c r="P142" s="2141"/>
      <c r="Q142" s="2142"/>
      <c r="V142" s="2122"/>
      <c r="W142" s="1753"/>
      <c r="X142" s="1754"/>
    </row>
    <row r="143" spans="1:24" s="362" customFormat="1" ht="13.9" customHeight="1" thickBot="1">
      <c r="B143" s="1142" t="s">
        <v>1710</v>
      </c>
      <c r="C143" s="1953" t="s">
        <v>2580</v>
      </c>
      <c r="D143" s="1953"/>
      <c r="E143" s="1953"/>
      <c r="F143" s="1953"/>
      <c r="G143" s="1953"/>
      <c r="H143" s="1953"/>
      <c r="I143" s="1954"/>
      <c r="J143" s="2141"/>
      <c r="K143" s="2142"/>
      <c r="P143" s="2141"/>
      <c r="Q143" s="2142"/>
      <c r="V143" s="2122"/>
      <c r="W143" s="1753"/>
      <c r="X143" s="1754"/>
    </row>
    <row r="144" spans="1:24" s="362" customFormat="1" ht="13.9" customHeight="1" thickBot="1">
      <c r="B144" s="374" t="s">
        <v>1995</v>
      </c>
      <c r="C144" s="377"/>
      <c r="J144" s="1273">
        <f>SUM(J138:K143)</f>
        <v>0</v>
      </c>
      <c r="K144" s="1274"/>
      <c r="P144" s="1273">
        <f>SUM(P138:Q143)</f>
        <v>0</v>
      </c>
      <c r="Q144" s="1274"/>
      <c r="V144" s="2130"/>
      <c r="W144" s="1761"/>
      <c r="X144" s="1762"/>
    </row>
    <row r="145" spans="1:24" s="362" customFormat="1" ht="3" customHeight="1"/>
    <row r="146" spans="1:24" s="362" customFormat="1" ht="15" customHeight="1" thickBot="1">
      <c r="B146" s="365" t="s">
        <v>2492</v>
      </c>
      <c r="W146" s="362" t="str">
        <f>B146</f>
        <v>Eligible Basis Calculation</v>
      </c>
    </row>
    <row r="147" spans="1:24" s="362" customFormat="1" ht="13.9" customHeight="1">
      <c r="B147" s="362" t="s">
        <v>1914</v>
      </c>
      <c r="J147" s="1331">
        <f>J130</f>
        <v>9479749</v>
      </c>
      <c r="K147" s="1332"/>
      <c r="M147" s="1333">
        <f>M130</f>
        <v>0</v>
      </c>
      <c r="N147" s="1334"/>
      <c r="P147" s="1331">
        <f>P130</f>
        <v>0</v>
      </c>
      <c r="Q147" s="1332"/>
      <c r="V147" s="2122"/>
      <c r="W147" s="1745"/>
      <c r="X147" s="1746"/>
    </row>
    <row r="148" spans="1:24" s="362" customFormat="1" ht="13.9" customHeight="1">
      <c r="B148" s="362" t="s">
        <v>2367</v>
      </c>
      <c r="J148" s="1315">
        <f>J144</f>
        <v>0</v>
      </c>
      <c r="K148" s="1322"/>
      <c r="M148" s="1316"/>
      <c r="N148" s="1316"/>
      <c r="P148" s="1315">
        <f>P144</f>
        <v>0</v>
      </c>
      <c r="Q148" s="1322"/>
      <c r="V148" s="2122"/>
      <c r="W148" s="1753"/>
      <c r="X148" s="1754"/>
    </row>
    <row r="149" spans="1:24" s="362" customFormat="1" ht="13.9" customHeight="1">
      <c r="B149" s="362" t="s">
        <v>2368</v>
      </c>
      <c r="J149" s="1315">
        <f>J147-J148</f>
        <v>9479749</v>
      </c>
      <c r="K149" s="1322"/>
      <c r="M149" s="1315">
        <f>M147</f>
        <v>0</v>
      </c>
      <c r="N149" s="1322"/>
      <c r="P149" s="1315">
        <f>P147-P148</f>
        <v>0</v>
      </c>
      <c r="Q149" s="1322"/>
      <c r="V149" s="2122"/>
      <c r="W149" s="1753"/>
      <c r="X149" s="1754"/>
    </row>
    <row r="150" spans="1:24" s="362" customFormat="1" ht="13.9" customHeight="1">
      <c r="B150" s="362" t="s">
        <v>1587</v>
      </c>
      <c r="G150" s="1135" t="s">
        <v>1833</v>
      </c>
      <c r="H150" s="1943" t="s">
        <v>1895</v>
      </c>
      <c r="I150" s="1944"/>
      <c r="J150" s="2143">
        <v>1</v>
      </c>
      <c r="K150" s="2144"/>
      <c r="M150" s="1330"/>
      <c r="N150" s="1330"/>
      <c r="P150" s="2143"/>
      <c r="Q150" s="2144"/>
      <c r="V150" s="2122"/>
      <c r="W150" s="1753"/>
      <c r="X150" s="1754"/>
    </row>
    <row r="151" spans="1:24" s="362" customFormat="1" ht="13.9" customHeight="1">
      <c r="B151" s="362" t="s">
        <v>2193</v>
      </c>
      <c r="J151" s="1315">
        <f>J149*J150</f>
        <v>9479749</v>
      </c>
      <c r="K151" s="1322"/>
      <c r="M151" s="1315">
        <f>+M149</f>
        <v>0</v>
      </c>
      <c r="N151" s="1322"/>
      <c r="P151" s="1315">
        <f>P149*P150</f>
        <v>0</v>
      </c>
      <c r="Q151" s="1322"/>
      <c r="V151" s="2122"/>
      <c r="W151" s="1753"/>
      <c r="X151" s="1754"/>
    </row>
    <row r="152" spans="1:24" s="362" customFormat="1" ht="13.9" customHeight="1">
      <c r="B152" s="362" t="s">
        <v>2725</v>
      </c>
      <c r="J152" s="1328">
        <f>MIN('Part VI-Revenues &amp; Expenses'!$M$58/'Part VI-Revenues &amp; Expenses'!$M$60,'Part VI-Revenues &amp; Expenses'!$M$96/'Part VI-Revenues &amp; Expenses'!$M$98)</f>
        <v>1</v>
      </c>
      <c r="K152" s="1329"/>
      <c r="M152" s="1328">
        <f>MIN('Part VI-Revenues &amp; Expenses'!$M$58/'Part VI-Revenues &amp; Expenses'!$M$60,'Part VI-Revenues &amp; Expenses'!$M$96/'Part VI-Revenues &amp; Expenses'!$M$98)</f>
        <v>1</v>
      </c>
      <c r="N152" s="1329"/>
      <c r="P152" s="1328">
        <f>MIN('Part VI-Revenues &amp; Expenses'!$M$58/'Part VI-Revenues &amp; Expenses'!$M$60,'Part VI-Revenues &amp; Expenses'!$M$96/'Part VI-Revenues &amp; Expenses'!$M$98)</f>
        <v>1</v>
      </c>
      <c r="Q152" s="1329"/>
      <c r="V152" s="2122"/>
      <c r="W152" s="1753"/>
      <c r="X152" s="1754"/>
    </row>
    <row r="153" spans="1:24" s="362" customFormat="1" ht="13.9" customHeight="1">
      <c r="B153" s="362" t="s">
        <v>2184</v>
      </c>
      <c r="J153" s="1315">
        <f>J151*J152</f>
        <v>9479749</v>
      </c>
      <c r="K153" s="1322"/>
      <c r="M153" s="1315">
        <f>M151*M152</f>
        <v>0</v>
      </c>
      <c r="N153" s="1322"/>
      <c r="P153" s="1315">
        <f>P151*P152</f>
        <v>0</v>
      </c>
      <c r="Q153" s="1322"/>
      <c r="V153" s="2122"/>
      <c r="W153" s="1753"/>
      <c r="X153" s="1754"/>
    </row>
    <row r="154" spans="1:24" s="362" customFormat="1" ht="13.9" customHeight="1">
      <c r="B154" s="362" t="s">
        <v>2185</v>
      </c>
      <c r="J154" s="2143">
        <v>7.5999999999999998E-2</v>
      </c>
      <c r="K154" s="2144"/>
      <c r="M154" s="2143"/>
      <c r="N154" s="2144"/>
      <c r="P154" s="2143"/>
      <c r="Q154" s="2144"/>
      <c r="V154" s="2122"/>
      <c r="W154" s="1753"/>
      <c r="X154" s="1754"/>
    </row>
    <row r="155" spans="1:24" s="362" customFormat="1" ht="13.9" customHeight="1" thickBot="1">
      <c r="B155" s="362" t="s">
        <v>2726</v>
      </c>
      <c r="J155" s="1325">
        <f>J153*J154</f>
        <v>720460.924</v>
      </c>
      <c r="K155" s="1326"/>
      <c r="M155" s="1325">
        <f>M153*M154</f>
        <v>0</v>
      </c>
      <c r="N155" s="1326"/>
      <c r="P155" s="1325">
        <f>P153*P154</f>
        <v>0</v>
      </c>
      <c r="Q155" s="1326"/>
      <c r="V155" s="2145"/>
      <c r="W155" s="1753"/>
      <c r="X155" s="1754"/>
    </row>
    <row r="156" spans="1:24" s="362" customFormat="1" ht="13.9" customHeight="1" thickBot="1">
      <c r="B156" s="365" t="s">
        <v>1518</v>
      </c>
      <c r="J156" s="1273">
        <f>J155+M155+P155</f>
        <v>720460.924</v>
      </c>
      <c r="K156" s="1350"/>
      <c r="L156" s="1350"/>
      <c r="M156" s="1350"/>
      <c r="N156" s="1350"/>
      <c r="O156" s="1350"/>
      <c r="P156" s="1350"/>
      <c r="Q156" s="1274"/>
      <c r="V156" s="2130"/>
      <c r="W156" s="1761"/>
      <c r="X156" s="1762"/>
    </row>
    <row r="157" spans="1:24" s="362" customFormat="1" ht="6" customHeight="1">
      <c r="B157" s="437"/>
      <c r="L157" s="438"/>
      <c r="M157" s="438"/>
      <c r="N157" s="438"/>
      <c r="O157" s="438"/>
    </row>
    <row r="158" spans="1:24" s="362" customFormat="1" ht="13.9" customHeight="1">
      <c r="A158" s="525" t="s">
        <v>792</v>
      </c>
      <c r="B158" s="525" t="s">
        <v>1521</v>
      </c>
      <c r="H158" s="429"/>
      <c r="I158" s="429"/>
      <c r="L158" s="1142"/>
      <c r="M158" s="607"/>
      <c r="N158" s="1142"/>
      <c r="O158" s="1142"/>
      <c r="P158" s="1142"/>
      <c r="Q158" s="1142"/>
      <c r="R158" s="1142"/>
      <c r="S158" s="1142"/>
      <c r="T158" s="1142"/>
    </row>
    <row r="159" spans="1:24" s="362" customFormat="1" ht="15" customHeight="1" thickBot="1">
      <c r="B159" s="365" t="s">
        <v>181</v>
      </c>
      <c r="H159" s="330"/>
      <c r="M159" s="607"/>
      <c r="N159" s="1142"/>
      <c r="O159" s="1142"/>
      <c r="P159" s="1142"/>
      <c r="Q159" s="1142"/>
      <c r="R159" s="1142"/>
      <c r="S159" s="1142"/>
      <c r="T159" s="1142"/>
      <c r="W159" s="525" t="str">
        <f>B158</f>
        <v>TAX CREDIT CALCULATION - GAP METHOD</v>
      </c>
    </row>
    <row r="160" spans="1:24" s="362" customFormat="1" ht="15" customHeight="1">
      <c r="B160" s="355" t="s">
        <v>3214</v>
      </c>
      <c r="G160" s="1345" t="str">
        <f>IF(J161&gt;J160,"TDC exceeds QAP PUCL!","")</f>
        <v/>
      </c>
      <c r="H160" s="1345"/>
      <c r="I160" s="1346"/>
      <c r="J160" s="1347">
        <f>'Part VIII-Threshold Criteria'!$P$47</f>
        <v>10648053</v>
      </c>
      <c r="K160" s="1348"/>
      <c r="L160" s="1349"/>
      <c r="M160" s="1335" t="s">
        <v>3020</v>
      </c>
      <c r="N160" s="1336"/>
      <c r="O160" s="1336"/>
      <c r="P160" s="1336"/>
      <c r="Q160" s="1336"/>
      <c r="R160" s="1337"/>
      <c r="S160" s="1341" t="s">
        <v>2977</v>
      </c>
      <c r="T160" s="1342"/>
      <c r="V160" s="2122"/>
      <c r="W160" s="1745"/>
      <c r="X160" s="1746"/>
    </row>
    <row r="161" spans="1:24" s="362" customFormat="1" ht="13.9" customHeight="1">
      <c r="B161" s="362" t="s">
        <v>3022</v>
      </c>
      <c r="J161" s="2146">
        <f>MIN(G130,J160,(G130-O163))</f>
        <v>10647197</v>
      </c>
      <c r="K161" s="2147"/>
      <c r="L161" s="2148"/>
      <c r="M161" s="1338"/>
      <c r="N161" s="1339"/>
      <c r="O161" s="1339"/>
      <c r="P161" s="1339"/>
      <c r="Q161" s="1339"/>
      <c r="R161" s="1340"/>
      <c r="S161" s="1343"/>
      <c r="T161" s="1344"/>
      <c r="V161" s="2122"/>
      <c r="W161" s="1753"/>
      <c r="X161" s="1754"/>
    </row>
    <row r="162" spans="1:24" s="362" customFormat="1" ht="13.9" customHeight="1">
      <c r="B162" s="362" t="s">
        <v>277</v>
      </c>
      <c r="J162" s="1315">
        <f>'Part III-Sources of Funds'!$H$49-'Part III-Sources of Funds'!H36-'Part III-Sources of Funds'!$H$37-'Part III-Sources of Funds'!$H$40-'Part III-Sources of Funds'!$H$41</f>
        <v>1150000</v>
      </c>
      <c r="K162" s="1316"/>
      <c r="L162" s="1317"/>
      <c r="M162" s="1338"/>
      <c r="N162" s="1339"/>
      <c r="O162" s="1339"/>
      <c r="P162" s="1339"/>
      <c r="Q162" s="1339"/>
      <c r="R162" s="1340"/>
      <c r="S162" s="1343"/>
      <c r="T162" s="1344"/>
      <c r="V162" s="2122"/>
      <c r="W162" s="1753"/>
      <c r="X162" s="1754"/>
    </row>
    <row r="163" spans="1:24" s="362" customFormat="1" ht="13.9" customHeight="1" thickBot="1">
      <c r="B163" s="362" t="s">
        <v>2380</v>
      </c>
      <c r="J163" s="1315">
        <f>+J161-J162</f>
        <v>9497197</v>
      </c>
      <c r="K163" s="1316"/>
      <c r="L163" s="1317"/>
      <c r="M163" s="1323" t="s">
        <v>3021</v>
      </c>
      <c r="N163" s="1324"/>
      <c r="O163" s="1351">
        <f>'Part III-Sources of Funds'!H36</f>
        <v>0</v>
      </c>
      <c r="P163" s="1351"/>
      <c r="Q163" s="1351"/>
      <c r="R163" s="1352"/>
      <c r="S163" s="501" t="s">
        <v>1775</v>
      </c>
      <c r="T163" s="2149"/>
      <c r="V163" s="2122"/>
      <c r="W163" s="1753"/>
      <c r="X163" s="1754"/>
    </row>
    <row r="164" spans="1:24" s="362" customFormat="1" ht="13.9" customHeight="1">
      <c r="B164" s="362" t="s">
        <v>1372</v>
      </c>
      <c r="J164" s="1318" t="str">
        <f>"/ 10"</f>
        <v>/ 10</v>
      </c>
      <c r="K164" s="1318"/>
      <c r="L164" s="1318"/>
      <c r="M164" s="1142"/>
      <c r="N164" s="604"/>
      <c r="O164" s="604"/>
      <c r="P164" s="604"/>
      <c r="Q164" s="604"/>
      <c r="R164" s="604"/>
      <c r="W164" s="1753"/>
      <c r="X164" s="1754"/>
    </row>
    <row r="165" spans="1:24" s="362" customFormat="1" ht="13.9" customHeight="1">
      <c r="B165" s="362" t="s">
        <v>1373</v>
      </c>
      <c r="J165" s="1315">
        <f>J163/10</f>
        <v>949719.7</v>
      </c>
      <c r="K165" s="1316"/>
      <c r="L165" s="1322"/>
      <c r="M165" s="382"/>
      <c r="N165" s="1195" t="s">
        <v>1374</v>
      </c>
      <c r="O165" s="1195"/>
      <c r="Q165" s="1195" t="s">
        <v>1923</v>
      </c>
      <c r="R165" s="1195"/>
      <c r="V165" s="2122"/>
      <c r="W165" s="1753"/>
      <c r="X165" s="1754"/>
    </row>
    <row r="166" spans="1:24" s="362" customFormat="1" ht="13.9" customHeight="1" thickBot="1">
      <c r="B166" s="362" t="s">
        <v>1586</v>
      </c>
      <c r="J166" s="1353">
        <f>N166+Q166</f>
        <v>1.2604908400000001</v>
      </c>
      <c r="K166" s="1354"/>
      <c r="L166" s="1355"/>
      <c r="M166" s="1135" t="s">
        <v>1375</v>
      </c>
      <c r="N166" s="2150">
        <v>0.94049084000000005</v>
      </c>
      <c r="O166" s="2151"/>
      <c r="P166" s="1135" t="s">
        <v>653</v>
      </c>
      <c r="Q166" s="2150">
        <v>0.32</v>
      </c>
      <c r="R166" s="2151"/>
      <c r="V166" s="2122"/>
      <c r="W166" s="1753"/>
      <c r="X166" s="1754"/>
    </row>
    <row r="167" spans="1:24" s="362" customFormat="1" ht="13.9" customHeight="1" thickBot="1">
      <c r="B167" s="365" t="s">
        <v>1519</v>
      </c>
      <c r="J167" s="1273">
        <f>IF(J166=0,"",J165/J166)</f>
        <v>753452.28212844441</v>
      </c>
      <c r="K167" s="1350"/>
      <c r="L167" s="1274"/>
      <c r="M167" s="382"/>
      <c r="N167" s="1142"/>
      <c r="O167" s="1142"/>
      <c r="V167" s="2122"/>
      <c r="W167" s="1753"/>
      <c r="X167" s="1754"/>
    </row>
    <row r="168" spans="1:24" s="362" customFormat="1" ht="6" customHeight="1">
      <c r="J168" s="439"/>
      <c r="K168" s="439"/>
      <c r="L168" s="439"/>
      <c r="M168" s="382"/>
      <c r="N168" s="1138"/>
      <c r="O168" s="1138"/>
      <c r="W168" s="1753"/>
      <c r="X168" s="1754"/>
    </row>
    <row r="169" spans="1:24" s="362" customFormat="1" ht="16.149999999999999" customHeight="1">
      <c r="B169" s="365" t="s">
        <v>3575</v>
      </c>
      <c r="J169" s="1319">
        <f>IF('Part I-Project Information'!I161 = "Yes",+MIN(J156,J167,'Part I-Project Information'!$O$161,'DCA Underwriting Assumptions'!$R$7),+MIN(J156,J167,'DCA Underwriting Assumptions'!$R$6))</f>
        <v>720460.924</v>
      </c>
      <c r="K169" s="1320"/>
      <c r="L169" s="1321"/>
      <c r="M169" s="382"/>
      <c r="N169" s="1138"/>
      <c r="O169" s="1138"/>
      <c r="V169" s="2122"/>
      <c r="W169" s="1753"/>
      <c r="X169" s="1754"/>
    </row>
    <row r="170" spans="1:24" s="362" customFormat="1" ht="3" customHeight="1">
      <c r="J170" s="439"/>
      <c r="K170" s="439"/>
      <c r="L170" s="439"/>
      <c r="M170" s="382"/>
      <c r="N170" s="1138"/>
      <c r="O170" s="1138"/>
      <c r="W170" s="1753"/>
      <c r="X170" s="1754"/>
    </row>
    <row r="171" spans="1:24" s="362" customFormat="1" ht="16.149999999999999" customHeight="1">
      <c r="B171" s="365" t="s">
        <v>367</v>
      </c>
      <c r="J171" s="2152">
        <v>720461</v>
      </c>
      <c r="K171" s="2153"/>
      <c r="L171" s="2154"/>
      <c r="M171" s="440" t="str">
        <f>IF(J169=0,"",IF(J171&gt;J169,"ALLOCATION CANNOT EXCEED MAXIMUM - REVISE REQUEST!",""))</f>
        <v>ALLOCATION CANNOT EXCEED MAXIMUM - REVISE REQUEST!</v>
      </c>
      <c r="N171" s="1138"/>
      <c r="O171" s="1138"/>
      <c r="V171" s="2122"/>
      <c r="W171" s="1753"/>
      <c r="X171" s="1754"/>
    </row>
    <row r="172" spans="1:24" s="362" customFormat="1" ht="3" customHeight="1">
      <c r="J172" s="439"/>
      <c r="K172" s="439"/>
      <c r="L172" s="439"/>
      <c r="M172" s="382"/>
      <c r="N172" s="1138"/>
      <c r="O172" s="1138"/>
      <c r="W172" s="1753"/>
      <c r="X172" s="1754"/>
    </row>
    <row r="173" spans="1:24" s="362" customFormat="1" ht="16.149999999999999" customHeight="1">
      <c r="A173" s="525" t="s">
        <v>1916</v>
      </c>
      <c r="B173" s="525" t="s">
        <v>2805</v>
      </c>
      <c r="D173" s="382"/>
      <c r="E173" s="382"/>
      <c r="F173" s="368"/>
      <c r="J173" s="1319">
        <f>IF(J171="",0,+MIN(J169,J171))</f>
        <v>720460.924</v>
      </c>
      <c r="K173" s="1320"/>
      <c r="L173" s="1321"/>
      <c r="N173" s="2155"/>
      <c r="O173" s="2155"/>
      <c r="P173" s="2155"/>
      <c r="Q173" s="2155"/>
      <c r="R173" s="2155"/>
      <c r="S173" s="2155"/>
      <c r="T173" s="2155"/>
      <c r="V173" s="2122"/>
      <c r="W173" s="1761"/>
      <c r="X173" s="1762"/>
    </row>
    <row r="174" spans="1:24" ht="3" customHeight="1"/>
    <row r="175" spans="1:24" ht="6" customHeight="1"/>
    <row r="176" spans="1:24" ht="12" customHeight="1">
      <c r="A176" s="365" t="s">
        <v>1918</v>
      </c>
      <c r="B176" s="391" t="s">
        <v>608</v>
      </c>
      <c r="K176" s="365" t="s">
        <v>563</v>
      </c>
      <c r="L176" s="365" t="s">
        <v>82</v>
      </c>
    </row>
    <row r="177" spans="1:24" ht="201" customHeight="1">
      <c r="A177" s="2156" t="s">
        <v>3806</v>
      </c>
      <c r="B177" s="2157"/>
      <c r="C177" s="2157"/>
      <c r="D177" s="2157"/>
      <c r="E177" s="2157"/>
      <c r="F177" s="2157"/>
      <c r="G177" s="2157"/>
      <c r="H177" s="2157"/>
      <c r="I177" s="2157"/>
      <c r="J177" s="2158"/>
      <c r="K177" s="2159"/>
      <c r="L177" s="2160"/>
      <c r="M177" s="2160"/>
      <c r="N177" s="2160"/>
      <c r="O177" s="2160"/>
      <c r="P177" s="2160"/>
      <c r="Q177" s="2160"/>
      <c r="R177" s="2160"/>
      <c r="S177" s="2160"/>
      <c r="T177" s="2161"/>
      <c r="W177" s="1253" t="s">
        <v>2925</v>
      </c>
      <c r="X177" s="1253"/>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7"/>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2" t="str">
        <f>CONCATENATE("PART FIVE - UTILITY ALLOWANCES","  -  ",'Part I-Project Information'!$O$4," ",'Part I-Project Information'!$F$23,", ",'Part I-Project Information'!F27,", ",'Part I-Project Information'!J28," County")</f>
        <v>PART FIVE - UTILITY ALLOWANCES  -  2014-055 Trinity Walk Phase I, Decatur, DeKalb County</v>
      </c>
      <c r="B1" s="1383"/>
      <c r="C1" s="1383"/>
      <c r="D1" s="1383"/>
      <c r="E1" s="1383"/>
      <c r="F1" s="1383"/>
      <c r="G1" s="1383"/>
      <c r="H1" s="1383"/>
      <c r="I1" s="1383"/>
      <c r="J1" s="1383"/>
      <c r="K1" s="1383"/>
      <c r="L1" s="1383"/>
      <c r="M1" s="1383"/>
      <c r="N1" s="11"/>
      <c r="O1" s="11"/>
      <c r="P1" s="11"/>
      <c r="Q1" s="11"/>
      <c r="R1" s="19"/>
      <c r="S1" s="19"/>
      <c r="T1" s="19"/>
    </row>
    <row r="2" spans="1:20" s="9" customFormat="1"/>
    <row r="3" spans="1:20" s="9" customFormat="1">
      <c r="F3" s="5" t="s">
        <v>548</v>
      </c>
      <c r="I3" s="1166" t="str">
        <f>VLOOKUP('Part I-Project Information'!$J$28,'Part I-Project Information'!$C$179:$D$338,2)</f>
        <v>Middle</v>
      </c>
    </row>
    <row r="4" spans="1:20" s="9" customFormat="1"/>
    <row r="5" spans="1:20" s="9" customFormat="1">
      <c r="A5" s="16" t="s">
        <v>657</v>
      </c>
      <c r="B5" s="16" t="s">
        <v>2375</v>
      </c>
      <c r="F5" s="9" t="s">
        <v>2692</v>
      </c>
      <c r="I5" s="2162" t="s">
        <v>3751</v>
      </c>
      <c r="J5" s="2163"/>
      <c r="K5" s="2163"/>
      <c r="L5" s="2163"/>
      <c r="M5" s="2164"/>
    </row>
    <row r="6" spans="1:20" s="9" customFormat="1" ht="13.15" customHeight="1">
      <c r="A6" s="16"/>
      <c r="F6" s="9" t="s">
        <v>677</v>
      </c>
      <c r="H6" s="31"/>
      <c r="I6" s="2165">
        <v>40725</v>
      </c>
      <c r="J6" s="2166"/>
      <c r="K6" s="73" t="s">
        <v>573</v>
      </c>
      <c r="L6" s="2167" t="s">
        <v>3752</v>
      </c>
      <c r="M6" s="2164"/>
    </row>
    <row r="7" spans="1:20" s="9" customFormat="1" ht="6" customHeight="1">
      <c r="A7" s="16"/>
    </row>
    <row r="8" spans="1:20" s="16" customFormat="1">
      <c r="B8" s="293"/>
      <c r="C8" s="293"/>
      <c r="D8" s="293"/>
      <c r="E8" s="293"/>
      <c r="F8" s="1381" t="s">
        <v>650</v>
      </c>
      <c r="G8" s="1381"/>
      <c r="I8" s="1380" t="s">
        <v>208</v>
      </c>
      <c r="J8" s="1380"/>
      <c r="K8" s="1380"/>
      <c r="L8" s="1380"/>
      <c r="M8" s="1380"/>
    </row>
    <row r="9" spans="1:20" s="16" customFormat="1">
      <c r="B9" s="293" t="s">
        <v>852</v>
      </c>
      <c r="D9" s="293" t="s">
        <v>1708</v>
      </c>
      <c r="F9" s="1153" t="s">
        <v>683</v>
      </c>
      <c r="G9" s="1153" t="s">
        <v>1980</v>
      </c>
      <c r="I9" s="294" t="s">
        <v>601</v>
      </c>
      <c r="J9" s="295">
        <v>1</v>
      </c>
      <c r="K9" s="295">
        <v>2</v>
      </c>
      <c r="L9" s="295">
        <v>3</v>
      </c>
      <c r="M9" s="295">
        <v>4</v>
      </c>
    </row>
    <row r="10" spans="1:20" s="9" customFormat="1">
      <c r="B10" s="296" t="s">
        <v>1982</v>
      </c>
      <c r="C10" s="297"/>
      <c r="D10" s="2168" t="s">
        <v>1704</v>
      </c>
      <c r="E10" s="2169"/>
      <c r="F10" s="2170" t="s">
        <v>463</v>
      </c>
      <c r="G10" s="2170"/>
      <c r="H10" s="298"/>
      <c r="I10" s="2171"/>
      <c r="J10" s="2171">
        <v>73</v>
      </c>
      <c r="K10" s="2171">
        <v>127</v>
      </c>
      <c r="L10" s="2171">
        <v>134</v>
      </c>
      <c r="M10" s="2171"/>
    </row>
    <row r="11" spans="1:20" s="9" customFormat="1">
      <c r="B11" s="299" t="s">
        <v>493</v>
      </c>
      <c r="C11" s="300"/>
      <c r="D11" s="299" t="s">
        <v>1704</v>
      </c>
      <c r="E11" s="300"/>
      <c r="F11" s="2172" t="s">
        <v>463</v>
      </c>
      <c r="G11" s="2172"/>
      <c r="H11" s="301"/>
      <c r="I11" s="2173"/>
      <c r="J11" s="2173"/>
      <c r="K11" s="2173" t="s">
        <v>3793</v>
      </c>
      <c r="L11" s="2174"/>
      <c r="M11" s="2174"/>
    </row>
    <row r="12" spans="1:20" s="9" customFormat="1">
      <c r="B12" s="299" t="s">
        <v>1705</v>
      </c>
      <c r="C12" s="300"/>
      <c r="D12" s="2175" t="s">
        <v>1704</v>
      </c>
      <c r="E12" s="2176"/>
      <c r="F12" s="2172" t="s">
        <v>463</v>
      </c>
      <c r="G12" s="2172"/>
      <c r="H12" s="301"/>
      <c r="I12" s="2173"/>
      <c r="J12" s="2173"/>
      <c r="K12" s="2173" t="s">
        <v>3793</v>
      </c>
      <c r="L12" s="2174"/>
      <c r="M12" s="2174"/>
    </row>
    <row r="13" spans="1:20" s="9" customFormat="1">
      <c r="B13" s="299" t="s">
        <v>1706</v>
      </c>
      <c r="C13" s="300"/>
      <c r="D13" s="2175" t="s">
        <v>1704</v>
      </c>
      <c r="E13" s="2176"/>
      <c r="F13" s="2172" t="s">
        <v>463</v>
      </c>
      <c r="G13" s="2172"/>
      <c r="H13" s="301"/>
      <c r="I13" s="2173"/>
      <c r="J13" s="2173"/>
      <c r="K13" s="2173" t="s">
        <v>3793</v>
      </c>
      <c r="L13" s="2174"/>
      <c r="M13" s="2174"/>
    </row>
    <row r="14" spans="1:20" s="9" customFormat="1">
      <c r="B14" s="299" t="s">
        <v>1707</v>
      </c>
      <c r="C14" s="300"/>
      <c r="D14" s="299" t="s">
        <v>1704</v>
      </c>
      <c r="E14" s="302"/>
      <c r="F14" s="2172" t="s">
        <v>463</v>
      </c>
      <c r="G14" s="2172"/>
      <c r="H14" s="301"/>
      <c r="I14" s="2173"/>
      <c r="J14" s="2173"/>
      <c r="K14" s="2173"/>
      <c r="L14" s="2174"/>
      <c r="M14" s="2174"/>
    </row>
    <row r="15" spans="1:20" s="9" customFormat="1">
      <c r="B15" s="299" t="s">
        <v>1457</v>
      </c>
      <c r="C15" s="300"/>
      <c r="D15" s="299" t="s">
        <v>2374</v>
      </c>
      <c r="E15" s="2177" t="s">
        <v>3702</v>
      </c>
      <c r="F15" s="2172"/>
      <c r="G15" s="2172"/>
      <c r="H15" s="301"/>
      <c r="I15" s="2173"/>
      <c r="J15" s="2173">
        <v>35</v>
      </c>
      <c r="K15" s="2173">
        <v>49</v>
      </c>
      <c r="L15" s="2174">
        <v>63</v>
      </c>
      <c r="M15" s="2174"/>
    </row>
    <row r="16" spans="1:20" s="9" customFormat="1">
      <c r="B16" s="303" t="s">
        <v>1981</v>
      </c>
      <c r="C16" s="304"/>
      <c r="D16" s="303"/>
      <c r="E16" s="270"/>
      <c r="F16" s="2178"/>
      <c r="G16" s="2178" t="s">
        <v>463</v>
      </c>
      <c r="H16" s="305"/>
      <c r="I16" s="2179"/>
      <c r="J16" s="2179"/>
      <c r="K16" s="2179"/>
      <c r="L16" s="2180"/>
      <c r="M16" s="2180"/>
    </row>
    <row r="17" spans="1:19" s="9" customFormat="1">
      <c r="B17" s="293" t="s">
        <v>1082</v>
      </c>
      <c r="D17" s="31"/>
      <c r="E17" s="31"/>
      <c r="F17" s="94"/>
      <c r="G17" s="94"/>
      <c r="I17" s="1153">
        <f>SUM(I10:I16)</f>
        <v>0</v>
      </c>
      <c r="J17" s="1153">
        <f>SUM(J10:J16)</f>
        <v>108</v>
      </c>
      <c r="K17" s="1153">
        <f>SUM(K10:K16)</f>
        <v>176</v>
      </c>
      <c r="L17" s="1153">
        <f>SUM(L10:L16)</f>
        <v>197</v>
      </c>
      <c r="M17" s="1153">
        <f>SUM(M10:M16)</f>
        <v>0</v>
      </c>
    </row>
    <row r="18" spans="1:19" s="9" customFormat="1" ht="11.25" customHeight="1">
      <c r="M18" s="31"/>
      <c r="N18" s="31"/>
      <c r="O18" s="31"/>
      <c r="P18" s="31"/>
      <c r="Q18" s="31"/>
      <c r="R18" s="31"/>
      <c r="S18" s="31"/>
    </row>
    <row r="19" spans="1:19" s="9" customFormat="1">
      <c r="A19" s="16" t="s">
        <v>790</v>
      </c>
      <c r="B19" s="16" t="s">
        <v>2376</v>
      </c>
      <c r="F19" s="9" t="s">
        <v>2692</v>
      </c>
      <c r="I19" s="2167"/>
      <c r="J19" s="2163"/>
      <c r="K19" s="2163"/>
      <c r="L19" s="2163"/>
      <c r="M19" s="2164"/>
    </row>
    <row r="20" spans="1:19" s="9" customFormat="1" ht="13.15" customHeight="1">
      <c r="A20" s="16"/>
      <c r="B20" s="16"/>
      <c r="F20" s="9" t="s">
        <v>677</v>
      </c>
      <c r="H20" s="31"/>
      <c r="I20" s="2165"/>
      <c r="J20" s="2166"/>
      <c r="K20" s="73" t="s">
        <v>573</v>
      </c>
      <c r="L20" s="2167"/>
      <c r="M20" s="2164"/>
    </row>
    <row r="21" spans="1:19" s="9" customFormat="1" ht="6" customHeight="1">
      <c r="A21" s="16"/>
    </row>
    <row r="22" spans="1:19" s="16" customFormat="1">
      <c r="B22" s="293"/>
      <c r="C22" s="293"/>
      <c r="D22" s="293"/>
      <c r="E22" s="293"/>
      <c r="F22" s="1381" t="s">
        <v>650</v>
      </c>
      <c r="G22" s="1381"/>
      <c r="I22" s="1380" t="s">
        <v>208</v>
      </c>
      <c r="J22" s="1380"/>
      <c r="K22" s="1380"/>
      <c r="L22" s="1380"/>
      <c r="M22" s="1380"/>
    </row>
    <row r="23" spans="1:19" s="16" customFormat="1">
      <c r="B23" s="293" t="s">
        <v>852</v>
      </c>
      <c r="D23" s="293" t="s">
        <v>1708</v>
      </c>
      <c r="F23" s="1153" t="s">
        <v>683</v>
      </c>
      <c r="G23" s="1153" t="s">
        <v>1980</v>
      </c>
      <c r="I23" s="294" t="s">
        <v>601</v>
      </c>
      <c r="J23" s="295">
        <v>1</v>
      </c>
      <c r="K23" s="295">
        <v>2</v>
      </c>
      <c r="L23" s="295">
        <v>3</v>
      </c>
      <c r="M23" s="295">
        <v>4</v>
      </c>
    </row>
    <row r="24" spans="1:19" s="9" customFormat="1">
      <c r="B24" s="296" t="s">
        <v>1982</v>
      </c>
      <c r="C24" s="297"/>
      <c r="D24" s="2168" t="s">
        <v>1947</v>
      </c>
      <c r="E24" s="2169"/>
      <c r="F24" s="2170"/>
      <c r="G24" s="2170"/>
      <c r="H24" s="298"/>
      <c r="I24" s="2171"/>
      <c r="J24" s="2171"/>
      <c r="K24" s="2171"/>
      <c r="L24" s="2171"/>
      <c r="M24" s="2171"/>
    </row>
    <row r="25" spans="1:19" s="9" customFormat="1">
      <c r="B25" s="299" t="s">
        <v>493</v>
      </c>
      <c r="C25" s="300"/>
      <c r="D25" s="299" t="s">
        <v>1704</v>
      </c>
      <c r="E25" s="300"/>
      <c r="F25" s="2172"/>
      <c r="G25" s="2172"/>
      <c r="H25" s="301"/>
      <c r="I25" s="2173"/>
      <c r="J25" s="2173"/>
      <c r="K25" s="2173"/>
      <c r="L25" s="2174"/>
      <c r="M25" s="2174"/>
    </row>
    <row r="26" spans="1:19" s="9" customFormat="1">
      <c r="B26" s="299" t="s">
        <v>1705</v>
      </c>
      <c r="C26" s="300"/>
      <c r="D26" s="2175" t="s">
        <v>1947</v>
      </c>
      <c r="E26" s="2176"/>
      <c r="F26" s="2172"/>
      <c r="G26" s="2172"/>
      <c r="H26" s="301"/>
      <c r="I26" s="2173"/>
      <c r="J26" s="2173"/>
      <c r="K26" s="2173"/>
      <c r="L26" s="2174"/>
      <c r="M26" s="2174"/>
    </row>
    <row r="27" spans="1:19" s="9" customFormat="1">
      <c r="B27" s="299" t="s">
        <v>1706</v>
      </c>
      <c r="C27" s="300"/>
      <c r="D27" s="2175" t="s">
        <v>1947</v>
      </c>
      <c r="E27" s="2176"/>
      <c r="F27" s="2172"/>
      <c r="G27" s="2172"/>
      <c r="H27" s="301"/>
      <c r="I27" s="2173"/>
      <c r="J27" s="2173"/>
      <c r="K27" s="2173"/>
      <c r="L27" s="2174"/>
      <c r="M27" s="2174"/>
    </row>
    <row r="28" spans="1:19" s="9" customFormat="1">
      <c r="B28" s="299" t="s">
        <v>1707</v>
      </c>
      <c r="C28" s="300"/>
      <c r="D28" s="299" t="s">
        <v>1704</v>
      </c>
      <c r="E28" s="302"/>
      <c r="F28" s="2172"/>
      <c r="G28" s="2172"/>
      <c r="H28" s="301"/>
      <c r="I28" s="2173"/>
      <c r="J28" s="2173"/>
      <c r="K28" s="2173"/>
      <c r="L28" s="2174"/>
      <c r="M28" s="2174"/>
    </row>
    <row r="29" spans="1:19" s="9" customFormat="1">
      <c r="B29" s="299" t="s">
        <v>1457</v>
      </c>
      <c r="C29" s="300"/>
      <c r="D29" s="299" t="s">
        <v>2374</v>
      </c>
      <c r="E29" s="2177" t="s">
        <v>209</v>
      </c>
      <c r="F29" s="2172"/>
      <c r="G29" s="2172"/>
      <c r="H29" s="301"/>
      <c r="I29" s="2173"/>
      <c r="J29" s="2173"/>
      <c r="K29" s="2173"/>
      <c r="L29" s="2174"/>
      <c r="M29" s="2174"/>
    </row>
    <row r="30" spans="1:19" s="9" customFormat="1">
      <c r="B30" s="303" t="s">
        <v>1981</v>
      </c>
      <c r="C30" s="304"/>
      <c r="D30" s="303"/>
      <c r="E30" s="270"/>
      <c r="F30" s="2178"/>
      <c r="G30" s="2178"/>
      <c r="H30" s="305"/>
      <c r="I30" s="2179"/>
      <c r="J30" s="2179"/>
      <c r="K30" s="2179"/>
      <c r="L30" s="2180"/>
      <c r="M30" s="2180"/>
    </row>
    <row r="31" spans="1:19" s="9" customFormat="1">
      <c r="B31" s="293" t="s">
        <v>1082</v>
      </c>
      <c r="D31" s="31"/>
      <c r="E31" s="31"/>
      <c r="F31" s="94"/>
      <c r="G31" s="94"/>
      <c r="I31" s="1153">
        <f>SUM(I24:I30)</f>
        <v>0</v>
      </c>
      <c r="J31" s="1153">
        <f>SUM(J24:J30)</f>
        <v>0</v>
      </c>
      <c r="K31" s="1153">
        <f>SUM(K24:K30)</f>
        <v>0</v>
      </c>
      <c r="L31" s="1153">
        <f>SUM(L24:L30)</f>
        <v>0</v>
      </c>
      <c r="M31" s="1153">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181" t="s">
        <v>3807</v>
      </c>
      <c r="C36" s="2182"/>
      <c r="D36" s="2182"/>
      <c r="E36" s="2182"/>
      <c r="F36" s="2182"/>
      <c r="G36" s="2182"/>
      <c r="H36" s="2182"/>
      <c r="I36" s="2182"/>
      <c r="J36" s="2182"/>
      <c r="K36" s="2182"/>
      <c r="L36" s="2182"/>
      <c r="M36" s="2183"/>
      <c r="N36" s="31"/>
      <c r="O36" s="1181" t="s">
        <v>2925</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1975</v>
      </c>
      <c r="M38" s="31"/>
      <c r="N38" s="31"/>
      <c r="O38" s="1181"/>
      <c r="P38" s="1181"/>
      <c r="Q38" s="1181"/>
      <c r="R38" s="1181"/>
      <c r="S38" s="1181"/>
    </row>
    <row r="39" spans="1:19" s="9" customFormat="1" ht="24.75" customHeight="1">
      <c r="B39" s="2184"/>
      <c r="C39" s="2185"/>
      <c r="D39" s="2185"/>
      <c r="E39" s="2185"/>
      <c r="F39" s="2185"/>
      <c r="G39" s="2185"/>
      <c r="H39" s="2185"/>
      <c r="I39" s="2185"/>
      <c r="J39" s="2185"/>
      <c r="K39" s="2185"/>
      <c r="L39" s="2185"/>
      <c r="M39" s="2186"/>
      <c r="N39" s="31"/>
      <c r="O39" s="1181"/>
      <c r="P39" s="1181"/>
      <c r="Q39" s="1181"/>
      <c r="R39" s="1181"/>
      <c r="S39" s="1181"/>
    </row>
  </sheetData>
  <sheetProtection password="B3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2014-06-05T18:19:02Z</cp:lastPrinted>
  <dcterms:created xsi:type="dcterms:W3CDTF">2005-09-15T20:51:37Z</dcterms:created>
  <dcterms:modified xsi:type="dcterms:W3CDTF">2014-07-25T15:53:42Z</dcterms:modified>
</cp:coreProperties>
</file>