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95" yWindow="45" windowWidth="18345" windowHeight="1243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s>
  <calcPr calcId="125725" iterate="1" iterateCount="999"/>
</workbook>
</file>

<file path=xl/calcChain.xml><?xml version="1.0" encoding="utf-8"?>
<calcChain xmlns="http://schemas.openxmlformats.org/spreadsheetml/2006/main">
  <c r="B28" i="8"/>
  <c r="L156" i="11" l="1"/>
  <c r="O63"/>
  <c r="M214"/>
  <c r="P211" s="1"/>
  <c r="K214"/>
  <c r="O211" s="1"/>
  <c r="P38"/>
  <c r="O38"/>
  <c r="M37" i="3" l="1"/>
  <c r="M35"/>
  <c r="M34"/>
  <c r="M33"/>
  <c r="M32"/>
  <c r="A113" i="11"/>
  <c r="A105"/>
  <c r="A103"/>
  <c r="A102"/>
  <c r="A95"/>
  <c r="A89"/>
  <c r="U61" i="15"/>
  <c r="A61"/>
  <c r="V39"/>
  <c r="O39"/>
  <c r="E36"/>
  <c r="E35"/>
  <c r="S37"/>
  <c r="P37"/>
  <c r="M37"/>
  <c r="J37"/>
  <c r="G37"/>
  <c r="S32"/>
  <c r="P32"/>
  <c r="M32"/>
  <c r="J32"/>
  <c r="G32"/>
  <c r="B25" i="8" l="1"/>
  <c r="B26"/>
  <c r="B23"/>
  <c r="B24"/>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58" i="36"/>
  <c r="I60" s="1"/>
  <c r="I62" s="1"/>
  <c r="F49" i="6" s="1"/>
  <c r="I207" i="11"/>
  <c r="O188" s="1"/>
  <c r="L207"/>
  <c r="P188" s="1"/>
  <c r="L66" i="36"/>
  <c r="K66"/>
  <c r="H58"/>
  <c r="H60" s="1"/>
  <c r="H62" s="1"/>
  <c r="F48" i="6" s="1"/>
  <c r="I66" i="36"/>
  <c r="J58"/>
  <c r="J60" s="1"/>
  <c r="J62" s="1"/>
  <c r="F50" i="6" s="1"/>
  <c r="L58" i="36"/>
  <c r="L60" s="1"/>
  <c r="L62" s="1"/>
  <c r="F52" i="6" s="1"/>
  <c r="M65" i="36"/>
  <c r="J66"/>
  <c r="M59"/>
  <c r="K60"/>
  <c r="K62" s="1"/>
  <c r="F51"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E40" i="8" l="1"/>
  <c r="Q12" i="36"/>
  <c r="Q11"/>
  <c r="Q10"/>
  <c r="Q13"/>
  <c r="Q61"/>
  <c r="Q64"/>
  <c r="Q97"/>
  <c r="Q89"/>
  <c r="Q56"/>
  <c r="Q59"/>
  <c r="Q9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N157" s="1"/>
  <c r="R12" i="24"/>
  <c r="R11"/>
  <c r="E28" i="8"/>
  <c r="M96" i="36"/>
  <c r="H98"/>
  <c r="F40" i="8" l="1"/>
  <c r="F77"/>
  <c r="J48"/>
  <c r="E48"/>
  <c r="I48"/>
  <c r="H19"/>
  <c r="F45" i="7"/>
  <c r="E42" i="15"/>
  <c r="Q58" i="36"/>
  <c r="I164" i="11"/>
  <c r="J157" i="36"/>
  <c r="J159"/>
  <c r="J158"/>
  <c r="N148"/>
  <c r="F46" i="7"/>
  <c r="K164" i="11"/>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G28" i="8"/>
  <c r="Q100" i="36"/>
  <c r="G43" i="15"/>
  <c r="G131"/>
  <c r="H40" i="8" l="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P6" i="11" l="1"/>
  <c r="I40" i="8"/>
  <c r="P289" i="11"/>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J40" l="1"/>
  <c r="M170" i="15"/>
  <c r="J172"/>
  <c r="J28" i="8"/>
  <c r="K40" l="1"/>
  <c r="J40" i="3"/>
  <c r="L40" s="1"/>
  <c r="J41"/>
  <c r="L41" s="1"/>
  <c r="E98" i="15"/>
  <c r="J6" i="7"/>
  <c r="K28" i="8"/>
  <c r="B69" l="1"/>
  <c r="B57"/>
  <c r="C69" l="1"/>
  <c r="C57"/>
  <c r="D69" l="1"/>
  <c r="D57"/>
  <c r="E69" l="1"/>
  <c r="E57"/>
  <c r="F69" l="1"/>
  <c r="F57"/>
  <c r="G69" l="1"/>
  <c r="G57"/>
  <c r="H69" l="1"/>
  <c r="H57"/>
  <c r="I69" l="1"/>
  <c r="I57"/>
  <c r="J69" l="1"/>
  <c r="J57"/>
  <c r="K69" l="1"/>
  <c r="K57"/>
  <c r="B98" l="1"/>
  <c r="B86"/>
  <c r="C98" l="1"/>
  <c r="C86"/>
  <c r="D98" l="1"/>
  <c r="D86"/>
  <c r="E98" l="1"/>
  <c r="E86"/>
  <c r="F98" l="1"/>
  <c r="F86"/>
  <c r="G98" l="1"/>
  <c r="G86"/>
  <c r="H98" l="1"/>
  <c r="H86"/>
  <c r="I98" l="1"/>
  <c r="I86"/>
  <c r="J98" l="1"/>
  <c r="J86"/>
  <c r="K98" l="1"/>
  <c r="K86"/>
  <c r="B30" l="1"/>
  <c r="C23"/>
  <c r="D23"/>
  <c r="D32" s="1"/>
  <c r="E23"/>
  <c r="F23"/>
  <c r="G23"/>
  <c r="H23"/>
  <c r="H30" s="1"/>
  <c r="I23"/>
  <c r="J23"/>
  <c r="K23"/>
  <c r="D30"/>
  <c r="E30"/>
  <c r="E32"/>
  <c r="B33"/>
  <c r="B52"/>
  <c r="C52"/>
  <c r="D52"/>
  <c r="E52"/>
  <c r="F52"/>
  <c r="G52"/>
  <c r="H52"/>
  <c r="I52"/>
  <c r="J52"/>
  <c r="K52"/>
  <c r="D59"/>
  <c r="E59"/>
  <c r="B60"/>
  <c r="C60"/>
  <c r="H61"/>
  <c r="I61"/>
  <c r="B81"/>
  <c r="C81"/>
  <c r="D81"/>
  <c r="E81"/>
  <c r="F81"/>
  <c r="G81"/>
  <c r="H81"/>
  <c r="I81"/>
  <c r="J81"/>
  <c r="K81"/>
  <c r="D88"/>
  <c r="E88"/>
  <c r="E34" l="1"/>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<sst xmlns="http://schemas.openxmlformats.org/spreadsheetml/2006/main" count="8073" uniqueCount="4162">
  <si>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</si>
  <si>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</si>
  <si>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</si>
  <si>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</si>
  <si>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</si>
  <si>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</si>
  <si>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</si>
  <si>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</si>
  <si>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</si>
  <si>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</si>
  <si>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</si>
  <si>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</si>
  <si>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</si>
  <si>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</si>
  <si>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</si>
  <si>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</si>
  <si>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</si>
  <si>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</si>
  <si>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</si>
  <si>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</si>
  <si>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</si>
  <si>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</si>
  <si>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</si>
  <si>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</si>
  <si>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</si>
  <si>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</si>
  <si>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</si>
  <si>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</si>
  <si>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</si>
  <si>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</si>
  <si>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</si>
  <si>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</si>
  <si>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</si>
  <si>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</si>
  <si>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</si>
  <si>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</si>
  <si>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</si>
  <si>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</si>
  <si>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</si>
  <si>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</si>
  <si>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</si>
  <si>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</si>
  <si>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</si>
  <si>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</si>
  <si>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</si>
  <si>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</si>
  <si>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</si>
  <si>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</si>
  <si>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</si>
  <si>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</si>
  <si>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</si>
  <si>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</si>
  <si>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</si>
  <si>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</si>
  <si>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</si>
  <si>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</si>
  <si>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</si>
  <si>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</si>
  <si>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</si>
  <si>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</si>
  <si>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</si>
  <si>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</si>
  <si>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</si>
  <si>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</si>
  <si>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</si>
  <si>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</si>
  <si>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</si>
  <si>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</si>
  <si>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</si>
  <si>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</si>
  <si>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</si>
  <si>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</si>
  <si>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</si>
  <si>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</si>
  <si>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</si>
  <si>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</si>
  <si>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</si>
  <si>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</si>
  <si>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</si>
  <si>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</si>
  <si>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</si>
  <si>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</si>
  <si>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</si>
  <si>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</si>
  <si>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</si>
  <si>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</si>
  <si>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</si>
  <si>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</si>
  <si>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</si>
  <si>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</si>
  <si>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</si>
  <si>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</si>
  <si>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</si>
  <si>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</si>
  <si>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</si>
  <si>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</si>
  <si>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</si>
  <si>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</si>
  <si>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</si>
  <si>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</si>
  <si>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</si>
  <si>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</si>
  <si>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</si>
  <si>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</si>
  <si>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</si>
  <si>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</si>
  <si>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</si>
  <si>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</si>
  <si>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</si>
  <si>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</si>
  <si>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</si>
  <si>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</si>
  <si>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</si>
  <si>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</si>
  <si>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</si>
  <si>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</si>
  <si>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</si>
  <si>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</si>
  <si>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</si>
  <si>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</si>
  <si>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</si>
  <si>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</si>
  <si>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</si>
  <si>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</si>
  <si>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</si>
  <si>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</si>
  <si>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</si>
  <si>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</si>
  <si>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</si>
  <si>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</si>
  <si>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</si>
  <si>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</si>
  <si>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</si>
  <si>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</si>
  <si>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</si>
  <si>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</si>
  <si>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</si>
  <si>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</si>
  <si>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</si>
  <si>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</si>
  <si>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</si>
  <si>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</si>
  <si>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</si>
  <si>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</si>
  <si>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</si>
  <si>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</si>
  <si>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</si>
  <si>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</si>
  <si>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</si>
  <si>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</si>
  <si>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</si>
  <si>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</si>
  <si>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</si>
  <si>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</si>
  <si>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</si>
  <si>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</si>
  <si>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</si>
  <si>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</si>
  <si>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</si>
  <si>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</si>
  <si>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</si>
  <si>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</si>
  <si>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</si>
  <si>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</si>
  <si>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</si>
  <si>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</si>
  <si>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</si>
  <si>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</si>
  <si>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</si>
  <si>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</si>
  <si>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</si>
  <si>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</si>
  <si>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</si>
  <si>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</si>
  <si>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</si>
  <si>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</si>
  <si>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</si>
  <si>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</si>
  <si>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</si>
  <si>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</si>
  <si>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</si>
  <si>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</si>
  <si>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</si>
  <si>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</si>
  <si>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</si>
  <si>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</si>
  <si>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</si>
  <si>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</si>
  <si>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</si>
  <si>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</si>
  <si>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</si>
  <si>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</si>
  <si>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</si>
  <si>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</si>
  <si>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</si>
  <si>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</si>
  <si>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</si>
  <si>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</si>
  <si>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</si>
  <si>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</si>
  <si>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</si>
  <si>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</si>
  <si>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</si>
  <si>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</si>
  <si>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</si>
  <si>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</si>
  <si>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</si>
  <si>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</si>
  <si>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</si>
  <si>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</si>
  <si>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</si>
  <si>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</si>
  <si>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</si>
  <si>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</si>
  <si>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</si>
  <si>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</si>
  <si>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</si>
  <si>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</si>
  <si>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</si>
  <si>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</si>
  <si>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</si>
  <si>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</si>
  <si>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</si>
  <si>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</si>
  <si>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</si>
  <si>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</si>
  <si>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</si>
  <si>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</si>
  <si>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</si>
  <si>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</si>
  <si>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</si>
  <si>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</si>
  <si>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</si>
  <si>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</si>
  <si>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</si>
  <si>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</si>
  <si>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</si>
  <si>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</si>
  <si>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</si>
  <si>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</si>
  <si>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</si>
  <si>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</si>
  <si>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</si>
  <si>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</si>
  <si>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</si>
  <si>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</si>
  <si>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</si>
  <si>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</si>
  <si>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</si>
  <si>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</si>
  <si>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</si>
  <si>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</si>
  <si>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</si>
  <si>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</si>
  <si>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</si>
  <si>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</si>
  <si>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</si>
  <si>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</si>
  <si>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</si>
  <si>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</si>
  <si>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</si>
  <si>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</si>
  <si>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</si>
  <si>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</si>
  <si>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</si>
  <si>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</si>
  <si>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</si>
  <si>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</si>
  <si>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</si>
  <si>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</si>
  <si>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</si>
  <si>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</si>
  <si>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</si>
  <si>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</si>
  <si>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</si>
  <si>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</si>
  <si>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</si>
  <si>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</si>
  <si>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</si>
  <si>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</si>
  <si>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</si>
  <si>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</si>
  <si>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</si>
  <si>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</si>
  <si>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</si>
  <si>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</si>
  <si>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</si>
  <si>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</si>
  <si>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</si>
  <si>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</si>
  <si>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</si>
  <si>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</si>
  <si>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</si>
  <si>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</si>
  <si>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</si>
  <si>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</si>
  <si>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</si>
  <si>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</si>
  <si>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</si>
  <si>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</si>
  <si>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</si>
  <si>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</si>
  <si>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</si>
  <si>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</si>
  <si>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</si>
  <si>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</si>
  <si>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</si>
  <si>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</si>
  <si>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</si>
  <si>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</si>
  <si>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</si>
  <si>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</si>
  <si>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</si>
  <si>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</si>
  <si>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</si>
  <si>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</si>
  <si>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</si>
  <si>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</si>
  <si>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</si>
  <si>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</si>
  <si>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</si>
  <si>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</si>
  <si>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</si>
  <si>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</si>
  <si>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</si>
  <si>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</si>
  <si>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</si>
  <si>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</si>
  <si>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</si>
  <si>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</si>
  <si>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</si>
  <si>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</si>
  <si>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</si>
  <si>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</si>
  <si>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</si>
  <si>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</si>
  <si>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</si>
  <si>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</si>
  <si>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</si>
  <si>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</si>
  <si>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</si>
  <si>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</si>
  <si>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</si>
  <si>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</si>
  <si>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</si>
  <si>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</si>
  <si>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</si>
  <si>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</si>
  <si>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</si>
  <si>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</si>
  <si>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</si>
  <si>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</si>
  <si>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</si>
  <si>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</si>
  <si>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</si>
  <si>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</si>
  <si>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</si>
  <si>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</si>
  <si>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</si>
  <si>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</si>
  <si>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</si>
  <si>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</si>
  <si>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</si>
  <si>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</si>
  <si>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</si>
  <si>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</si>
  <si>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</si>
  <si>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</si>
  <si>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</si>
  <si>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</si>
  <si>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</si>
  <si>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</si>
  <si>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</si>
  <si>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</si>
  <si>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</si>
  <si>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</si>
  <si>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</si>
  <si>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</si>
  <si>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</si>
  <si>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</si>
  <si>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</si>
  <si>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</si>
  <si>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</si>
  <si>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</si>
  <si>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</si>
  <si>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</si>
  <si>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</si>
  <si>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</si>
  <si>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</si>
  <si>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</si>
  <si>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</si>
  <si>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</si>
  <si>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</si>
  <si>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</si>
  <si>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</si>
  <si>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</si>
  <si>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</si>
  <si>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</si>
  <si>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</si>
  <si>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</si>
  <si>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</si>
  <si>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</si>
  <si>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</si>
  <si>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</si>
  <si>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</si>
  <si>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</si>
  <si>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</si>
  <si>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</si>
  <si>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</si>
  <si>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</si>
  <si>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</si>
  <si>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</si>
  <si>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</si>
  <si>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</si>
  <si>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</si>
  <si>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</si>
  <si>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</si>
  <si>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</si>
  <si>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</si>
  <si>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</si>
  <si>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</si>
  <si>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</si>
  <si>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</si>
  <si>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</si>
  <si>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</si>
  <si>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</si>
  <si>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</si>
  <si>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</si>
  <si>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</si>
  <si>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</si>
  <si>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</si>
  <si>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</si>
  <si>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</si>
  <si>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</si>
  <si>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</si>
  <si>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</si>
  <si>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</si>
  <si>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</si>
  <si>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</si>
  <si>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</si>
  <si>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</si>
  <si>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</si>
  <si>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</si>
  <si>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</si>
  <si>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</si>
  <si>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</si>
  <si>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</si>
  <si>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</si>
  <si>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</si>
  <si>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</si>
  <si>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</si>
  <si>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</si>
  <si>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</si>
  <si>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</si>
  <si>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</si>
  <si>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</si>
  <si>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</si>
  <si>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</si>
  <si>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</si>
  <si>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</si>
  <si>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</si>
  <si>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</si>
  <si>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</si>
  <si>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</si>
  <si>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</si>
  <si>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</si>
  <si>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</si>
  <si>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</si>
  <si>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</si>
  <si>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</si>
  <si>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</si>
  <si>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</si>
  <si>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</si>
  <si>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</si>
  <si>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</si>
  <si>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</si>
  <si>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</si>
  <si>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</si>
  <si>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</si>
  <si>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</si>
  <si>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</si>
  <si>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</si>
  <si>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</si>
  <si>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</si>
  <si>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</si>
  <si>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</si>
  <si>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</si>
  <si>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</si>
  <si>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</si>
  <si>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</si>
  <si>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</si>
  <si>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</si>
  <si>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</si>
  <si>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</si>
  <si>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</si>
  <si>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</si>
  <si>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</si>
  <si>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</si>
  <si>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</si>
  <si>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</si>
  <si>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</si>
  <si>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</si>
  <si>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</si>
  <si>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</si>
  <si>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</si>
  <si>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</si>
  <si>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</si>
  <si>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</si>
  <si>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</si>
  <si>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</si>
  <si>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</si>
  <si>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</si>
  <si>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</si>
  <si>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</si>
  <si>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</si>
  <si>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</si>
  <si>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</si>
  <si>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</si>
  <si>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</si>
  <si>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</si>
  <si>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</si>
  <si>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</si>
  <si>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</si>
  <si>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</si>
  <si>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</si>
  <si>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</si>
  <si>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</si>
  <si>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</si>
  <si>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</si>
  <si>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</si>
  <si>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</si>
  <si>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</si>
  <si>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</si>
  <si>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</si>
  <si>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</si>
  <si>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</si>
  <si>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</si>
  <si>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</si>
  <si>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</si>
  <si>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</si>
  <si>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</si>
  <si>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</si>
  <si>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</si>
  <si>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</si>
  <si>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</si>
  <si>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</si>
  <si>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</si>
  <si>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</si>
  <si>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</si>
  <si>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</si>
  <si>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</si>
  <si>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</si>
  <si>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</si>
  <si>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</si>
  <si>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</si>
  <si>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</si>
  <si>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</si>
  <si>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</si>
  <si>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</si>
  <si>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</si>
  <si>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</si>
  <si>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</si>
  <si>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</si>
  <si>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</si>
  <si>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</si>
  <si>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</si>
  <si>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</si>
  <si>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</si>
  <si>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</si>
  <si>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</si>
  <si>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</si>
  <si>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</si>
  <si>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</si>
  <si>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</si>
  <si>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</si>
  <si>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</si>
  <si>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</si>
  <si>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</si>
  <si>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</si>
  <si>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</si>
  <si>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</si>
  <si>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</si>
  <si>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</si>
  <si>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</si>
  <si>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</si>
  <si>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</si>
  <si>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</si>
  <si>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</si>
  <si>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</si>
  <si>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</si>
  <si>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</si>
  <si>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</si>
  <si>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</si>
  <si>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</si>
  <si>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</si>
  <si>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</si>
  <si>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</si>
  <si>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</si>
  <si>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</si>
  <si>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</si>
  <si>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</si>
  <si>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</si>
  <si>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</si>
  <si>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</si>
  <si>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</si>
  <si>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</si>
  <si>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</si>
  <si>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</si>
  <si>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</si>
  <si>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</si>
  <si>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</si>
  <si>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</si>
  <si>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</si>
  <si>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</si>
  <si>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</si>
  <si>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</si>
  <si>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</si>
  <si>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</si>
  <si>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</si>
  <si>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</si>
  <si>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</si>
  <si>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</si>
  <si>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</si>
  <si>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</si>
  <si>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</si>
  <si>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</si>
  <si>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</si>
  <si>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</si>
  <si>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</si>
  <si>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</si>
  <si>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</si>
  <si>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</si>
  <si>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</si>
  <si>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</si>
  <si>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</si>
  <si>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</si>
  <si>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</si>
  <si>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</si>
  <si>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</si>
  <si>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</si>
  <si>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</si>
  <si>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</si>
  <si>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</si>
  <si>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</si>
  <si>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</si>
  <si>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</si>
  <si>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</si>
  <si>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</si>
  <si>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</si>
  <si>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</si>
  <si>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</si>
  <si>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</si>
  <si>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</si>
  <si>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</si>
  <si>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</si>
  <si>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</si>
  <si>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</si>
  <si>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</si>
  <si>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</si>
  <si>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</si>
  <si>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</si>
  <si>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</si>
  <si>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</si>
  <si>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</si>
  <si>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</si>
  <si>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</si>
  <si>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</si>
  <si>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</si>
  <si>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</si>
  <si>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</si>
  <si>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</si>
  <si>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</si>
  <si>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</si>
  <si>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</si>
  <si>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</si>
  <si>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</si>
  <si>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</si>
  <si>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</si>
  <si>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</si>
  <si>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</si>
  <si>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</si>
  <si>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</si>
  <si>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</si>
  <si>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</si>
  <si>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</si>
  <si>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</si>
  <si>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</si>
  <si>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</si>
  <si>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</si>
  <si>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</si>
  <si>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</si>
  <si>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</si>
  <si>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</si>
  <si>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</si>
  <si>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</si>
  <si>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</si>
  <si>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</si>
  <si>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</si>
  <si>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</si>
  <si>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</si>
  <si>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</si>
  <si>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</si>
  <si>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</si>
  <si>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</si>
  <si>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</si>
  <si>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</si>
  <si>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</si>
  <si>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</si>
  <si>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</si>
  <si>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</si>
  <si>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</si>
  <si>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</si>
  <si>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</si>
  <si>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</si>
  <si>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</si>
  <si>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</si>
  <si>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</si>
  <si>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</si>
  <si>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</si>
  <si>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</si>
  <si>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</si>
  <si>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</si>
  <si>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</si>
  <si>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</si>
  <si>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</si>
  <si>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</si>
  <si>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</si>
  <si>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</si>
  <si>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</si>
  <si>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</si>
  <si>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</si>
  <si>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</si>
  <si>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</si>
  <si>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</si>
  <si>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</si>
  <si>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</si>
  <si>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</si>
  <si>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</si>
  <si>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</si>
  <si>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</si>
  <si>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</si>
  <si>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</si>
  <si>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</si>
  <si>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</si>
  <si>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</si>
  <si>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</si>
  <si>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</si>
  <si>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</si>
  <si>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</si>
  <si>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</si>
  <si>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</si>
  <si>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</si>
  <si>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</si>
  <si>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</si>
  <si>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</si>
  <si>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</si>
  <si>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</si>
  <si>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</si>
  <si>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</si>
  <si>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</si>
  <si>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</si>
  <si>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</si>
  <si>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</si>
  <si>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</si>
  <si>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</si>
  <si>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</si>
  <si>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</si>
  <si>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</si>
  <si>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</si>
  <si>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</si>
  <si>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</si>
  <si>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</si>
  <si>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</si>
  <si>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</si>
  <si>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</si>
  <si>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</si>
  <si>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</si>
  <si>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</si>
  <si>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</si>
  <si>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</si>
  <si>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</si>
  <si>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</si>
  <si>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</si>
  <si>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</si>
  <si>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</si>
  <si>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</si>
  <si>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</si>
  <si>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</si>
  <si>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</si>
  <si>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</si>
  <si>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</si>
  <si>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</si>
  <si>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</si>
  <si>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</si>
  <si>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</si>
  <si>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</si>
  <si>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</si>
  <si>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</si>
  <si>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</si>
  <si>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</si>
  <si>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</si>
  <si>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</si>
  <si>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</si>
  <si>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</si>
  <si>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</si>
  <si>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</si>
  <si>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</si>
  <si>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</si>
  <si>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</si>
  <si>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</si>
  <si>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</si>
  <si>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</si>
  <si>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</si>
  <si>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</si>
  <si>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</si>
  <si>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</si>
  <si>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</si>
  <si>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</si>
  <si>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</si>
  <si>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</si>
  <si>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</si>
  <si>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</si>
  <si>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</si>
  <si>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</si>
  <si>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</si>
  <si>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</si>
  <si>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</si>
  <si>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</si>
  <si>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</si>
  <si>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</si>
  <si>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</si>
  <si>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</si>
  <si>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</si>
  <si>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</si>
  <si>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</si>
  <si>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</si>
  <si>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</si>
  <si>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</si>
  <si>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</si>
  <si>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</si>
  <si>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</si>
  <si>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</si>
  <si>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</si>
  <si>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</si>
  <si>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</si>
  <si>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</si>
  <si>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</si>
  <si>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</si>
  <si>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</si>
  <si>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</si>
  <si>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</si>
  <si>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</si>
  <si>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</si>
  <si>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</si>
  <si>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</si>
  <si>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</si>
  <si>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</si>
  <si>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</si>
  <si>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</si>
  <si>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</si>
  <si>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</si>
  <si>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</si>
  <si>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</si>
  <si>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</si>
  <si>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</si>
  <si>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</si>
  <si>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</si>
  <si>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</si>
  <si>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</si>
  <si>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</si>
  <si>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</si>
  <si>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</si>
  <si>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</si>
  <si>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</si>
  <si>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</si>
  <si>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</si>
  <si>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</si>
  <si>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</si>
  <si>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</si>
  <si>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</si>
  <si>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</si>
  <si>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</si>
  <si>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</si>
  <si>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</si>
  <si>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</si>
  <si>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</si>
  <si>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</si>
  <si>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</si>
  <si>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</si>
  <si>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</si>
  <si>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</si>
  <si>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</si>
  <si>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</si>
  <si>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</si>
  <si>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</si>
  <si>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</si>
  <si>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</si>
  <si>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</si>
  <si>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</si>
  <si>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</si>
  <si>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</si>
  <si>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</si>
  <si>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</si>
  <si>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</si>
  <si>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</si>
  <si>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</si>
  <si>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</si>
  <si>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</si>
  <si>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</si>
  <si>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</si>
  <si>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</si>
  <si>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</si>
  <si>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</si>
  <si>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</si>
  <si>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</si>
  <si>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</si>
  <si>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</si>
  <si>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</si>
  <si>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</si>
  <si>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</si>
  <si>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</si>
  <si>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</si>
  <si>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</si>
  <si>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</si>
  <si>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</si>
  <si>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</si>
  <si>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</si>
  <si>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</si>
  <si>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</si>
  <si>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</si>
  <si>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</si>
  <si>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</si>
  <si>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</si>
  <si>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</si>
  <si>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</si>
  <si>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</si>
  <si>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</si>
  <si>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</si>
  <si>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</si>
  <si>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</si>
  <si>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</si>
  <si>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</si>
  <si>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</si>
  <si>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</si>
  <si>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</si>
  <si>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</si>
  <si>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</si>
  <si>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</si>
  <si>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</si>
  <si>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</si>
  <si>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</si>
  <si>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</si>
  <si>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</si>
  <si>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</si>
  <si>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</si>
  <si>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</si>
  <si>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</si>
  <si>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</si>
  <si>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</si>
  <si>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</si>
  <si>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</si>
  <si>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</si>
  <si>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</si>
  <si>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</si>
  <si>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</si>
  <si>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</si>
  <si>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</si>
  <si>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</si>
  <si>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</si>
  <si>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</si>
  <si>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</si>
  <si>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</si>
  <si>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</si>
  <si>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</si>
  <si>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</si>
  <si>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</si>
  <si>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</si>
  <si>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</si>
  <si>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</si>
  <si>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</si>
  <si>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</si>
  <si>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</si>
  <si>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</si>
  <si>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</si>
  <si>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</si>
  <si>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</si>
  <si>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</si>
  <si>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</si>
  <si>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</si>
  <si>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</si>
  <si>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</si>
  <si>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</si>
  <si>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</si>
  <si>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</si>
  <si>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</si>
  <si>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</si>
  <si>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</si>
  <si>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</si>
  <si>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</si>
  <si>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</si>
  <si>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</si>
  <si>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</si>
  <si>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</si>
  <si>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</si>
  <si>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</si>
  <si>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</si>
  <si>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</si>
  <si>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</si>
  <si>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</si>
  <si>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</si>
  <si>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</si>
  <si>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</si>
  <si>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</si>
  <si>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</si>
  <si>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</si>
  <si>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</si>
  <si>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</si>
  <si>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</si>
  <si>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</si>
  <si>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</si>
  <si>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</si>
  <si>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</si>
  <si>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</si>
  <si>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</si>
  <si>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</si>
  <si>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</si>
  <si>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</si>
  <si>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</si>
  <si>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</si>
  <si>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</si>
  <si>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</si>
  <si>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</si>
  <si>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</si>
  <si>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</si>
  <si>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</si>
  <si>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</si>
  <si>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</si>
  <si>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</si>
  <si>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</si>
  <si>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</si>
  <si>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</si>
  <si>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</si>
  <si>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</si>
  <si>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</si>
  <si>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</si>
  <si>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</si>
  <si>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</si>
  <si>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</si>
  <si>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</si>
  <si>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</si>
  <si>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</si>
  <si>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</si>
  <si>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</si>
  <si>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</si>
  <si>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</si>
  <si>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</si>
  <si>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</si>
  <si>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</si>
  <si>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</si>
  <si>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</si>
  <si>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</si>
  <si>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</si>
  <si>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</si>
  <si>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</si>
  <si>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</si>
  <si>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</si>
  <si>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</si>
  <si>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</si>
  <si>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</si>
  <si>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</si>
  <si>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</si>
  <si>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</si>
  <si>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</si>
  <si>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</si>
  <si>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</si>
  <si>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</si>
  <si>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</si>
  <si>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</si>
  <si>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</si>
  <si>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</si>
  <si>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</si>
  <si>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</si>
  <si>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</si>
  <si>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</si>
  <si>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</si>
  <si>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</si>
  <si>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</si>
  <si>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</si>
  <si>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</si>
  <si>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</si>
  <si>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</si>
  <si>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</si>
  <si>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</si>
  <si>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</si>
  <si>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</si>
  <si>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</si>
  <si>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</si>
  <si>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</si>
  <si>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</si>
  <si>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</si>
  <si>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</si>
  <si>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</si>
  <si>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</si>
  <si>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</si>
  <si>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</si>
  <si>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</si>
  <si>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</si>
  <si>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</si>
  <si>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</si>
  <si>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</si>
  <si>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</si>
  <si>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</si>
  <si>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</si>
  <si>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</si>
  <si>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</si>
  <si>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</si>
  <si>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</si>
  <si>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</si>
  <si>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</si>
  <si>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</si>
  <si>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</si>
  <si>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</si>
  <si>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</si>
  <si>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</si>
  <si>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</si>
  <si>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</si>
  <si>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</si>
  <si>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</si>
  <si>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</si>
  <si>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</si>
  <si>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</si>
  <si>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</si>
  <si>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</si>
  <si>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</si>
  <si>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</si>
  <si>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</si>
  <si>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</si>
  <si>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</si>
  <si>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</si>
  <si>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</si>
  <si>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</si>
  <si>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</si>
  <si>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</si>
  <si>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</si>
  <si>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</si>
  <si>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</si>
  <si>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</si>
  <si>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</si>
  <si>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</si>
  <si>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</si>
  <si>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</si>
  <si>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</si>
  <si>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</si>
  <si>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</si>
  <si>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</si>
  <si>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</si>
  <si>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</si>
  <si>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</si>
  <si>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</si>
  <si>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</si>
  <si>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</si>
  <si>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</si>
  <si>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</si>
  <si>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</si>
  <si>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</si>
  <si>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</si>
  <si>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</si>
  <si>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</si>
  <si>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</si>
  <si>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</si>
  <si>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</si>
  <si>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</si>
  <si>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</si>
  <si>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</si>
  <si>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</si>
  <si>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</si>
  <si>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</si>
  <si>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</si>
  <si>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</si>
  <si>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</si>
  <si>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</si>
  <si>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</si>
  <si>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</si>
  <si>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</si>
  <si>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</si>
  <si>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</si>
  <si>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</si>
  <si>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</si>
  <si>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</si>
  <si>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</si>
  <si>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</si>
  <si>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</si>
  <si>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</si>
  <si>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</si>
  <si>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</si>
  <si>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</si>
  <si>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</si>
  <si>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</si>
  <si>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</si>
  <si>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</si>
  <si>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</si>
  <si>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</si>
  <si>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</si>
  <si>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</si>
  <si>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</si>
  <si>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</si>
  <si>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</si>
  <si>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</si>
  <si>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</si>
  <si>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</si>
  <si>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</si>
  <si>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</si>
  <si>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</si>
  <si>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</si>
  <si>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</si>
  <si>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</si>
  <si>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</si>
  <si>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</si>
  <si>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</si>
  <si>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</si>
  <si>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</si>
  <si>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</si>
  <si>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</si>
  <si>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</si>
  <si>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</si>
  <si>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</si>
  <si>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</si>
  <si>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</si>
  <si>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</si>
  <si>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</si>
  <si>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</si>
  <si>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</si>
  <si>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</si>
  <si>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</si>
  <si>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</si>
  <si>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</si>
  <si>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</si>
  <si>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</si>
  <si>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</si>
  <si>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</si>
  <si>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</si>
  <si>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</si>
  <si>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</si>
  <si>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</si>
  <si>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</si>
  <si>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</si>
  <si>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</si>
  <si>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</si>
  <si>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</si>
  <si>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</si>
  <si>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</si>
  <si>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</si>
  <si>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</si>
  <si>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</si>
  <si>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</si>
  <si>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</si>
  <si>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</si>
  <si>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</si>
  <si>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</si>
  <si>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</si>
  <si>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</si>
  <si>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</si>
  <si>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</si>
  <si>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</si>
  <si>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</si>
  <si>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</si>
  <si>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</si>
  <si>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</si>
  <si>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</si>
  <si>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</si>
  <si>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</si>
  <si>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</si>
  <si>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</si>
  <si>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</si>
  <si>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</si>
  <si>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</si>
  <si>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</si>
  <si>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</si>
  <si>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</si>
  <si>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</si>
  <si>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</si>
  <si>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</si>
  <si>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</si>
  <si>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</si>
  <si>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</si>
  <si>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</si>
  <si>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</si>
  <si>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</si>
  <si>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</si>
  <si>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</si>
  <si>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</si>
  <si>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</si>
  <si>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</si>
  <si>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</si>
  <si>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</si>
  <si>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</si>
  <si>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</si>
  <si>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</si>
  <si>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</si>
  <si>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</si>
  <si>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</si>
  <si>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</si>
  <si>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</si>
  <si>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</si>
  <si>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</si>
  <si>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</si>
  <si>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</si>
  <si>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</si>
  <si>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</si>
  <si>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</si>
  <si>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</si>
  <si>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</si>
  <si>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</si>
  <si>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</si>
  <si>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</si>
  <si>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</si>
  <si>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</si>
  <si>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</si>
  <si>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</si>
  <si>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</si>
  <si>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</si>
  <si>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</si>
  <si>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</si>
  <si>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</si>
  <si>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</si>
  <si>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</si>
  <si>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</si>
  <si>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</si>
  <si>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</si>
  <si>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</si>
  <si>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</si>
  <si>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</si>
  <si>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</si>
  <si>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</si>
  <si>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</si>
  <si>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</si>
  <si>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</si>
  <si>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</si>
  <si>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</si>
  <si>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</si>
  <si>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</si>
  <si>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</si>
  <si>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</si>
  <si>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</si>
  <si>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</si>
  <si>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</si>
  <si>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</si>
  <si>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</si>
  <si>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</si>
  <si>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</si>
  <si>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</si>
  <si>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</si>
  <si>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</si>
  <si>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</si>
  <si>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</si>
  <si>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</si>
  <si>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</si>
  <si>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</si>
  <si>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</si>
  <si>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</si>
  <si>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</si>
  <si>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</si>
  <si>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</si>
  <si>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</si>
  <si>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</si>
  <si>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</si>
  <si>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</si>
  <si>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</si>
  <si>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</si>
  <si>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</si>
  <si>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</si>
  <si>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</si>
  <si>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</si>
  <si>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</si>
  <si>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</si>
  <si>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</si>
  <si>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</si>
  <si>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</si>
  <si>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</si>
  <si>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</si>
  <si>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</si>
  <si>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</si>
  <si>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</si>
  <si>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</si>
  <si>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</si>
  <si>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</si>
  <si>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</si>
  <si>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</si>
  <si>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</si>
  <si>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</si>
  <si>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</si>
  <si>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</si>
  <si>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</si>
  <si>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</si>
  <si>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</si>
  <si>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</si>
  <si>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</si>
  <si>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</si>
  <si>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</si>
  <si>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</si>
  <si>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</si>
  <si>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</si>
  <si>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</si>
  <si>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</si>
  <si>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</si>
  <si>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</si>
  <si>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</si>
  <si>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</si>
  <si>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</si>
  <si>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</si>
  <si>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</si>
  <si>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</si>
  <si>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</si>
  <si>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</si>
  <si>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</si>
  <si>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</si>
  <si>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</si>
  <si>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</si>
  <si>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</si>
  <si>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</si>
  <si>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</si>
  <si>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</si>
  <si>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</si>
  <si>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</si>
  <si>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</si>
  <si>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</si>
  <si>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</si>
  <si>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</si>
  <si>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</si>
  <si>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</si>
  <si>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</si>
  <si>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</si>
  <si>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</si>
  <si>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</si>
  <si>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</si>
  <si>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</si>
  <si>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</si>
  <si>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</si>
  <si>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</si>
  <si>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</si>
  <si>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</si>
  <si>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</si>
  <si>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</si>
  <si>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</si>
  <si>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</si>
  <si>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</si>
  <si>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</si>
  <si>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</si>
  <si>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</si>
  <si>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</si>
  <si>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</si>
  <si>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</si>
  <si>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</si>
  <si>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</si>
  <si>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</si>
  <si>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</si>
  <si>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</si>
  <si>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</si>
  <si>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</si>
  <si>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</si>
  <si>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</si>
  <si>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</si>
  <si>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</si>
  <si>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</si>
  <si>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</si>
  <si>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</si>
  <si>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</si>
  <si>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</si>
  <si>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</si>
  <si>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</si>
  <si>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</si>
  <si>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</si>
  <si>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</si>
  <si>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</si>
  <si>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</si>
  <si>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</si>
  <si>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</si>
  <si>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</si>
  <si>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</si>
  <si>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</si>
  <si>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</si>
  <si>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</si>
  <si>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</si>
  <si>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</si>
  <si>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</si>
  <si>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</si>
  <si>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</si>
  <si>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</si>
  <si>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</si>
  <si>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</si>
  <si>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</si>
  <si>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</si>
  <si>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</si>
  <si>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</si>
  <si>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</si>
  <si>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</si>
  <si>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</si>
  <si>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</si>
  <si>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</si>
  <si>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</si>
  <si>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</si>
  <si>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</si>
  <si>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</si>
  <si>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</si>
  <si>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</si>
  <si>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</si>
  <si>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</si>
  <si>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</si>
  <si>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</si>
  <si>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</si>
  <si>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</si>
  <si>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</si>
  <si>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</si>
  <si>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</si>
  <si>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</si>
  <si>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</si>
  <si>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</si>
  <si>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</si>
  <si>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</si>
  <si>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</si>
  <si>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</si>
  <si>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</si>
  <si>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</si>
  <si>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</si>
  <si>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</si>
  <si>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</si>
  <si>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</si>
  <si>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</si>
  <si>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</si>
  <si>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</si>
  <si>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</si>
  <si>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</si>
  <si>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</si>
  <si>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</si>
  <si>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</si>
  <si>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</si>
  <si>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</si>
  <si>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</si>
  <si>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</si>
  <si>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</si>
  <si>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</si>
  <si>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</si>
  <si>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</si>
  <si>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</si>
  <si>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</si>
  <si>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</si>
  <si>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</si>
  <si>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</si>
  <si>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</si>
  <si>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</si>
  <si>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</si>
  <si>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</si>
  <si>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</si>
  <si>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</si>
  <si>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</si>
  <si>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</si>
  <si>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</si>
  <si>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</si>
  <si>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</si>
  <si>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</si>
  <si>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</si>
  <si>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</si>
  <si>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</si>
  <si>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</si>
  <si>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</si>
  <si>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</si>
  <si>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</si>
  <si>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</si>
  <si>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</si>
  <si>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</si>
  <si>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</si>
  <si>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</si>
  <si>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</si>
  <si>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</si>
  <si>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</si>
  <si>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</si>
  <si>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</si>
  <si>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</si>
  <si>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</si>
  <si>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</si>
  <si>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</si>
  <si>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</si>
  <si>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</si>
  <si>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</si>
  <si>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</si>
  <si>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</si>
  <si>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</si>
  <si>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</si>
  <si>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</si>
  <si>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</si>
  <si>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</si>
  <si>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</si>
  <si>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</si>
  <si>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</si>
  <si>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</si>
  <si>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</si>
  <si>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</si>
  <si>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</si>
  <si>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</si>
  <si>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</si>
  <si>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</si>
  <si>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</si>
  <si>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</si>
  <si>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</si>
  <si>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</si>
  <si>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</si>
  <si>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</si>
  <si>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</si>
  <si>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</si>
  <si>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</si>
  <si>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</si>
  <si>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</si>
  <si>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</si>
  <si>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</si>
  <si>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</si>
  <si>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</si>
  <si>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</si>
  <si>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</si>
  <si>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</si>
  <si>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</si>
  <si>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</si>
  <si>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</si>
  <si>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</si>
  <si>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</si>
  <si>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</si>
  <si>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</si>
  <si>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</si>
  <si>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</si>
  <si>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</si>
  <si>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</si>
  <si>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</si>
  <si>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</si>
  <si>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</si>
  <si>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</si>
  <si>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</si>
  <si>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</si>
  <si>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</si>
  <si>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</si>
  <si>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</si>
  <si>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</si>
  <si>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</si>
  <si>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</si>
  <si>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</si>
  <si>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</si>
  <si>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</si>
  <si>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</si>
  <si>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</si>
  <si>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</si>
  <si>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</si>
  <si>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</si>
  <si>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</si>
  <si>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</si>
  <si>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</si>
  <si>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</si>
  <si>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</si>
  <si>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</si>
  <si>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</si>
  <si>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</si>
  <si>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</si>
  <si>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</si>
  <si>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</si>
  <si>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</si>
  <si>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</si>
  <si>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</si>
  <si>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</si>
  <si>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</si>
  <si>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</si>
  <si>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</si>
  <si>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</si>
  <si>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</si>
  <si>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</si>
  <si>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</si>
  <si>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</si>
  <si>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</si>
  <si>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</si>
  <si>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</si>
  <si>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</si>
  <si>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</si>
  <si>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</si>
  <si>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</si>
  <si>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</si>
  <si>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</si>
  <si>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</si>
  <si>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</si>
  <si>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</si>
  <si>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</si>
  <si>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</si>
  <si>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</si>
  <si>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</si>
  <si>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</si>
  <si>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</si>
  <si>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</si>
  <si>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</si>
  <si>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</si>
  <si>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</si>
  <si>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</si>
  <si>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</si>
  <si>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</si>
  <si>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</si>
  <si>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</si>
  <si>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</si>
  <si>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</si>
  <si>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</si>
  <si>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</si>
  <si>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</si>
  <si>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</si>
  <si>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</si>
  <si>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</si>
  <si>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</si>
  <si>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</si>
  <si>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</si>
  <si>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</si>
  <si>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</si>
  <si>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</si>
  <si>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</si>
  <si>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</si>
  <si>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</si>
  <si>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</si>
  <si>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</si>
  <si>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</si>
  <si>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</si>
  <si>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</si>
  <si>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</si>
  <si>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</si>
  <si>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</si>
  <si>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</si>
  <si>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</si>
  <si>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</si>
  <si>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</si>
  <si>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</si>
  <si>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</si>
  <si>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</si>
  <si>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</si>
  <si>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</si>
  <si>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</si>
  <si>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</si>
  <si>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</si>
  <si>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</si>
  <si>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</si>
  <si>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</si>
  <si>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</si>
  <si>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</si>
  <si>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</si>
  <si>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</si>
  <si>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</si>
  <si>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</si>
  <si>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</si>
  <si>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</si>
  <si>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</si>
  <si>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</si>
  <si>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</si>
  <si>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</si>
  <si>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</si>
  <si>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</si>
  <si>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</si>
  <si>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</si>
  <si>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</si>
  <si>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</si>
  <si>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</si>
  <si>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</si>
  <si>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</si>
  <si>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</si>
  <si>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</si>
  <si>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</si>
  <si>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</si>
  <si>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</si>
  <si>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</si>
  <si>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</si>
  <si>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</si>
  <si>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</si>
  <si>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</si>
  <si>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</si>
  <si>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</si>
  <si>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</si>
  <si>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</si>
  <si>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</si>
  <si>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</si>
  <si>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</si>
  <si>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</si>
  <si>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</si>
  <si>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</si>
  <si>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</si>
  <si>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</si>
  <si>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</si>
  <si>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</si>
  <si>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</si>
  <si>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</si>
  <si>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</si>
  <si>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</si>
  <si>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</si>
  <si>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</si>
  <si>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</si>
  <si>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</si>
  <si>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</si>
  <si>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</si>
  <si>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</si>
  <si>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</si>
  <si>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</si>
  <si>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</si>
  <si>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</si>
  <si>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</si>
  <si>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</si>
  <si>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</si>
  <si>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</si>
  <si>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</si>
  <si>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</si>
  <si>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</si>
  <si>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</si>
  <si>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</si>
  <si>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</si>
  <si>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</si>
  <si>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</si>
  <si>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</si>
  <si>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</si>
  <si>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</si>
  <si>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</si>
  <si>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</si>
  <si>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</si>
  <si>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</si>
  <si>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</si>
  <si>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</si>
  <si>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</si>
  <si>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</si>
  <si>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</si>
  <si>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</si>
  <si>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</si>
  <si>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</si>
  <si>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</si>
  <si>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</si>
  <si>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</si>
  <si>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</si>
  <si>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</si>
  <si>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</si>
  <si>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</si>
  <si>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</si>
  <si>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</si>
  <si>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</si>
  <si>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</si>
  <si>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</si>
  <si>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</si>
  <si>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</si>
  <si>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</si>
  <si>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</si>
  <si>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</si>
  <si>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</si>
  <si>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</si>
  <si>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</si>
  <si>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</si>
  <si>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</si>
  <si>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</si>
  <si>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</si>
  <si>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</si>
  <si>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</si>
  <si>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</si>
  <si>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</si>
  <si>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</si>
  <si>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</si>
  <si>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</si>
  <si>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</si>
  <si>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</si>
  <si>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</si>
  <si>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</si>
  <si>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</si>
  <si>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</si>
  <si>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</si>
  <si>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</si>
  <si>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</si>
  <si>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</si>
  <si>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</si>
  <si>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</si>
  <si>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</si>
  <si>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</si>
  <si>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</si>
  <si>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</si>
  <si>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</si>
  <si>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</si>
  <si>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</si>
  <si>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</si>
  <si>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</si>
  <si>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</si>
  <si>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</si>
  <si>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</si>
  <si>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</si>
  <si>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</si>
  <si>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</si>
  <si>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</si>
  <si>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</si>
  <si>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</si>
  <si>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</si>
  <si>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</si>
  <si>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</si>
  <si>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</si>
  <si>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</si>
  <si>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</si>
  <si>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</si>
  <si>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</si>
  <si>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</si>
  <si>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</si>
  <si>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</si>
  <si>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</si>
  <si>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</si>
  <si>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</si>
  <si>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</si>
  <si>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</si>
  <si>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</si>
  <si>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</si>
  <si>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</si>
  <si>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</si>
  <si>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</si>
  <si>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</si>
  <si>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</si>
  <si>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</si>
  <si>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</si>
  <si>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</si>
  <si>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</si>
  <si>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</si>
  <si>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</si>
  <si>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</si>
  <si>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</si>
  <si>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</si>
  <si>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</si>
  <si>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</si>
  <si>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</si>
  <si>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</si>
  <si>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</si>
  <si>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</si>
  <si>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</si>
  <si>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</si>
  <si>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</si>
  <si>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</si>
  <si>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</si>
  <si>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</si>
  <si>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</si>
  <si>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</si>
  <si>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</si>
  <si>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</si>
  <si>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</si>
  <si>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</si>
  <si>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</si>
  <si>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</si>
  <si>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</si>
  <si>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</si>
  <si>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</si>
  <si>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</si>
  <si>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</si>
  <si>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</si>
  <si>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</si>
  <si>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</si>
  <si>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</si>
  <si>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</si>
  <si>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</si>
  <si>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</si>
  <si>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</si>
  <si>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</si>
  <si>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</si>
  <si>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</si>
  <si>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</si>
  <si>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</si>
  <si>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</si>
  <si>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</si>
  <si>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</si>
  <si>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</si>
  <si>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</si>
  <si>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</si>
  <si>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</si>
  <si>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</si>
  <si>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</si>
  <si>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</si>
  <si>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</si>
  <si>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</si>
  <si>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</si>
  <si>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</si>
  <si>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</si>
  <si>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</si>
  <si>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</si>
  <si>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</si>
  <si>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</si>
  <si>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</si>
  <si>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</si>
  <si>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</si>
  <si>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</si>
  <si>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</si>
  <si>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</si>
  <si>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</si>
  <si>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</si>
  <si>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</si>
  <si>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</si>
  <si>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</si>
  <si>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</si>
  <si>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</si>
  <si>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</si>
  <si>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</si>
  <si>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</si>
  <si>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</si>
  <si>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</si>
  <si>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</si>
  <si>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</si>
  <si>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</si>
  <si>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</si>
  <si>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</si>
  <si>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</si>
  <si>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</si>
  <si>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</si>
  <si>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</si>
  <si>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</si>
  <si>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</si>
  <si>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</si>
  <si>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</si>
  <si>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</si>
  <si>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</si>
  <si>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</si>
  <si>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</si>
  <si>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</si>
  <si>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</si>
  <si>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</si>
  <si>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</si>
  <si>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</si>
  <si>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</si>
  <si>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</si>
  <si>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</si>
  <si>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</si>
  <si>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</si>
  <si>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</si>
  <si>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</si>
  <si>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</si>
  <si>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</si>
  <si>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</si>
  <si>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</si>
  <si>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</si>
  <si>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</si>
  <si>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</si>
  <si>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</si>
  <si>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</si>
  <si>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</si>
  <si>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</si>
  <si>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</si>
  <si>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</si>
  <si>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</si>
  <si>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</si>
  <si>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</si>
  <si>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</si>
  <si>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</si>
  <si>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</si>
  <si>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</si>
  <si>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</si>
  <si>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</si>
  <si>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</si>
  <si>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</si>
  <si>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</si>
  <si>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</si>
  <si>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</si>
  <si>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</si>
  <si>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</si>
  <si>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</si>
  <si>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</si>
  <si>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</si>
  <si>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</si>
  <si>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</si>
  <si>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</si>
  <si>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</si>
  <si>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</si>
  <si>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</si>
  <si>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</si>
  <si>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</si>
  <si>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</si>
  <si>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</si>
  <si>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</si>
  <si>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</si>
  <si>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</si>
  <si>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</si>
  <si>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</si>
  <si>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</si>
  <si>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</si>
  <si>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</si>
  <si>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</si>
  <si>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</si>
  <si>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</si>
  <si>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</si>
  <si>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</si>
  <si>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</si>
  <si>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</si>
  <si>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</si>
  <si>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</si>
  <si>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</si>
  <si>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</si>
  <si>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</si>
  <si>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</si>
  <si>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</si>
  <si>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</si>
  <si>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</si>
  <si>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</si>
  <si>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</si>
  <si>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</si>
  <si>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</si>
  <si>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</si>
  <si>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</si>
  <si>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</si>
  <si>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</si>
  <si>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</si>
  <si>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</si>
  <si>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</si>
  <si>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</si>
  <si>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</si>
  <si>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</si>
  <si>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</si>
  <si>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</si>
  <si>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</si>
  <si>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</si>
  <si>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</si>
  <si>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</si>
  <si>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</si>
  <si>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</si>
  <si>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</si>
  <si>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</si>
  <si>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</si>
  <si>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</si>
  <si>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</si>
  <si>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</si>
  <si>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</si>
  <si>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</si>
  <si>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</si>
  <si>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</si>
  <si>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</si>
  <si>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</si>
  <si>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</si>
  <si>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</si>
  <si>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</si>
  <si>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</si>
  <si>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</si>
  <si>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</si>
  <si>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</si>
  <si>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</si>
  <si>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</si>
  <si>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</si>
  <si>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</si>
  <si>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</si>
  <si>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</si>
  <si>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</si>
  <si>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</si>
  <si>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</si>
  <si>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</si>
  <si>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</si>
  <si>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</si>
  <si>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</si>
  <si>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</si>
  <si>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</si>
  <si>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</si>
  <si>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</si>
  <si>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</si>
  <si>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</si>
  <si>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</si>
  <si>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</si>
  <si>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</si>
  <si>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</si>
  <si>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</si>
  <si>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</si>
  <si>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</si>
  <si>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</si>
  <si>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</si>
  <si>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</si>
  <si>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</si>
  <si>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</si>
  <si>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</si>
  <si>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</si>
  <si>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</si>
  <si>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</si>
  <si>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</si>
  <si>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</si>
  <si>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</si>
  <si>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</si>
  <si>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</si>
  <si>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</si>
  <si>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</si>
  <si>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</si>
  <si>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</si>
  <si>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</si>
  <si>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</si>
  <si>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</si>
  <si>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</si>
  <si>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</si>
  <si>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</si>
  <si>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</si>
  <si>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</si>
  <si>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</si>
  <si>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</si>
  <si>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</si>
  <si>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</si>
  <si>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</si>
  <si>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</si>
  <si>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</si>
  <si>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</si>
  <si>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</si>
  <si>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</si>
  <si>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</si>
  <si>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</si>
  <si>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</si>
  <si>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</si>
  <si>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</si>
  <si>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</si>
  <si>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</si>
  <si>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</si>
  <si>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</si>
  <si>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</si>
  <si>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</si>
  <si>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</si>
  <si>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</si>
  <si>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</si>
  <si>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</si>
  <si>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</si>
  <si>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</si>
  <si>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</si>
  <si>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</si>
  <si>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</si>
  <si>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</si>
  <si>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</si>
  <si>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</si>
  <si>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</si>
  <si>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</si>
  <si>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</si>
  <si>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</si>
  <si>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</si>
  <si>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</si>
  <si>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</si>
  <si>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</si>
  <si>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</si>
  <si>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</si>
  <si>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</si>
  <si>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</si>
  <si>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</si>
  <si>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</si>
  <si>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</si>
  <si>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</si>
  <si>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</si>
  <si>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</si>
  <si>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</si>
  <si>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</si>
  <si>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</si>
  <si>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</si>
  <si>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</si>
  <si>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</si>
  <si>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</si>
  <si>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</si>
  <si>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</si>
  <si>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</si>
  <si>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</si>
  <si>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</si>
  <si>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</si>
  <si>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</si>
  <si>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</si>
  <si>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</si>
  <si>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</si>
  <si>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</si>
  <si>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</si>
  <si>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</si>
  <si>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</si>
  <si>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</si>
  <si>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</si>
  <si>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</si>
  <si>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</si>
  <si>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</si>
  <si>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</si>
  <si>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</si>
  <si>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</si>
  <si>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</si>
  <si>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</si>
  <si>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</si>
  <si>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</si>
  <si>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</si>
  <si>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</si>
  <si>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</si>
  <si>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</si>
  <si>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</si>
  <si>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</si>
  <si>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</si>
  <si>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</si>
  <si>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</si>
  <si>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</si>
  <si>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</si>
  <si>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</si>
  <si>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</si>
  <si>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</si>
  <si>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</si>
  <si>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</si>
  <si>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</si>
  <si>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</si>
  <si>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</si>
  <si>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</si>
  <si>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</si>
  <si>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</si>
  <si>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</si>
  <si>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</si>
  <si>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</si>
  <si>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</si>
  <si>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</si>
  <si>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</si>
  <si>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</si>
  <si>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</si>
  <si>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</si>
  <si>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</si>
  <si>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</si>
  <si>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</si>
  <si>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</si>
  <si>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</si>
  <si>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</si>
  <si>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</si>
  <si>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</si>
  <si>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</si>
  <si>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</si>
  <si>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</si>
  <si>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</si>
  <si>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</si>
  <si>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</si>
  <si>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</si>
  <si>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</si>
  <si>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</si>
  <si>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</si>
  <si>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</si>
  <si>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</si>
  <si>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</si>
  <si>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</si>
  <si>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</si>
  <si>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</si>
  <si>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</si>
  <si>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</si>
  <si>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</si>
  <si>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</si>
  <si>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</si>
  <si>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</si>
  <si>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</si>
  <si>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</si>
  <si>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</si>
  <si>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</si>
  <si>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</si>
  <si>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</si>
  <si>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</si>
  <si>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</si>
  <si>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</si>
  <si>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</si>
  <si>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</si>
  <si>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</si>
  <si>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</si>
  <si>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</si>
  <si>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</si>
  <si>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</si>
  <si>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</si>
  <si>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</si>
  <si>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</si>
  <si>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</si>
  <si>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</si>
  <si>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</si>
  <si>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</si>
  <si>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</si>
  <si>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</si>
  <si>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</si>
  <si>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</si>
  <si>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</si>
  <si>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</si>
  <si>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</si>
  <si>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</si>
  <si>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</si>
  <si>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</si>
  <si>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</si>
  <si>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</si>
  <si>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</si>
  <si>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</si>
  <si>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</si>
  <si>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</si>
  <si>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</si>
  <si>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</si>
  <si>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</si>
  <si>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</si>
  <si>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</si>
  <si>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</si>
  <si>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</si>
  <si>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</si>
  <si>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</si>
  <si>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</si>
  <si>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</si>
  <si>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</si>
  <si>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</si>
  <si>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</si>
  <si>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</si>
  <si>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</si>
  <si>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</si>
  <si>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</si>
  <si>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</si>
  <si>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</si>
  <si>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</si>
  <si>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</si>
  <si>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</si>
  <si>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</si>
  <si>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</si>
  <si>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</si>
  <si>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</si>
  <si>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</si>
  <si>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</si>
  <si>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</si>
  <si>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</si>
  <si>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</si>
  <si>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</si>
  <si>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</si>
  <si>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</si>
  <si>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</si>
  <si>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</si>
  <si>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</si>
  <si>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</si>
  <si>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</si>
  <si>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</si>
  <si>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</si>
  <si>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</si>
  <si>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</si>
  <si>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</si>
  <si>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</si>
  <si>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</si>
  <si>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</si>
  <si>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</si>
  <si>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</si>
  <si>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</si>
  <si>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</si>
  <si>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</si>
  <si>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</si>
  <si>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</si>
  <si>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</si>
  <si>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</si>
  <si>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</si>
  <si>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</si>
  <si>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</si>
  <si>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</si>
  <si>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</si>
  <si>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</si>
  <si>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</si>
  <si>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</si>
  <si>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</si>
  <si>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</si>
  <si>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</si>
  <si>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</si>
  <si>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</si>
  <si>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</si>
  <si>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</si>
  <si>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</si>
  <si>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</si>
  <si>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</si>
  <si>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</si>
  <si>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</si>
  <si>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</si>
  <si>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</si>
  <si>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</si>
  <si>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</si>
  <si>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</si>
  <si>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</si>
  <si>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</si>
  <si>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</si>
  <si>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</si>
  <si>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</si>
  <si>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</si>
  <si>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</si>
  <si>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</si>
  <si>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</si>
  <si>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</si>
  <si>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</si>
  <si>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</si>
  <si>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</si>
  <si>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</si>
  <si>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</si>
  <si>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</si>
  <si>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</si>
  <si>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</si>
  <si>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</si>
  <si>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</si>
  <si>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</si>
  <si>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</si>
  <si>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</si>
  <si>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</si>
  <si>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</si>
  <si>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</si>
  <si>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</si>
  <si>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</si>
  <si>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</si>
  <si>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</si>
  <si>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</si>
  <si>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</si>
  <si>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</si>
  <si>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</si>
  <si>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</si>
  <si>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</si>
  <si>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</si>
  <si>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</si>
  <si>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</si>
  <si>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</si>
  <si>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</si>
  <si>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</si>
  <si>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</si>
  <si>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</si>
  <si>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</si>
  <si>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</si>
  <si>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</si>
  <si>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</si>
  <si>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</si>
  <si>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</si>
  <si>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</si>
  <si>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</si>
  <si>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</si>
  <si>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</si>
  <si>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</si>
  <si>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</si>
  <si>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</si>
  <si>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</si>
  <si>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</si>
  <si>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</si>
  <si>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</si>
  <si>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</si>
  <si>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</si>
  <si>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</si>
  <si>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</si>
  <si>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</si>
  <si>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</si>
  <si>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</si>
  <si>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</si>
  <si>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</si>
  <si>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</si>
  <si>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</si>
  <si>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</si>
  <si>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</si>
  <si>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</si>
  <si>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</si>
  <si>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</si>
  <si>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</si>
  <si>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</si>
  <si>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</si>
  <si>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</si>
  <si>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</si>
  <si>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</si>
  <si>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</si>
  <si>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</si>
  <si>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</si>
  <si>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</si>
  <si>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</si>
  <si>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</si>
  <si>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</si>
  <si>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</si>
  <si>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</si>
  <si>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</si>
  <si>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</si>
  <si>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</si>
  <si>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</si>
  <si>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</si>
  <si>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</si>
  <si>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</si>
  <si>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</si>
  <si>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</si>
  <si>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</si>
  <si>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</si>
  <si>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</si>
  <si>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</si>
  <si>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</si>
  <si>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</si>
  <si>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</si>
  <si>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</si>
  <si>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</si>
  <si>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</si>
  <si>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</si>
  <si>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</si>
  <si>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</si>
  <si>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</si>
  <si>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</si>
  <si>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</si>
  <si>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</si>
  <si>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</si>
  <si>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</si>
  <si>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</si>
  <si>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</si>
  <si>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</si>
  <si>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</si>
  <si>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</si>
  <si>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</si>
  <si>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</si>
  <si>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</si>
  <si>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</si>
  <si>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</si>
  <si>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</si>
  <si>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</si>
  <si>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</si>
  <si>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</si>
  <si>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</si>
  <si>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</si>
  <si>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</si>
  <si>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</si>
  <si>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</si>
  <si>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</si>
  <si>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</si>
  <si>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</si>
  <si>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</si>
  <si>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</si>
  <si>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</si>
  <si>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</si>
  <si>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</si>
  <si>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</si>
  <si>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</si>
  <si>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</si>
  <si>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</si>
  <si>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</si>
  <si>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</si>
  <si>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</si>
  <si>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</si>
  <si>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</si>
  <si>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</si>
  <si>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</si>
  <si>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</si>
  <si>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</si>
  <si>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</si>
  <si>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</si>
  <si>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</si>
  <si>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</si>
  <si>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</si>
  <si>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</si>
  <si>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</si>
  <si>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</si>
  <si>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</si>
  <si>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</si>
  <si>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</si>
  <si>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</si>
  <si>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</si>
  <si>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</si>
  <si>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</si>
  <si>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</si>
  <si>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</si>
  <si>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</si>
  <si>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</si>
  <si>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</si>
  <si>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</si>
  <si>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</si>
  <si>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</si>
  <si>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</si>
  <si>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</si>
  <si>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</si>
  <si>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</si>
  <si>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</si>
  <si>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</si>
  <si>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</si>
  <si>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</si>
  <si>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</si>
  <si>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</si>
  <si>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</si>
  <si>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</si>
  <si>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</si>
  <si>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</si>
  <si>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</si>
  <si>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</si>
  <si>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</si>
  <si>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</si>
  <si>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</si>
  <si>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</si>
  <si>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</si>
  <si>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</si>
  <si>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</si>
  <si>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</si>
  <si>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</si>
  <si>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</si>
  <si>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</si>
  <si>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</si>
  <si>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</si>
  <si>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</si>
  <si>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</si>
  <si>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</si>
  <si>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</si>
  <si>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</si>
  <si>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</si>
  <si>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</si>
  <si>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</si>
  <si>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</si>
  <si>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</si>
  <si>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</si>
  <si>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</si>
  <si>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</si>
  <si>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</si>
  <si>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</si>
  <si>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</si>
  <si>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</si>
  <si>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</si>
  <si>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</si>
  <si>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</si>
  <si>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</si>
  <si>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</si>
  <si>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</si>
  <si>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</si>
  <si>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</si>
  <si>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</si>
  <si>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</si>
  <si>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</si>
  <si>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</si>
  <si>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</si>
  <si>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</si>
  <si>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</si>
  <si>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</si>
  <si>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</si>
  <si>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</si>
  <si>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</si>
  <si>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</si>
  <si>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</si>
  <si>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</si>
  <si>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</si>
  <si>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</si>
  <si>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</si>
  <si>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</si>
  <si>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</si>
  <si>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</si>
  <si>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</si>
  <si>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</si>
  <si>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</si>
  <si>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</si>
  <si>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</si>
  <si>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</si>
  <si>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</si>
  <si>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</si>
  <si>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</si>
  <si>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</si>
  <si>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</si>
  <si>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</si>
  <si>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</si>
  <si>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</si>
  <si>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</si>
  <si>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</si>
  <si>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</si>
  <si>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</si>
  <si>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</si>
  <si>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</si>
  <si>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</si>
  <si>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</si>
  <si>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</si>
  <si>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</si>
  <si>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</si>
  <si>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</si>
  <si>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</si>
  <si>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</si>
  <si>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</si>
  <si>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</si>
  <si>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</si>
  <si>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</si>
  <si>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</si>
  <si>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</si>
  <si>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</si>
  <si>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</si>
  <si>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</si>
  <si>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</si>
  <si>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</si>
  <si>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</si>
  <si>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</si>
  <si>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</si>
  <si>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</si>
  <si>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</si>
  <si>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</si>
  <si>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</si>
  <si>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</si>
  <si>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</si>
  <si>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</si>
  <si>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</si>
  <si>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</si>
  <si>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</si>
  <si>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</si>
  <si>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</si>
  <si>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</si>
  <si>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</si>
  <si>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</si>
  <si>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</si>
  <si>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</si>
  <si>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</si>
  <si>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</si>
  <si>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</si>
  <si>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</si>
  <si>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</si>
  <si>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</si>
  <si>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</si>
  <si>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</si>
  <si>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</si>
  <si>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</si>
  <si>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</si>
  <si>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</si>
  <si>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</si>
  <si>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</si>
  <si>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</si>
  <si>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</si>
  <si>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</si>
  <si>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</si>
  <si>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</si>
  <si>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</si>
  <si>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</si>
  <si>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</si>
  <si>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</si>
  <si>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</si>
  <si>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</si>
  <si>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</si>
  <si>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</si>
  <si>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</si>
  <si>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</si>
  <si>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</si>
  <si>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</si>
  <si>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</si>
  <si>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</si>
  <si>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</si>
  <si>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</si>
  <si>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</si>
  <si>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</si>
  <si>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</si>
  <si>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</si>
  <si>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</si>
  <si>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</si>
  <si>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</si>
  <si>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</si>
  <si>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</si>
  <si>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</si>
  <si>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</si>
  <si>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</si>
  <si>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</si>
  <si>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</si>
  <si>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</si>
  <si>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</si>
  <si>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</si>
  <si>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</si>
  <si>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</si>
  <si>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</si>
  <si>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</si>
  <si>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</si>
  <si>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</si>
  <si>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</si>
  <si>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</si>
  <si>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</si>
  <si>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</si>
  <si>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</si>
  <si>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</si>
  <si>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</si>
  <si>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</si>
  <si>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</si>
  <si>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</si>
  <si>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</si>
  <si>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</si>
  <si>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</si>
  <si>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</si>
  <si>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</si>
  <si>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</si>
  <si>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</si>
  <si>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</si>
  <si>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</si>
  <si>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</si>
  <si>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</si>
  <si>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</si>
  <si>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</si>
  <si>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</si>
  <si>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</si>
  <si>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</si>
  <si>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</si>
  <si>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</si>
  <si>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</si>
  <si>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</si>
  <si>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</si>
  <si>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</si>
  <si>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</si>
  <si>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</si>
  <si>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</si>
  <si>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</si>
  <si>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</si>
  <si>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</si>
  <si>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</si>
  <si>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</si>
  <si>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</si>
  <si>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</si>
  <si>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</si>
  <si>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</si>
  <si>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</si>
  <si>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</si>
  <si>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</si>
  <si>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</si>
  <si>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</si>
  <si>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</si>
  <si>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</si>
  <si>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</si>
  <si>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</si>
  <si>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</si>
  <si>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</si>
  <si>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</si>
  <si>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</si>
  <si>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</si>
  <si>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</si>
  <si>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</si>
  <si>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</si>
  <si>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</si>
  <si>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</si>
  <si>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</si>
  <si>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</si>
  <si>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</si>
  <si>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</si>
  <si>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</si>
  <si>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</si>
  <si>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</si>
  <si>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</si>
  <si>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</si>
  <si>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</si>
  <si>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</si>
  <si>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</si>
  <si>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</si>
  <si>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</si>
  <si>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</si>
  <si>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</si>
  <si>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</si>
  <si>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</si>
  <si>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</si>
  <si>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</si>
  <si>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</si>
  <si>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</si>
  <si>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</si>
  <si>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</si>
  <si>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</si>
  <si>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</si>
  <si>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</si>
  <si>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</si>
  <si>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</si>
  <si>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</si>
  <si>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</si>
  <si>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</si>
  <si>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</si>
  <si>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</si>
  <si>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</si>
  <si>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</si>
  <si>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</si>
  <si>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</si>
  <si>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</si>
  <si>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</si>
  <si>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</si>
  <si>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</si>
  <si>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</si>
  <si>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</si>
  <si>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</si>
  <si>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</si>
  <si>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</si>
  <si>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</si>
  <si>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</si>
  <si>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</si>
  <si>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</si>
  <si>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</si>
  <si>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</si>
  <si>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</si>
  <si>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</si>
  <si>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</si>
  <si>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</si>
  <si>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</si>
  <si>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</si>
  <si>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</si>
  <si>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</si>
  <si>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</si>
  <si>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</si>
  <si>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</si>
  <si>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</si>
  <si>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</si>
  <si>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</si>
  <si>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</si>
  <si>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</si>
  <si>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</si>
  <si>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</si>
  <si>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</si>
  <si>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</si>
  <si>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</si>
  <si>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</si>
  <si>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</si>
  <si>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</si>
  <si>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</si>
  <si>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</si>
  <si>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</si>
  <si>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</si>
  <si>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</si>
  <si>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</si>
  <si>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</si>
  <si>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</si>
  <si>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</si>
  <si>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</si>
  <si>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</si>
  <si>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</si>
  <si>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</si>
  <si>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</si>
  <si>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</si>
  <si>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</si>
  <si>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</si>
  <si>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</si>
  <si>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</si>
  <si>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</si>
  <si>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</si>
  <si>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</si>
  <si>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</si>
  <si>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</si>
  <si>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</si>
  <si>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</si>
  <si>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</si>
  <si>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</si>
  <si>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</si>
  <si>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</si>
  <si>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</si>
  <si>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</si>
  <si>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</si>
  <si>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</si>
  <si>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</si>
  <si>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</si>
  <si>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</si>
  <si>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</si>
  <si>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</si>
  <si>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</si>
  <si>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</si>
  <si>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</si>
  <si>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</si>
  <si>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</si>
  <si>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</si>
  <si>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</si>
  <si>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</si>
  <si>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</si>
  <si>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</si>
  <si>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</si>
  <si>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</si>
  <si>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</si>
  <si>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</si>
  <si>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</si>
  <si>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</si>
  <si>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</si>
  <si>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</si>
  <si>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</si>
  <si>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</si>
  <si>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</si>
  <si>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</si>
  <si>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</si>
  <si>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</si>
  <si>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</si>
  <si>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</si>
  <si>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</si>
  <si>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</si>
  <si>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</si>
  <si>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</si>
  <si>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</si>
  <si>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</si>
  <si>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</si>
  <si>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</si>
  <si>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</si>
  <si>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</si>
  <si>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</si>
  <si>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</si>
  <si>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</si>
  <si>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</si>
  <si>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</si>
  <si>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</si>
  <si>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</si>
  <si>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</si>
  <si>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</si>
  <si>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</si>
  <si>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</si>
  <si>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</si>
  <si>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</si>
  <si>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</si>
  <si>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</si>
  <si>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</si>
  <si>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</si>
  <si>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</si>
  <si>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</si>
  <si>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</si>
  <si>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</si>
  <si>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</si>
  <si>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</si>
  <si>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</si>
  <si>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</si>
  <si>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</si>
  <si>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</si>
  <si>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</si>
  <si>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</si>
  <si>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</si>
  <si>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</si>
  <si>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</si>
  <si>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</si>
  <si>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</si>
  <si>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</si>
  <si>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</si>
  <si>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</si>
  <si>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</si>
  <si>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</si>
  <si>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</si>
  <si>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</si>
  <si>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</si>
  <si>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</si>
  <si>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</si>
  <si>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</si>
  <si>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</si>
  <si>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</si>
  <si>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</si>
  <si>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</si>
  <si>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</si>
  <si>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</si>
  <si>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</si>
  <si>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</si>
  <si>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</si>
  <si>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</si>
  <si>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</si>
  <si>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</si>
  <si>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</si>
  <si>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</si>
  <si>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</si>
  <si>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</si>
  <si>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</si>
  <si>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</si>
  <si>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</si>
  <si>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</si>
  <si>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</si>
  <si>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</si>
  <si>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</si>
  <si>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</si>
  <si>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</si>
  <si>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</si>
  <si>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</si>
  <si>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</si>
  <si>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</si>
  <si>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</si>
  <si>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</si>
  <si>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</si>
  <si>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</si>
  <si>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</si>
  <si>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</si>
  <si>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</si>
  <si>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</si>
  <si>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</si>
  <si>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</si>
  <si>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</si>
  <si>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</si>
  <si>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</si>
  <si>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</si>
  <si>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</si>
  <si>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</si>
  <si>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</si>
  <si>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</si>
  <si>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</si>
  <si>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</si>
  <si>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</si>
  <si>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</si>
  <si>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</si>
  <si>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</si>
  <si>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</si>
  <si>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</si>
  <si>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</si>
  <si>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</si>
  <si>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</si>
  <si>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</si>
  <si>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</si>
  <si>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</si>
  <si>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</si>
  <si>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</si>
  <si>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</si>
  <si>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</si>
  <si>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</si>
  <si>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</si>
  <si>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</si>
  <si>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</si>
  <si>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</si>
  <si>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</si>
  <si>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</si>
  <si>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</si>
  <si>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</si>
  <si>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</si>
  <si>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</si>
  <si>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</si>
  <si>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</si>
  <si>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</si>
  <si>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</si>
  <si>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</si>
  <si>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</si>
  <si>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</si>
  <si>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</si>
  <si>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</si>
  <si>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</si>
  <si>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</si>
  <si>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</si>
  <si>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</si>
  <si>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</si>
  <si>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</si>
  <si>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</si>
  <si>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</si>
  <si>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</si>
  <si>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</si>
  <si>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</si>
  <si>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</si>
  <si>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</si>
  <si>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</si>
  <si>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</si>
  <si>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</si>
  <si>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</si>
  <si>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</si>
  <si>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</si>
  <si>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</si>
  <si>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</si>
  <si>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</si>
  <si>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</si>
  <si>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</si>
  <si>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</si>
  <si>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</si>
  <si>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</si>
  <si>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</si>
  <si>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</si>
  <si>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</si>
  <si>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</si>
  <si>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</si>
  <si>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</si>
  <si>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</si>
  <si>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</si>
  <si>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</si>
  <si>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</si>
  <si>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</si>
  <si>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</si>
  <si>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</si>
  <si>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</si>
  <si>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</si>
  <si>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</si>
  <si>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</si>
  <si>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</si>
  <si>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</si>
  <si>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</si>
  <si>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</si>
  <si>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</si>
  <si>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</si>
  <si>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</si>
  <si>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</si>
  <si>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</si>
  <si>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</si>
  <si>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</si>
  <si>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</si>
  <si>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</si>
  <si>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</si>
  <si>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</si>
  <si>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</si>
  <si>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</si>
  <si>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</si>
  <si>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</si>
  <si>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</si>
  <si>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</si>
  <si>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</si>
  <si>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</si>
  <si>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</si>
  <si>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</si>
  <si>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</si>
  <si>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</si>
  <si>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</si>
  <si>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</si>
  <si>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</si>
  <si>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</si>
  <si>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</si>
  <si>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</si>
  <si>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</si>
  <si>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</si>
  <si>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</si>
  <si>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</si>
  <si>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</si>
  <si>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</si>
  <si>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</si>
  <si>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</si>
  <si>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</si>
  <si>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</si>
  <si>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</si>
  <si>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</si>
  <si>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</si>
  <si>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</si>
  <si>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</si>
  <si>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</si>
  <si>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</si>
  <si>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</si>
  <si>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</si>
  <si>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</si>
  <si>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</si>
  <si>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</si>
  <si>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</si>
  <si>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</si>
  <si>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</si>
  <si>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</si>
  <si>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</si>
  <si>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</si>
  <si>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</si>
  <si>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</si>
  <si>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</si>
  <si>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</si>
  <si>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</si>
  <si>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</si>
  <si>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</si>
  <si>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</si>
  <si>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</si>
  <si>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</si>
  <si>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</si>
  <si>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</si>
  <si>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</si>
  <si>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</si>
  <si>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</si>
  <si>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</si>
  <si>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</si>
  <si>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</si>
  <si>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</si>
  <si>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</si>
  <si>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</si>
  <si>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</si>
  <si>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</si>
  <si>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</si>
  <si>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</si>
  <si>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</si>
  <si>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</si>
  <si>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</si>
  <si>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</si>
  <si>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</si>
  <si>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</si>
  <si>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</si>
  <si>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</si>
  <si>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</si>
  <si>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</si>
  <si>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</si>
  <si>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</si>
  <si>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</si>
  <si>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</si>
  <si>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</si>
  <si>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</si>
  <si>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</si>
  <si>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</si>
  <si>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</si>
  <si>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</si>
  <si>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</si>
  <si>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</si>
  <si>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</si>
  <si>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</si>
  <si>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</si>
  <si>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</si>
  <si>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</si>
  <si>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</si>
  <si>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</si>
  <si>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</si>
  <si>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</si>
  <si>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</si>
  <si>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</si>
  <si>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</si>
  <si>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</si>
  <si>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</si>
  <si>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</si>
  <si>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</si>
  <si>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</si>
  <si>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</si>
  <si>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</si>
  <si>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</si>
  <si>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</si>
  <si>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</si>
  <si>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</si>
  <si>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</si>
  <si>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</si>
  <si>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</si>
  <si>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</si>
  <si>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</si>
  <si>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</si>
  <si>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</si>
  <si>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</si>
  <si>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</si>
  <si>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</si>
  <si>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</si>
  <si>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</si>
  <si>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</si>
  <si>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</si>
  <si>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</si>
  <si>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</si>
  <si>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</si>
  <si>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</si>
  <si>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</si>
  <si>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</si>
  <si>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</si>
  <si>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</si>
  <si>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</si>
  <si>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</si>
  <si>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</si>
  <si>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</si>
  <si>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</si>
  <si>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</si>
  <si>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</si>
  <si>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</si>
  <si>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</si>
  <si>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</si>
  <si>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</si>
  <si>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</si>
  <si>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</si>
  <si>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</si>
  <si>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</si>
  <si>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</si>
  <si>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</si>
  <si>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</si>
  <si>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</si>
  <si>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</si>
  <si>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</si>
  <si>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</si>
  <si>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</si>
  <si>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</si>
  <si>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</si>
  <si>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</si>
  <si>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</si>
  <si>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</si>
  <si>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</si>
  <si>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</si>
  <si>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</si>
  <si>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</si>
  <si>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</si>
  <si>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</si>
  <si>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</si>
  <si>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</si>
  <si>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</si>
  <si>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</si>
  <si>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</si>
  <si>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</si>
  <si>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</si>
  <si>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</si>
  <si>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</si>
  <si>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</si>
  <si>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</si>
  <si>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</si>
  <si>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</si>
  <si>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</si>
  <si>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</si>
  <si>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</si>
  <si>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</si>
  <si>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</si>
  <si>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</si>
  <si>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</si>
  <si>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</si>
  <si>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</si>
  <si>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</si>
  <si>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</si>
  <si>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</si>
  <si>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</si>
  <si>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</si>
  <si>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</si>
  <si>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</si>
  <si>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</si>
  <si>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</si>
  <si>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</si>
  <si>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</si>
  <si>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</si>
  <si>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</si>
  <si>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</si>
  <si>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</si>
  <si>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</si>
  <si>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</si>
  <si>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</si>
  <si>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</si>
  <si>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</si>
  <si>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</si>
  <si>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</si>
  <si>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</si>
  <si>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</si>
  <si>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</si>
  <si>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</si>
  <si>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</si>
  <si>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</si>
  <si>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</si>
  <si>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</si>
  <si>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</si>
  <si>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</si>
  <si>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</si>
  <si>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</si>
  <si>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</si>
  <si>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</si>
  <si>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</si>
  <si>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</si>
  <si>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</si>
  <si>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</si>
  <si>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</si>
  <si>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</si>
  <si>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</si>
  <si>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</si>
  <si>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</si>
  <si>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</si>
  <si>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</si>
  <si>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</si>
  <si>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</si>
  <si>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</si>
  <si>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</si>
  <si>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</si>
  <si>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</si>
  <si>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</si>
  <si>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</si>
  <si>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</si>
  <si>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</si>
  <si>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</si>
  <si>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</si>
  <si>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</si>
  <si>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</si>
  <si>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</si>
  <si>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</si>
  <si>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</si>
  <si>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</si>
  <si>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</si>
  <si>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</si>
  <si>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</si>
  <si>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</si>
  <si>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</si>
  <si>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</si>
  <si>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</si>
  <si>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</si>
  <si>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</si>
  <si>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</si>
  <si>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</si>
  <si>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</si>
  <si>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</si>
  <si>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</si>
  <si>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</si>
  <si>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</si>
  <si>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</si>
  <si>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</si>
  <si>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</si>
  <si>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</si>
  <si>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</si>
  <si>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</si>
  <si>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</si>
  <si>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</si>
  <si>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</si>
  <si>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</si>
  <si>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</si>
  <si>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</si>
  <si>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</si>
  <si>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</si>
  <si>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</si>
  <si>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</si>
  <si>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</si>
  <si>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</si>
  <si>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</si>
  <si>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</si>
  <si>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</si>
  <si>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</si>
  <si>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</si>
  <si>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</si>
  <si>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</si>
  <si>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</si>
  <si>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</si>
  <si>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</si>
  <si>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</si>
  <si>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</si>
  <si>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</si>
  <si>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</si>
  <si>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</si>
  <si>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</si>
  <si>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</si>
  <si>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</si>
  <si>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</si>
  <si>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</si>
  <si>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</si>
  <si>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</si>
  <si>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</si>
  <si>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</si>
  <si>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</si>
  <si>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</si>
  <si>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</si>
  <si>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</si>
  <si>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</si>
  <si>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</si>
  <si>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</si>
  <si>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</si>
  <si>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</si>
  <si>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</si>
  <si>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</si>
  <si>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</si>
  <si>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</si>
  <si>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</si>
  <si>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</si>
  <si>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</si>
  <si>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</si>
  <si>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</si>
  <si>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</si>
  <si>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</si>
  <si>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</si>
  <si>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</si>
  <si>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</si>
  <si>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</si>
  <si>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</si>
  <si>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</si>
  <si>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</si>
  <si>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</si>
  <si>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</si>
  <si>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</si>
  <si>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</si>
  <si>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</si>
  <si>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</si>
  <si>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</si>
  <si>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</si>
  <si>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</si>
  <si>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</si>
  <si>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</si>
  <si>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</si>
  <si>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</si>
  <si>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</si>
  <si>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</si>
  <si>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</si>
  <si>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</si>
  <si>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</si>
  <si>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</si>
  <si>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</si>
  <si>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</si>
  <si>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</si>
  <si>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</si>
  <si>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</si>
  <si>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</si>
  <si>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</si>
  <si>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</si>
  <si>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</si>
  <si>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</si>
  <si>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</si>
  <si>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</si>
  <si>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</si>
  <si>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</si>
  <si>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</si>
  <si>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</si>
  <si>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</si>
  <si>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</si>
  <si>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</si>
  <si>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</si>
  <si>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</si>
  <si>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</si>
  <si>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</si>
  <si>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</si>
  <si>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</si>
  <si>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</si>
  <si>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</si>
  <si>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</si>
  <si>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</si>
  <si>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</si>
  <si>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</si>
  <si>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</si>
  <si>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</si>
  <si>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</si>
  <si>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</si>
  <si>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</si>
  <si>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</si>
  <si>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</si>
  <si>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</si>
  <si>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</si>
  <si>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</si>
  <si>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</si>
  <si>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</si>
  <si>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</si>
  <si>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</si>
  <si>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</si>
  <si>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</si>
  <si>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</si>
  <si>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</si>
  <si>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</si>
  <si>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</si>
  <si>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</si>
  <si>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</si>
  <si>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</si>
  <si>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</si>
  <si>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</si>
  <si>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</si>
  <si>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</si>
  <si>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</si>
  <si>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</si>
  <si>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</si>
  <si>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</si>
  <si>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</si>
  <si>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</si>
  <si>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</si>
  <si>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</si>
  <si>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</si>
  <si>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</si>
  <si>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</si>
  <si>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</si>
  <si>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</si>
  <si>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</si>
  <si>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</si>
  <si>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</si>
  <si>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</si>
  <si>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</si>
  <si>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</si>
  <si>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</si>
  <si>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</si>
  <si>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</si>
  <si>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</si>
  <si>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</si>
  <si>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</si>
  <si>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</si>
  <si>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</si>
  <si>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</si>
  <si>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</si>
  <si>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</si>
  <si>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</si>
  <si>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</si>
  <si>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</si>
  <si>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</si>
  <si>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</si>
  <si>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</si>
  <si>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</si>
  <si>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</si>
  <si>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</si>
  <si>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</si>
  <si>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</si>
  <si>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</si>
  <si>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</si>
  <si>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</si>
  <si>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</si>
  <si>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</si>
  <si>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</si>
  <si>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</si>
  <si>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</si>
  <si>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</si>
  <si>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</si>
  <si>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</si>
  <si>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</si>
  <si>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</si>
  <si>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</si>
  <si>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</si>
  <si>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</si>
  <si>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</si>
  <si>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</si>
  <si>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</si>
  <si>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</si>
  <si>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</si>
  <si>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</si>
  <si>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</si>
  <si>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</si>
  <si>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</si>
  <si>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</si>
  <si>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</si>
  <si>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</si>
  <si>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</si>
  <si>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</si>
  <si>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</si>
  <si>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</si>
  <si>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</si>
  <si>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</si>
  <si>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</si>
  <si>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</si>
  <si>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</si>
  <si>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</si>
  <si>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</si>
  <si>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</si>
  <si>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</si>
  <si>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</si>
  <si>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</si>
  <si>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</si>
  <si>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</si>
  <si>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</si>
  <si>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</si>
  <si>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</si>
  <si>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</si>
  <si>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</si>
  <si>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</si>
  <si>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</si>
  <si>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</si>
  <si>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</si>
  <si>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</si>
  <si>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</si>
  <si>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</si>
  <si>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</si>
  <si>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</si>
  <si>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</si>
  <si>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</si>
  <si>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</si>
  <si>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</si>
  <si>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</si>
  <si>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</si>
  <si>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</si>
  <si>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</si>
  <si>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</si>
  <si>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</si>
  <si>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</si>
  <si>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</si>
  <si>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</si>
  <si>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</si>
  <si>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</si>
  <si>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</si>
  <si>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</si>
  <si>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</si>
  <si>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</si>
  <si>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</si>
  <si>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</si>
  <si>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</si>
  <si>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</si>
  <si>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</si>
  <si>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</si>
  <si>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</si>
  <si>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</si>
  <si>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</si>
  <si>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</si>
  <si>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</si>
  <si>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</si>
  <si>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</si>
  <si>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</si>
  <si>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</si>
  <si>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</si>
  <si>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</si>
  <si>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</si>
  <si>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</si>
  <si>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</si>
  <si>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</si>
  <si>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</si>
  <si>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</si>
  <si>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</si>
  <si>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</si>
  <si>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</si>
  <si>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</si>
  <si>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</si>
  <si>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</si>
  <si>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</si>
  <si>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</si>
  <si>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</si>
  <si>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</si>
  <si>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</si>
  <si>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</si>
  <si>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</si>
  <si>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</si>
  <si>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</si>
  <si>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</si>
  <si>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</si>
  <si>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</si>
  <si>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</si>
  <si>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</si>
  <si>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</si>
  <si>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</si>
  <si>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</si>
  <si>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</si>
  <si>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</si>
  <si>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</si>
  <si>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</si>
  <si>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</si>
  <si>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</si>
  <si>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</si>
  <si>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</si>
  <si>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</si>
  <si>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</si>
  <si>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</si>
  <si>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</si>
  <si>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</si>
  <si>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</si>
  <si>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</si>
  <si>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</si>
  <si>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</si>
  <si>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</si>
  <si>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</si>
  <si>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</si>
  <si>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</si>
  <si>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</si>
  <si>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</si>
  <si>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</si>
  <si>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</si>
  <si>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</si>
  <si>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</si>
  <si>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</si>
  <si>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</si>
  <si>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</si>
  <si>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</si>
  <si>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</si>
  <si>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</si>
  <si>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</si>
  <si>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</si>
  <si>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</si>
  <si>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</si>
  <si>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</si>
  <si>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</si>
  <si>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</si>
  <si>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</si>
  <si>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</si>
  <si>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</si>
  <si>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</si>
  <si>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</si>
  <si>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</si>
  <si>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</si>
  <si>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</si>
  <si>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</si>
  <si>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</si>
  <si>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</si>
  <si>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</si>
  <si>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</si>
  <si>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</si>
  <si>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</si>
  <si>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</si>
  <si>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</si>
  <si>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</si>
  <si>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</si>
  <si>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</si>
  <si>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</si>
  <si>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</si>
  <si>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</si>
  <si>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</si>
  <si>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</si>
  <si>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</si>
  <si>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</si>
  <si>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</si>
  <si>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</si>
  <si>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</si>
  <si>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</si>
  <si>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</si>
  <si>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</si>
  <si>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</si>
  <si>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</si>
  <si>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</si>
  <si>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</si>
  <si>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</si>
  <si>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</si>
  <si>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</si>
  <si>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</si>
  <si>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</si>
  <si>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</si>
  <si>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</si>
  <si>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</si>
  <si>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</si>
  <si>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</si>
  <si>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</si>
  <si>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</si>
  <si>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</si>
  <si>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</si>
  <si>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</si>
  <si>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</si>
  <si>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</si>
  <si>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</si>
  <si>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</si>
  <si>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</si>
  <si>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</si>
  <si>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</si>
  <si>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</si>
  <si>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</si>
  <si>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</si>
  <si>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</si>
  <si>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</si>
  <si>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</si>
  <si>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</si>
  <si>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</si>
  <si>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</si>
  <si>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</si>
  <si>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</si>
  <si>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</si>
  <si>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</si>
  <si>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</si>
  <si>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</si>
  <si>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</si>
  <si>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</si>
  <si>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</si>
  <si>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</si>
  <si>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</si>
  <si>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</si>
  <si>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</si>
  <si>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</si>
  <si>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</si>
  <si>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</si>
  <si>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</si>
  <si>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</si>
  <si>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</si>
  <si>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</si>
  <si>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</si>
  <si>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</si>
  <si>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</si>
  <si>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</si>
  <si>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</si>
  <si>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</si>
  <si>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</si>
  <si>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</si>
  <si>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</si>
  <si>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</si>
  <si>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</si>
  <si>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</si>
  <si>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</si>
  <si>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</si>
  <si>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</si>
  <si>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</si>
  <si>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</si>
  <si>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</si>
  <si>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</si>
  <si>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</si>
  <si>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</si>
  <si>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</si>
  <si>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</si>
  <si>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</si>
  <si>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</si>
  <si>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</si>
  <si>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</si>
  <si>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</si>
  <si>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</si>
  <si>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</si>
  <si>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</si>
  <si>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</si>
  <si>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</si>
  <si>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</si>
  <si>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</si>
  <si>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</si>
  <si>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</si>
  <si>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</si>
  <si>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</si>
  <si>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</si>
  <si>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</si>
  <si>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</si>
  <si>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</si>
  <si>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</si>
  <si>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</si>
  <si>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</si>
  <si>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</si>
  <si>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</si>
  <si>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</si>
  <si>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</si>
  <si>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</si>
  <si>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</si>
  <si>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</si>
  <si>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</si>
  <si>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</si>
  <si>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</si>
  <si>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</si>
  <si>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</si>
  <si>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</si>
  <si>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</si>
  <si>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</si>
  <si>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</si>
  <si>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</si>
  <si>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</si>
  <si>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</si>
  <si>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</si>
  <si>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</si>
  <si>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</si>
  <si>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</si>
  <si>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</si>
  <si>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</si>
  <si>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</si>
  <si>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</si>
  <si>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</si>
  <si>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</si>
  <si>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</si>
  <si>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</si>
  <si>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</si>
  <si>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</si>
  <si>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</si>
  <si>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</si>
  <si>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</si>
  <si>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</si>
  <si>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</si>
  <si>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</si>
  <si>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</si>
  <si>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</si>
  <si>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</si>
  <si>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</si>
  <si>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</si>
  <si>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</si>
  <si>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</si>
  <si>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</si>
  <si>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</si>
  <si>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</si>
  <si>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</si>
  <si>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</si>
  <si>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</si>
  <si>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</si>
  <si>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</si>
  <si>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</si>
  <si>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</si>
  <si>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</si>
  <si>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</si>
  <si>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</si>
  <si>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</si>
  <si>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</si>
  <si>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</si>
  <si>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</si>
  <si>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</si>
  <si>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</si>
  <si>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</si>
  <si>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</si>
  <si>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</si>
  <si>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</si>
  <si>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</si>
  <si>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</si>
  <si>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</si>
  <si>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</si>
  <si>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</si>
  <si>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</si>
  <si>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</si>
  <si>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</si>
  <si>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</si>
  <si>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</si>
  <si>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</si>
  <si>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</si>
  <si>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MACO Properties, LLC</t>
  </si>
  <si>
    <t>111 North Main St.</t>
  </si>
  <si>
    <t>Clarkton</t>
  </si>
  <si>
    <t>Jason Maddox</t>
  </si>
  <si>
    <t>Manager</t>
  </si>
  <si>
    <t>jason@macocompanies.com</t>
  </si>
  <si>
    <t>Affordable Equity Partners, Inc.</t>
  </si>
  <si>
    <t>206 Peach Way</t>
  </si>
  <si>
    <t>Jeffrey E. Smith</t>
  </si>
  <si>
    <t>President</t>
  </si>
  <si>
    <t>bkimes@aepartners.com</t>
  </si>
  <si>
    <t>MACO Development Company, LLC.</t>
  </si>
  <si>
    <t>Fairway Construction Co., Inc.</t>
  </si>
  <si>
    <t>Fairway Management</t>
  </si>
  <si>
    <t>3290 Northside Parkway, Suite 330</t>
  </si>
  <si>
    <t>VanMatre, Harrison, Hollis, Taylor, and Bacon, P.C.</t>
  </si>
  <si>
    <t>1103 East Broadway</t>
  </si>
  <si>
    <t>Baird, Kurtz and Dobson</t>
  </si>
  <si>
    <t>901 St. Louis St.</t>
  </si>
  <si>
    <t>No</t>
  </si>
  <si>
    <t>Yes</t>
  </si>
  <si>
    <t>For Profit</t>
  </si>
  <si>
    <t>Sterling Bank</t>
  </si>
  <si>
    <t>Partner Equity</t>
  </si>
  <si>
    <t>DDA/QCT</t>
  </si>
  <si>
    <t>Misc. Admin Costs &amp; Vacant Unit Prep</t>
  </si>
  <si>
    <t>Cable TV/Internet</t>
  </si>
  <si>
    <t>Davidson Senior Manor, LP</t>
  </si>
  <si>
    <t>awinter@fairwaymanagement.com</t>
  </si>
  <si>
    <t>Tom Harrison</t>
  </si>
  <si>
    <t>Partner</t>
  </si>
  <si>
    <t>tom@vanmatre.com</t>
  </si>
  <si>
    <t>Martin Riley Associates Architects</t>
  </si>
  <si>
    <t>215 Church St, Suite 200</t>
  </si>
  <si>
    <t>Mike Riley</t>
  </si>
  <si>
    <t>Vice President</t>
  </si>
  <si>
    <t>mriley@martinriley.com</t>
  </si>
  <si>
    <t>Davidson Senior Manor</t>
  </si>
  <si>
    <t>1102 Telfair St.</t>
  </si>
  <si>
    <t>City of Augusta</t>
  </si>
  <si>
    <t>Deke Copenhaver</t>
  </si>
  <si>
    <t>Mayor</t>
  </si>
  <si>
    <t>knixon@augustaga.gov</t>
  </si>
  <si>
    <t>530 Greene St</t>
  </si>
  <si>
    <t>http://www.augustaga.gov/</t>
  </si>
  <si>
    <t>HFOP</t>
  </si>
  <si>
    <t>MF</t>
  </si>
  <si>
    <t>Augusta Housing Authority</t>
  </si>
  <si>
    <t>Earth Craft Communities</t>
  </si>
  <si>
    <t>QCT &amp; Revitalization Plan</t>
  </si>
  <si>
    <t>Agree</t>
  </si>
  <si>
    <t>Pass</t>
  </si>
  <si>
    <t>PA 13-75</t>
  </si>
  <si>
    <t>1  Jason Maddox</t>
  </si>
  <si>
    <t>ichomat@fairwayconstruction.net</t>
  </si>
  <si>
    <t>An identity of interest exists between the GP and Developer.  An identity of interest also exists between the Federal Limited Partner, State Limited Partner, Management Company, and General Contractor.</t>
  </si>
  <si>
    <t>Friends on a Mission Outreach, Inc.</t>
  </si>
  <si>
    <t>Amortizing</t>
  </si>
  <si>
    <t>MACO Development Company, LLC</t>
  </si>
  <si>
    <t>3+ Story</t>
  </si>
  <si>
    <t xml:space="preserve">Holiday and semi-monthly birthday parties, pot luck dinners </t>
  </si>
  <si>
    <t>Computer training, aerobics classes</t>
  </si>
  <si>
    <t>Contract/Option</t>
  </si>
  <si>
    <t>Georgia Power</t>
  </si>
  <si>
    <t>Please see Tab 13 for government and community support documentation.</t>
  </si>
  <si>
    <t>Room</t>
  </si>
  <si>
    <t>Covered Porch</t>
  </si>
  <si>
    <t>On-site laundry</t>
  </si>
  <si>
    <t>Computer Center</t>
  </si>
  <si>
    <t>Fitness Center</t>
  </si>
  <si>
    <t>Qualified without Conditions</t>
  </si>
  <si>
    <t>Per Q&amp;A Posting #7, Question 2, only the Qualification Determination is required for the application binder.  The answer to question B-D above are "No" relating to the final application binder, but all required info was submitted in the pre-application Performance Workbook.  There has been no change to the organizational structure since pre-application.</t>
  </si>
  <si>
    <t xml:space="preserve">Davidson Senior Manor is a proposed 48 unit development consisting of 19 one-bedroom units and 29 two-bedroom units located at the intersection of Telfair Street and 11th Street in downtown Augusta. The development is intended as an age 55+ Housing for Older Persons (HFOP) community restricted to a resident base for households making at or below 50% and 60% of the AMI. The building will be four stories, all new construction, and have many design features, services, and amenities for HFOP households. 
The proposed site is located within walking distance to the Central Business District, Central Medical District, and the Augusta Canal National Heritage Area. The development amenities will include washer and dryer hookups and an Energy Star appliance package in each unit, community rooms and gathering areas for socializing, an equipped computer center, and an equipped fitness room. The development will certify as a Southface Earthcraft Multifamily Development.
The development will qualify for full previous project points as there have been no similar developments in Augusta in several years and no LIHTC developments within a two-mile radius of this downtown Augusta development in five plus years. Market conditions in Augusta indicate that the development will be a sound investment of the DCA Affordable Housing Resources.
</t>
  </si>
  <si>
    <t>There is a bus stop adjacent to the site.  Please see Tab 26.</t>
  </si>
  <si>
    <t>Please see Tab 25.</t>
  </si>
  <si>
    <t>Please see Tab 28 for Earthcraft Communities, and Earthcraft MF documentation.</t>
  </si>
  <si>
    <t>Loan Fee</t>
  </si>
  <si>
    <t>Laney Walker Enterprise Zone</t>
  </si>
  <si>
    <t>The site is located within the Laney Walker Enterprise Zone, and is in a QCT.</t>
  </si>
  <si>
    <t>Please see Tab 30 for a map illustrating the 2-mile radius.</t>
  </si>
  <si>
    <t>Please see Tab 5 for a market study provided by Novogradac &amp; Company.</t>
  </si>
  <si>
    <t>The applicant agrees to waive the right to a qualified contract for 5 years.</t>
  </si>
  <si>
    <t>The applicant agrees to accept PBRA for up to 15% of the units.</t>
  </si>
  <si>
    <t>Please see Tab 18 for the Qualification Determination.</t>
  </si>
  <si>
    <t>* To all applicants: please provide methodology for determining applicable construction hard costs.  
Please see Tab 15 for a SOV supporting construction costs.
There is a formula error relating to the Rent Up Reserves above.  The number in the development cost budget is correct per QAP guidelines.
The $15,000 Loan Fee in the development budget relates to the loan from Friends on a Mission Outreach, Inc.</t>
  </si>
  <si>
    <t>Please see Tab 1 for a financing commitment for a construction and perm loan from Friends on a Mission Outreach, Inc.  The commitment is for less than AFR and meets all requirements of the QAP.</t>
  </si>
  <si>
    <t>GEC</t>
  </si>
  <si>
    <t>Railway Noise, Aircraft Noise, Roadway Noise</t>
  </si>
  <si>
    <t>The environmental report indicates no State Waters are on site.  However, there is a canal adjacent to the property, so the conceptual site plan included in Tab 16 shows a 100' impervious surface buffer.  Please see Tab 7 for the environmental report.</t>
  </si>
  <si>
    <t>Novogradac &amp; Company, LLP</t>
  </si>
  <si>
    <t>3 months</t>
  </si>
  <si>
    <t>Please see Tab 5 for the market study.</t>
  </si>
  <si>
    <t>Waiver of Qualified Contract Cert</t>
  </si>
  <si>
    <t>2013-036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</si>
</sst>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3">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82" xfId="0" applyFont="1" applyFill="1" applyBorder="1" applyAlignment="1" applyProtection="1">
      <alignment horizontal="left" vertical="center"/>
    </xf>
    <xf numFmtId="0" fontId="3" fillId="5" borderId="86" xfId="0" applyFont="1" applyFill="1" applyBorder="1" applyAlignment="1" applyProtection="1">
      <alignment horizontal="left" vertical="center"/>
    </xf>
    <xf numFmtId="0" fontId="3" fillId="5" borderId="83"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Davidson Senior Manor,  Augusta,  Richmond County</v>
      </c>
      <c r="B1" s="1168"/>
      <c r="C1" s="1168"/>
      <c r="D1" s="1168"/>
      <c r="E1" s="1168"/>
      <c r="F1" s="1168"/>
      <c r="G1" s="1168"/>
      <c r="H1" s="1168"/>
      <c r="I1" s="1168"/>
      <c r="J1" s="1168"/>
      <c r="K1" s="1168"/>
      <c r="L1" s="1169"/>
    </row>
    <row r="2" spans="1:12" ht="26.25" customHeight="1">
      <c r="A2" s="1171" t="s">
        <v>3974</v>
      </c>
      <c r="B2" s="1171"/>
      <c r="C2" s="1171"/>
      <c r="D2" s="1171"/>
      <c r="E2" s="1171"/>
      <c r="F2" s="1171"/>
      <c r="G2" s="1171"/>
      <c r="H2" s="1171"/>
      <c r="I2" s="1171"/>
      <c r="J2" s="1171"/>
      <c r="K2" s="1171"/>
      <c r="L2" s="1171"/>
    </row>
    <row r="3" spans="1:12" s="1178" customFormat="1" ht="12" customHeight="1">
      <c r="A3" s="1173" t="s">
        <v>3778</v>
      </c>
      <c r="B3" s="1174"/>
      <c r="C3" s="1174"/>
      <c r="D3" s="1174"/>
      <c r="E3" s="1175" t="s">
        <v>3779</v>
      </c>
      <c r="F3" s="1176"/>
      <c r="G3" s="1176"/>
      <c r="H3" s="1176"/>
      <c r="I3" s="1177"/>
      <c r="J3" s="1176"/>
      <c r="K3" s="1176"/>
      <c r="L3" s="1175" t="s">
        <v>3780</v>
      </c>
    </row>
    <row r="4" spans="1:12" s="1178" customFormat="1" ht="12.75" thickBot="1">
      <c r="A4" s="1179"/>
      <c r="B4" s="1180" t="s">
        <v>3781</v>
      </c>
      <c r="C4" s="1180"/>
      <c r="D4" s="1180"/>
      <c r="E4" s="1181"/>
      <c r="F4" s="1180" t="s">
        <v>4003</v>
      </c>
      <c r="G4" s="1182"/>
      <c r="H4" s="1182"/>
      <c r="I4" s="1180" t="s">
        <v>3782</v>
      </c>
      <c r="J4" s="1182"/>
      <c r="K4" s="1182"/>
      <c r="L4" s="1181"/>
    </row>
    <row r="5" spans="1:12" s="1186" customFormat="1">
      <c r="A5" s="1183"/>
      <c r="B5" s="1184"/>
      <c r="C5" s="1184"/>
      <c r="D5" s="1184"/>
      <c r="E5" s="1185"/>
      <c r="F5" s="1186" t="s">
        <v>3783</v>
      </c>
      <c r="I5" s="1187"/>
      <c r="L5" s="1188" t="s">
        <v>4088</v>
      </c>
    </row>
    <row r="6" spans="1:12" s="1186" customFormat="1" ht="12" customHeight="1">
      <c r="A6" s="1189" t="s">
        <v>3784</v>
      </c>
      <c r="B6" s="1184" t="s">
        <v>1866</v>
      </c>
      <c r="C6" s="1184"/>
      <c r="D6" s="1184"/>
      <c r="E6" s="1190" t="s">
        <v>3784</v>
      </c>
      <c r="F6" s="1186" t="s">
        <v>3970</v>
      </c>
      <c r="I6" s="1187"/>
      <c r="L6" s="1191" t="s">
        <v>4088</v>
      </c>
    </row>
    <row r="7" spans="1:12" s="1186" customFormat="1" ht="12" customHeight="1">
      <c r="A7" s="1183"/>
      <c r="B7" s="1184"/>
      <c r="C7" s="1184"/>
      <c r="D7" s="1184"/>
      <c r="E7" s="1192" t="s">
        <v>3611</v>
      </c>
      <c r="F7" s="1186" t="s">
        <v>3785</v>
      </c>
      <c r="I7" s="1187"/>
      <c r="L7" s="1191" t="s">
        <v>4088</v>
      </c>
    </row>
    <row r="8" spans="1:12" s="1186" customFormat="1" ht="12" customHeight="1">
      <c r="A8" s="1183"/>
      <c r="B8" s="1184"/>
      <c r="C8" s="1184"/>
      <c r="D8" s="1184"/>
      <c r="E8" s="1192" t="s">
        <v>3609</v>
      </c>
      <c r="F8" s="1186" t="s">
        <v>554</v>
      </c>
      <c r="I8" s="1187"/>
      <c r="L8" s="1191" t="s">
        <v>4087</v>
      </c>
    </row>
    <row r="9" spans="1:12" s="1186" customFormat="1" ht="12" customHeight="1">
      <c r="A9" s="1183"/>
      <c r="B9" s="1184"/>
      <c r="C9" s="1184"/>
      <c r="D9" s="1184"/>
      <c r="E9" s="1192" t="s">
        <v>3610</v>
      </c>
      <c r="F9" s="1186" t="s">
        <v>3579</v>
      </c>
      <c r="I9" s="1187"/>
      <c r="L9" s="1191" t="s">
        <v>4088</v>
      </c>
    </row>
    <row r="10" spans="1:12" s="1186" customFormat="1" ht="12" customHeight="1">
      <c r="A10" s="1183"/>
      <c r="B10" s="1184"/>
      <c r="C10" s="1184"/>
      <c r="D10" s="1184"/>
      <c r="E10" s="1192" t="s">
        <v>3612</v>
      </c>
      <c r="F10" s="1186" t="s">
        <v>3599</v>
      </c>
      <c r="I10" s="1187"/>
      <c r="J10" s="1193"/>
      <c r="L10" s="1191" t="s">
        <v>4088</v>
      </c>
    </row>
    <row r="11" spans="1:12" s="1186" customFormat="1" ht="12" customHeight="1">
      <c r="A11" s="1183"/>
      <c r="B11" s="1184"/>
      <c r="C11" s="1184"/>
      <c r="D11" s="1184"/>
      <c r="E11" s="1192" t="s">
        <v>3613</v>
      </c>
      <c r="F11" s="1186" t="s">
        <v>3786</v>
      </c>
      <c r="I11" s="1187"/>
      <c r="J11" s="1193"/>
      <c r="L11" s="1194" t="s">
        <v>4087</v>
      </c>
    </row>
    <row r="12" spans="1:12" s="1186" customFormat="1" ht="12" customHeight="1">
      <c r="A12" s="1183"/>
      <c r="B12" s="1184"/>
      <c r="C12" s="1184"/>
      <c r="D12" s="1184"/>
      <c r="E12" s="1195" t="s">
        <v>3614</v>
      </c>
      <c r="F12" s="1186" t="s">
        <v>3972</v>
      </c>
      <c r="I12" s="1187"/>
      <c r="J12" s="1193"/>
      <c r="L12" s="1194" t="s">
        <v>4088</v>
      </c>
    </row>
    <row r="13" spans="1:12" s="1186" customFormat="1" ht="12" customHeight="1">
      <c r="A13" s="1196" t="s">
        <v>3787</v>
      </c>
      <c r="B13" s="1196"/>
      <c r="C13" s="1196"/>
      <c r="D13" s="1196"/>
      <c r="E13" s="1196"/>
      <c r="F13" s="1196"/>
      <c r="G13" s="1196"/>
      <c r="H13" s="1196"/>
      <c r="I13" s="1196"/>
      <c r="J13" s="1196"/>
      <c r="K13" s="1196"/>
      <c r="L13" s="1196"/>
    </row>
    <row r="14" spans="1:12" s="1186" customFormat="1" ht="12" customHeight="1">
      <c r="A14" s="1197" t="s">
        <v>3611</v>
      </c>
      <c r="B14" s="1198" t="s">
        <v>4034</v>
      </c>
      <c r="C14" s="1198"/>
      <c r="D14" s="1199" t="s">
        <v>4035</v>
      </c>
      <c r="E14" s="1190" t="s">
        <v>3611</v>
      </c>
      <c r="F14" s="1186" t="s">
        <v>3788</v>
      </c>
      <c r="I14" s="1187"/>
      <c r="J14" s="1193"/>
      <c r="L14" s="1191" t="s">
        <v>4088</v>
      </c>
    </row>
    <row r="15" spans="1:12" s="1186" customFormat="1" ht="12" customHeight="1">
      <c r="A15" s="1183"/>
      <c r="C15" s="1200"/>
      <c r="D15" s="1184" t="s">
        <v>3789</v>
      </c>
      <c r="E15" s="1192" t="s">
        <v>3609</v>
      </c>
      <c r="F15" s="1201" t="s">
        <v>3790</v>
      </c>
      <c r="G15" s="1201"/>
      <c r="H15" s="1201"/>
      <c r="I15" s="1202" t="s">
        <v>3934</v>
      </c>
      <c r="J15" s="1203" t="s">
        <v>3935</v>
      </c>
      <c r="K15" s="1203" t="s">
        <v>3939</v>
      </c>
      <c r="L15" s="1191" t="s">
        <v>4087</v>
      </c>
    </row>
    <row r="16" spans="1:12" s="1186" customFormat="1" ht="12" customHeight="1">
      <c r="A16" s="1183"/>
      <c r="C16" s="1200"/>
      <c r="D16" s="1184"/>
      <c r="E16" s="1192"/>
      <c r="F16" s="1201"/>
      <c r="G16" s="1201"/>
      <c r="H16" s="1201"/>
      <c r="I16" s="1202" t="s">
        <v>3936</v>
      </c>
      <c r="J16" s="1203" t="s">
        <v>2698</v>
      </c>
      <c r="K16" s="1203" t="s">
        <v>3940</v>
      </c>
    </row>
    <row r="17" spans="1:12" s="1186" customFormat="1" ht="12" customHeight="1">
      <c r="A17" s="1183"/>
      <c r="C17" s="1200"/>
      <c r="D17" s="1184"/>
      <c r="E17" s="1192"/>
      <c r="F17" s="1201"/>
      <c r="G17" s="1201"/>
      <c r="H17" s="1201"/>
      <c r="I17" s="1202" t="s">
        <v>3796</v>
      </c>
      <c r="J17" s="1203" t="s">
        <v>3937</v>
      </c>
      <c r="K17" s="1203" t="s">
        <v>565</v>
      </c>
    </row>
    <row r="18" spans="1:12" s="1186" customFormat="1" ht="23.25" customHeight="1">
      <c r="A18" s="1183"/>
      <c r="C18" s="1200"/>
      <c r="D18" s="1184"/>
      <c r="E18" s="1192"/>
      <c r="F18" s="1201"/>
      <c r="G18" s="1201"/>
      <c r="H18" s="1201"/>
      <c r="I18" s="1202" t="s">
        <v>3796</v>
      </c>
      <c r="J18" s="1203" t="s">
        <v>3938</v>
      </c>
      <c r="K18" s="1203" t="s">
        <v>565</v>
      </c>
    </row>
    <row r="19" spans="1:12" s="1186" customFormat="1" ht="12" customHeight="1">
      <c r="A19" s="1183"/>
      <c r="C19" s="1200"/>
      <c r="D19" s="1184" t="s">
        <v>3791</v>
      </c>
      <c r="E19" s="1192" t="s">
        <v>3610</v>
      </c>
      <c r="F19" s="1193" t="s">
        <v>3979</v>
      </c>
      <c r="G19" s="1204"/>
      <c r="H19" s="1204"/>
      <c r="I19" s="1202"/>
      <c r="J19" s="1203"/>
      <c r="L19" s="1191" t="s">
        <v>4088</v>
      </c>
    </row>
    <row r="20" spans="1:12" s="1186" customFormat="1" ht="12" customHeight="1">
      <c r="A20" s="1183"/>
      <c r="C20" s="1200"/>
      <c r="D20" s="1184"/>
      <c r="E20" s="1205"/>
      <c r="F20" s="1186" t="s">
        <v>3980</v>
      </c>
      <c r="I20" s="1187"/>
      <c r="J20" s="1193"/>
      <c r="L20" s="1191" t="s">
        <v>4087</v>
      </c>
    </row>
    <row r="21" spans="1:12" s="1186" customFormat="1" ht="23.25" customHeight="1">
      <c r="A21" s="1183"/>
      <c r="C21" s="1200"/>
      <c r="D21" s="1184" t="s">
        <v>3792</v>
      </c>
      <c r="E21" s="1192" t="s">
        <v>3612</v>
      </c>
      <c r="F21" s="1186" t="s">
        <v>3981</v>
      </c>
      <c r="I21" s="1202" t="s">
        <v>3793</v>
      </c>
      <c r="J21" s="1203" t="s">
        <v>3794</v>
      </c>
      <c r="K21" s="1203" t="s">
        <v>3795</v>
      </c>
      <c r="L21" s="1191" t="s">
        <v>4088</v>
      </c>
    </row>
    <row r="22" spans="1:12" s="1186" customFormat="1" ht="12" customHeight="1">
      <c r="A22" s="1183"/>
      <c r="C22" s="1200"/>
      <c r="D22" s="1184"/>
      <c r="E22" s="1205"/>
      <c r="F22" s="1186" t="s">
        <v>3982</v>
      </c>
      <c r="I22" s="1187" t="s">
        <v>3796</v>
      </c>
      <c r="J22" s="1193" t="s">
        <v>3797</v>
      </c>
      <c r="K22" s="1186" t="s">
        <v>565</v>
      </c>
      <c r="L22" s="1191" t="s">
        <v>4087</v>
      </c>
    </row>
    <row r="23" spans="1:12" s="1186" customFormat="1" ht="12" customHeight="1">
      <c r="A23" s="1183"/>
      <c r="C23" s="1200"/>
      <c r="D23" s="1184"/>
      <c r="E23" s="1205"/>
      <c r="F23" s="1186" t="s">
        <v>3983</v>
      </c>
      <c r="I23" s="1187"/>
      <c r="J23" s="1193"/>
      <c r="L23" s="1191" t="s">
        <v>4087</v>
      </c>
    </row>
    <row r="24" spans="1:12" s="1186" customFormat="1" ht="12" customHeight="1">
      <c r="A24" s="1183"/>
      <c r="C24" s="1200"/>
      <c r="D24" s="1184"/>
      <c r="E24" s="1205"/>
      <c r="F24" s="1186" t="s">
        <v>3984</v>
      </c>
      <c r="I24" s="1187"/>
      <c r="J24" s="1193"/>
      <c r="L24" s="1191" t="s">
        <v>4087</v>
      </c>
    </row>
    <row r="25" spans="1:12" s="1186" customFormat="1" ht="12" customHeight="1">
      <c r="A25" s="1183"/>
      <c r="C25" s="1200"/>
      <c r="D25" s="1184"/>
      <c r="E25" s="1205"/>
      <c r="F25" s="1186" t="s">
        <v>3985</v>
      </c>
      <c r="I25" s="1187"/>
      <c r="J25" s="1193"/>
      <c r="L25" s="1191" t="s">
        <v>4087</v>
      </c>
    </row>
    <row r="26" spans="1:12" s="1186" customFormat="1" ht="12" customHeight="1">
      <c r="A26" s="1183"/>
      <c r="C26" s="1200"/>
      <c r="D26" s="1184" t="s">
        <v>3798</v>
      </c>
      <c r="E26" s="1192" t="s">
        <v>3613</v>
      </c>
      <c r="F26" s="1186" t="s">
        <v>3986</v>
      </c>
      <c r="I26" s="1187"/>
      <c r="J26" s="1193"/>
      <c r="L26" s="1191" t="s">
        <v>4087</v>
      </c>
    </row>
    <row r="27" spans="1:12" s="1186" customFormat="1" ht="12" customHeight="1">
      <c r="A27" s="1183"/>
      <c r="B27" s="1206"/>
      <c r="C27" s="1206"/>
      <c r="D27" s="1206"/>
      <c r="E27" s="1205"/>
      <c r="F27" s="1186" t="s">
        <v>3987</v>
      </c>
      <c r="I27" s="1187"/>
      <c r="J27" s="1193"/>
      <c r="L27" s="1191" t="s">
        <v>4087</v>
      </c>
    </row>
    <row r="28" spans="1:12" s="1186" customFormat="1" ht="12" customHeight="1">
      <c r="A28" s="1183"/>
      <c r="B28" s="1206"/>
      <c r="C28" s="1206"/>
      <c r="D28" s="1206"/>
      <c r="E28" s="1205"/>
      <c r="F28" s="1186" t="s">
        <v>3988</v>
      </c>
      <c r="I28" s="1187"/>
      <c r="J28" s="1193"/>
      <c r="L28" s="1191" t="s">
        <v>4087</v>
      </c>
    </row>
    <row r="29" spans="1:12" s="1186" customFormat="1" ht="12" customHeight="1">
      <c r="A29" s="1183"/>
      <c r="B29" s="1206"/>
      <c r="C29" s="1206"/>
      <c r="D29" s="1206"/>
      <c r="E29" s="1205"/>
      <c r="F29" s="1186" t="s">
        <v>3989</v>
      </c>
      <c r="I29" s="1187"/>
      <c r="J29" s="1193"/>
      <c r="L29" s="1191" t="s">
        <v>4087</v>
      </c>
    </row>
    <row r="30" spans="1:12" s="1186" customFormat="1" ht="12" customHeight="1">
      <c r="A30" s="1183"/>
      <c r="B30" s="1206"/>
      <c r="C30" s="1206"/>
      <c r="D30" s="1206"/>
      <c r="E30" s="1192" t="s">
        <v>3614</v>
      </c>
      <c r="F30" s="1186" t="s">
        <v>3799</v>
      </c>
      <c r="I30" s="1187"/>
      <c r="J30" s="1193"/>
      <c r="L30" s="1191" t="s">
        <v>4088</v>
      </c>
    </row>
    <row r="31" spans="1:12" s="1186" customFormat="1" ht="12" customHeight="1">
      <c r="A31" s="1183"/>
      <c r="B31" s="1206"/>
      <c r="C31" s="1206"/>
      <c r="D31" s="1206"/>
      <c r="E31" s="1192" t="s">
        <v>3615</v>
      </c>
      <c r="F31" s="1186" t="s">
        <v>3800</v>
      </c>
      <c r="I31" s="1187"/>
      <c r="J31" s="1193"/>
      <c r="L31" s="1191" t="s">
        <v>4087</v>
      </c>
    </row>
    <row r="32" spans="1:12" s="1186" customFormat="1" ht="23.25" customHeight="1">
      <c r="A32" s="1207" t="s">
        <v>3609</v>
      </c>
      <c r="B32" s="1208" t="s">
        <v>3801</v>
      </c>
      <c r="C32" s="1208"/>
      <c r="D32" s="1208"/>
      <c r="E32" s="1190" t="s">
        <v>3611</v>
      </c>
      <c r="F32" s="1209" t="s">
        <v>3802</v>
      </c>
      <c r="G32" s="1209"/>
      <c r="H32" s="1209"/>
      <c r="I32" s="1210" t="s">
        <v>3803</v>
      </c>
      <c r="J32" s="1211" t="s">
        <v>3804</v>
      </c>
      <c r="K32" s="1212" t="s">
        <v>3805</v>
      </c>
      <c r="L32" s="1191" t="s">
        <v>4087</v>
      </c>
    </row>
    <row r="33" spans="1:12" s="1186" customFormat="1" ht="12" customHeight="1">
      <c r="A33" s="1183"/>
      <c r="B33" s="1184"/>
      <c r="C33" s="1184"/>
      <c r="D33" s="1184"/>
      <c r="E33" s="1192" t="s">
        <v>3609</v>
      </c>
      <c r="F33" s="1186" t="s">
        <v>3806</v>
      </c>
      <c r="I33" s="1187"/>
      <c r="J33" s="1193"/>
      <c r="L33" s="1191" t="s">
        <v>4087</v>
      </c>
    </row>
    <row r="34" spans="1:12" s="1186" customFormat="1" ht="12" customHeight="1">
      <c r="A34" s="1207" t="s">
        <v>3610</v>
      </c>
      <c r="B34" s="1208" t="s">
        <v>4036</v>
      </c>
      <c r="C34" s="1208"/>
      <c r="D34" s="1208" t="s">
        <v>3843</v>
      </c>
      <c r="E34" s="1190" t="s">
        <v>3611</v>
      </c>
      <c r="F34" s="1213" t="s">
        <v>3807</v>
      </c>
      <c r="G34" s="1213"/>
      <c r="H34" s="1213"/>
      <c r="I34" s="1210"/>
      <c r="J34" s="1211"/>
      <c r="K34" s="1212"/>
      <c r="L34" s="1191" t="s">
        <v>4087</v>
      </c>
    </row>
    <row r="35" spans="1:12" s="1186" customFormat="1" ht="12" customHeight="1">
      <c r="A35" s="1207" t="s">
        <v>3612</v>
      </c>
      <c r="B35" s="1208" t="s">
        <v>4037</v>
      </c>
      <c r="C35" s="1208"/>
      <c r="D35" s="1208" t="s">
        <v>3840</v>
      </c>
      <c r="E35" s="1190" t="s">
        <v>3611</v>
      </c>
      <c r="F35" s="1213" t="s">
        <v>3808</v>
      </c>
      <c r="G35" s="1213"/>
      <c r="H35" s="1213"/>
      <c r="I35" s="1210"/>
      <c r="J35" s="1211"/>
      <c r="K35" s="1212"/>
      <c r="L35" s="1191" t="s">
        <v>4087</v>
      </c>
    </row>
    <row r="36" spans="1:12" s="1186" customFormat="1" ht="12" customHeight="1">
      <c r="A36" s="1183"/>
      <c r="B36" s="1200"/>
      <c r="C36" s="1200"/>
      <c r="D36" s="1184" t="s">
        <v>3809</v>
      </c>
      <c r="E36" s="1192" t="s">
        <v>3609</v>
      </c>
      <c r="F36" s="1214" t="s">
        <v>3810</v>
      </c>
      <c r="I36" s="1187"/>
      <c r="J36" s="1193"/>
      <c r="L36" s="1191" t="s">
        <v>4087</v>
      </c>
    </row>
    <row r="37" spans="1:12" s="1186" customFormat="1" ht="12" customHeight="1">
      <c r="A37" s="1207" t="s">
        <v>3613</v>
      </c>
      <c r="B37" s="1208" t="s">
        <v>3811</v>
      </c>
      <c r="C37" s="1208"/>
      <c r="D37" s="1208"/>
      <c r="E37" s="1190" t="s">
        <v>3611</v>
      </c>
      <c r="F37" s="1213" t="s">
        <v>584</v>
      </c>
      <c r="G37" s="1213"/>
      <c r="H37" s="1213"/>
      <c r="I37" s="1210" t="s">
        <v>463</v>
      </c>
      <c r="J37" s="1211" t="s">
        <v>3812</v>
      </c>
      <c r="K37" s="1212" t="s">
        <v>3813</v>
      </c>
      <c r="L37" s="1191" t="s">
        <v>4088</v>
      </c>
    </row>
    <row r="38" spans="1:12" s="1186" customFormat="1" ht="12" customHeight="1">
      <c r="A38" s="1207" t="s">
        <v>3614</v>
      </c>
      <c r="B38" s="1208" t="s">
        <v>4038</v>
      </c>
      <c r="C38" s="1208"/>
      <c r="D38" s="1208" t="s">
        <v>3809</v>
      </c>
      <c r="E38" s="1190" t="s">
        <v>3611</v>
      </c>
      <c r="F38" s="1213" t="s">
        <v>3814</v>
      </c>
      <c r="G38" s="1213"/>
      <c r="H38" s="1213"/>
      <c r="I38" s="1210"/>
      <c r="J38" s="1211"/>
      <c r="K38" s="1212"/>
      <c r="L38" s="1191" t="s">
        <v>4087</v>
      </c>
    </row>
    <row r="39" spans="1:12" s="1186" customFormat="1" ht="12" customHeight="1">
      <c r="A39" s="1207" t="s">
        <v>3615</v>
      </c>
      <c r="B39" s="1208" t="s">
        <v>4039</v>
      </c>
      <c r="C39" s="1208"/>
      <c r="D39" s="1208" t="s">
        <v>4040</v>
      </c>
      <c r="E39" s="1190" t="s">
        <v>3611</v>
      </c>
      <c r="F39" s="1213" t="s">
        <v>3815</v>
      </c>
      <c r="G39" s="1213"/>
      <c r="H39" s="1213"/>
      <c r="I39" s="1210"/>
      <c r="J39" s="1211"/>
      <c r="K39" s="1212"/>
      <c r="L39" s="1191" t="s">
        <v>4087</v>
      </c>
    </row>
    <row r="40" spans="1:12" s="1186" customFormat="1" ht="12" customHeight="1">
      <c r="B40" s="1215" t="s">
        <v>4041</v>
      </c>
      <c r="C40" s="1215"/>
      <c r="D40" s="1216"/>
      <c r="E40" s="1192" t="s">
        <v>3609</v>
      </c>
      <c r="F40" s="1186" t="s">
        <v>3816</v>
      </c>
      <c r="I40" s="1187"/>
      <c r="J40" s="1193"/>
      <c r="L40" s="1191" t="s">
        <v>4088</v>
      </c>
    </row>
    <row r="41" spans="1:12" s="1186" customFormat="1" ht="12" customHeight="1">
      <c r="B41" s="1215"/>
      <c r="C41" s="1215"/>
      <c r="D41" s="1216"/>
      <c r="E41" s="1192" t="s">
        <v>3610</v>
      </c>
      <c r="F41" s="1186" t="s">
        <v>3817</v>
      </c>
      <c r="I41" s="1187"/>
      <c r="J41" s="1193"/>
      <c r="L41" s="1191" t="s">
        <v>4087</v>
      </c>
    </row>
    <row r="42" spans="1:12" s="1186" customFormat="1" ht="12" customHeight="1">
      <c r="B42" s="1215"/>
      <c r="C42" s="1215"/>
      <c r="D42" s="1183"/>
      <c r="E42" s="1217" t="s">
        <v>3612</v>
      </c>
      <c r="F42" s="1218" t="s">
        <v>3973</v>
      </c>
      <c r="G42" s="1218"/>
      <c r="H42" s="1218"/>
      <c r="I42" s="1218"/>
      <c r="J42" s="1218"/>
      <c r="K42" s="1219"/>
      <c r="L42" s="1191" t="s">
        <v>4087</v>
      </c>
    </row>
    <row r="43" spans="1:12" s="1186" customFormat="1" ht="23.25" customHeight="1">
      <c r="A43" s="1207" t="s">
        <v>3949</v>
      </c>
      <c r="B43" s="1220" t="s">
        <v>3818</v>
      </c>
      <c r="C43" s="1220"/>
      <c r="D43" s="1220"/>
      <c r="E43" s="1190" t="s">
        <v>3611</v>
      </c>
      <c r="F43" s="1221" t="s">
        <v>3819</v>
      </c>
      <c r="G43" s="1221"/>
      <c r="H43" s="1221"/>
      <c r="I43" s="1210" t="s">
        <v>3803</v>
      </c>
      <c r="J43" s="1211" t="s">
        <v>2698</v>
      </c>
      <c r="K43" s="1212" t="s">
        <v>3805</v>
      </c>
      <c r="L43" s="1191" t="s">
        <v>4088</v>
      </c>
    </row>
    <row r="44" spans="1:12" s="1186" customFormat="1" ht="12" customHeight="1">
      <c r="A44" s="1183"/>
      <c r="B44" s="1184"/>
      <c r="C44" s="1184"/>
      <c r="D44" s="1184"/>
      <c r="E44" s="1192" t="s">
        <v>3609</v>
      </c>
      <c r="F44" s="1186" t="s">
        <v>3820</v>
      </c>
      <c r="I44" s="1187"/>
      <c r="J44" s="1193"/>
      <c r="L44" s="1191" t="s">
        <v>4087</v>
      </c>
    </row>
    <row r="45" spans="1:12" s="1186" customFormat="1" ht="12" customHeight="1">
      <c r="A45" s="1183"/>
      <c r="B45" s="1184"/>
      <c r="C45" s="1184"/>
      <c r="D45" s="1184"/>
      <c r="E45" s="1192" t="s">
        <v>3610</v>
      </c>
      <c r="F45" s="1186" t="s">
        <v>3821</v>
      </c>
      <c r="I45" s="1187"/>
      <c r="J45" s="1193"/>
      <c r="L45" s="1191" t="s">
        <v>4087</v>
      </c>
    </row>
    <row r="46" spans="1:12" s="1186" customFormat="1" ht="12" customHeight="1">
      <c r="A46" s="1207" t="s">
        <v>3950</v>
      </c>
      <c r="B46" s="1208" t="s">
        <v>3822</v>
      </c>
      <c r="C46" s="1208"/>
      <c r="D46" s="1208"/>
      <c r="E46" s="1190" t="s">
        <v>3611</v>
      </c>
      <c r="F46" s="1213" t="s">
        <v>3823</v>
      </c>
      <c r="G46" s="1213"/>
      <c r="H46" s="1213"/>
      <c r="I46" s="1210"/>
      <c r="J46" s="1211"/>
      <c r="K46" s="1212"/>
      <c r="L46" s="1191" t="s">
        <v>4088</v>
      </c>
    </row>
    <row r="47" spans="1:12" s="1186" customFormat="1" ht="12" customHeight="1">
      <c r="A47" s="1222">
        <v>10</v>
      </c>
      <c r="B47" s="1208" t="s">
        <v>3824</v>
      </c>
      <c r="C47" s="1208"/>
      <c r="D47" s="1208"/>
      <c r="E47" s="1190" t="s">
        <v>3611</v>
      </c>
      <c r="F47" s="1213" t="s">
        <v>3825</v>
      </c>
      <c r="G47" s="1213"/>
      <c r="H47" s="1213"/>
      <c r="I47" s="1210"/>
      <c r="J47" s="1211"/>
      <c r="K47" s="1212"/>
      <c r="L47" s="1191" t="s">
        <v>4088</v>
      </c>
    </row>
    <row r="48" spans="1:12" s="1186" customFormat="1" ht="12" customHeight="1">
      <c r="A48" s="1183"/>
      <c r="B48" s="1184"/>
      <c r="C48" s="1184"/>
      <c r="D48" s="1184"/>
      <c r="E48" s="1192" t="s">
        <v>3609</v>
      </c>
      <c r="F48" s="1186" t="s">
        <v>3826</v>
      </c>
      <c r="I48" s="1187"/>
      <c r="J48" s="1193"/>
      <c r="L48" s="1191" t="s">
        <v>4088</v>
      </c>
    </row>
    <row r="49" spans="1:12" s="1186" customFormat="1" ht="12" customHeight="1">
      <c r="A49" s="1222">
        <v>11</v>
      </c>
      <c r="B49" s="1208" t="s">
        <v>3827</v>
      </c>
      <c r="C49" s="1208"/>
      <c r="D49" s="1208"/>
      <c r="E49" s="1190" t="s">
        <v>3611</v>
      </c>
      <c r="F49" s="1213" t="s">
        <v>3828</v>
      </c>
      <c r="G49" s="1213"/>
      <c r="H49" s="1213"/>
      <c r="I49" s="1210"/>
      <c r="J49" s="1211"/>
      <c r="K49" s="1212"/>
      <c r="L49" s="1191" t="s">
        <v>4088</v>
      </c>
    </row>
    <row r="50" spans="1:12" s="1186" customFormat="1" ht="12" customHeight="1">
      <c r="A50" s="1222">
        <v>12</v>
      </c>
      <c r="B50" s="1208" t="s">
        <v>3829</v>
      </c>
      <c r="C50" s="1208"/>
      <c r="D50" s="1208"/>
      <c r="E50" s="1190" t="s">
        <v>3611</v>
      </c>
      <c r="F50" s="1213" t="s">
        <v>3830</v>
      </c>
      <c r="G50" s="1213"/>
      <c r="H50" s="1213"/>
      <c r="I50" s="1210"/>
      <c r="J50" s="1211"/>
      <c r="K50" s="1212"/>
      <c r="L50" s="1191" t="s">
        <v>4088</v>
      </c>
    </row>
    <row r="51" spans="1:12" s="1186" customFormat="1" ht="12" customHeight="1">
      <c r="A51" s="1183"/>
      <c r="B51" s="1184"/>
      <c r="C51" s="1184"/>
      <c r="D51" s="1184"/>
      <c r="E51" s="1192" t="s">
        <v>3609</v>
      </c>
      <c r="F51" s="1186" t="s">
        <v>3831</v>
      </c>
      <c r="I51" s="1187"/>
      <c r="J51" s="1193"/>
      <c r="L51" s="1191" t="s">
        <v>4087</v>
      </c>
    </row>
    <row r="52" spans="1:12" s="1186" customFormat="1" ht="12" customHeight="1">
      <c r="A52" s="1183"/>
      <c r="B52" s="1184"/>
      <c r="C52" s="1184"/>
      <c r="D52" s="1184"/>
      <c r="E52" s="1192" t="s">
        <v>3610</v>
      </c>
      <c r="F52" s="1186" t="s">
        <v>3832</v>
      </c>
      <c r="I52" s="1187"/>
      <c r="J52" s="1193"/>
      <c r="L52" s="1191" t="s">
        <v>4087</v>
      </c>
    </row>
    <row r="53" spans="1:12" s="1186" customFormat="1" ht="12" customHeight="1">
      <c r="A53" s="1222">
        <v>13</v>
      </c>
      <c r="B53" s="1208" t="s">
        <v>3833</v>
      </c>
      <c r="C53" s="1208"/>
      <c r="D53" s="1208"/>
      <c r="E53" s="1190" t="s">
        <v>3611</v>
      </c>
      <c r="F53" s="1213" t="s">
        <v>3834</v>
      </c>
      <c r="G53" s="1213"/>
      <c r="H53" s="1213"/>
      <c r="I53" s="1210"/>
      <c r="J53" s="1211"/>
      <c r="K53" s="1212"/>
      <c r="L53" s="1191" t="s">
        <v>4088</v>
      </c>
    </row>
    <row r="54" spans="1:12" s="1186" customFormat="1" ht="12" customHeight="1">
      <c r="A54" s="1183"/>
      <c r="B54" s="1184"/>
      <c r="C54" s="1184"/>
      <c r="D54" s="1184"/>
      <c r="E54" s="1192" t="s">
        <v>3609</v>
      </c>
      <c r="F54" s="1186" t="s">
        <v>3835</v>
      </c>
      <c r="I54" s="1187"/>
      <c r="J54" s="1193"/>
      <c r="L54" s="1191" t="s">
        <v>4088</v>
      </c>
    </row>
    <row r="55" spans="1:12" s="1186" customFormat="1" ht="12" customHeight="1">
      <c r="A55" s="1222">
        <v>14</v>
      </c>
      <c r="B55" s="1208" t="s">
        <v>3836</v>
      </c>
      <c r="C55" s="1208"/>
      <c r="D55" s="1208"/>
      <c r="E55" s="1190" t="s">
        <v>3611</v>
      </c>
      <c r="F55" s="1213" t="s">
        <v>3837</v>
      </c>
      <c r="G55" s="1213"/>
      <c r="H55" s="1213"/>
      <c r="I55" s="1210"/>
      <c r="J55" s="1211"/>
      <c r="K55" s="1212"/>
      <c r="L55" s="1191" t="s">
        <v>4087</v>
      </c>
    </row>
    <row r="56" spans="1:12" s="1186" customFormat="1" ht="12" customHeight="1">
      <c r="A56" s="1222">
        <v>15</v>
      </c>
      <c r="B56" s="1208" t="s">
        <v>3838</v>
      </c>
      <c r="C56" s="1208"/>
      <c r="D56" s="1208"/>
      <c r="E56" s="1190" t="s">
        <v>3611</v>
      </c>
      <c r="F56" s="1213" t="s">
        <v>3839</v>
      </c>
      <c r="G56" s="1213"/>
      <c r="H56" s="1213"/>
      <c r="I56" s="1210"/>
      <c r="J56" s="1211"/>
      <c r="K56" s="1212"/>
      <c r="L56" s="1191" t="s">
        <v>4088</v>
      </c>
    </row>
    <row r="57" spans="1:12" s="1186" customFormat="1" ht="12" customHeight="1">
      <c r="A57" s="1183"/>
      <c r="B57" s="1200"/>
      <c r="C57" s="1200"/>
      <c r="D57" s="1184" t="s">
        <v>3840</v>
      </c>
      <c r="E57" s="1192" t="s">
        <v>3609</v>
      </c>
      <c r="F57" s="1186" t="s">
        <v>3841</v>
      </c>
      <c r="I57" s="1187"/>
      <c r="J57" s="1193"/>
      <c r="L57" s="1191" t="s">
        <v>4087</v>
      </c>
    </row>
    <row r="58" spans="1:12" s="1186" customFormat="1" ht="12" customHeight="1">
      <c r="A58" s="1183"/>
      <c r="B58" s="1200"/>
      <c r="C58" s="1200"/>
      <c r="D58" s="1184" t="s">
        <v>3809</v>
      </c>
      <c r="E58" s="1192" t="s">
        <v>3610</v>
      </c>
      <c r="F58" s="1186" t="s">
        <v>3842</v>
      </c>
      <c r="I58" s="1187"/>
      <c r="J58" s="1193"/>
      <c r="L58" s="1191" t="s">
        <v>4087</v>
      </c>
    </row>
    <row r="59" spans="1:12" s="1186" customFormat="1" ht="12" customHeight="1">
      <c r="A59" s="1183"/>
      <c r="B59" s="1200"/>
      <c r="C59" s="1200"/>
      <c r="D59" s="1184" t="s">
        <v>3843</v>
      </c>
      <c r="E59" s="1192" t="s">
        <v>3612</v>
      </c>
      <c r="F59" s="1186" t="s">
        <v>3844</v>
      </c>
      <c r="I59" s="1187"/>
      <c r="J59" s="1193"/>
      <c r="L59" s="1191" t="s">
        <v>4087</v>
      </c>
    </row>
    <row r="60" spans="1:12" s="1186" customFormat="1" ht="12" customHeight="1">
      <c r="A60" s="1222">
        <v>16</v>
      </c>
      <c r="B60" s="1223" t="s">
        <v>3845</v>
      </c>
      <c r="C60" s="1223"/>
      <c r="D60" s="1208"/>
      <c r="E60" s="1190" t="s">
        <v>3611</v>
      </c>
      <c r="F60" s="1213" t="s">
        <v>3846</v>
      </c>
      <c r="G60" s="1213"/>
      <c r="H60" s="1213"/>
      <c r="I60" s="1210"/>
      <c r="J60" s="1211"/>
      <c r="K60" s="1212"/>
      <c r="L60" s="1191" t="s">
        <v>4088</v>
      </c>
    </row>
    <row r="61" spans="1:12" s="1186" customFormat="1" ht="12" customHeight="1">
      <c r="A61" s="1183"/>
      <c r="B61" s="1224"/>
      <c r="C61" s="1224"/>
      <c r="D61" s="1184"/>
      <c r="E61" s="1192" t="s">
        <v>3609</v>
      </c>
      <c r="F61" s="1186" t="s">
        <v>3847</v>
      </c>
      <c r="I61" s="1187"/>
      <c r="J61" s="1193"/>
      <c r="L61" s="1191" t="s">
        <v>4088</v>
      </c>
    </row>
    <row r="62" spans="1:12" s="1186" customFormat="1" ht="12" customHeight="1">
      <c r="A62" s="1183"/>
      <c r="B62" s="1224"/>
      <c r="C62" s="1224"/>
      <c r="D62" s="1184"/>
      <c r="E62" s="1192" t="s">
        <v>3610</v>
      </c>
      <c r="F62" s="1186" t="s">
        <v>3848</v>
      </c>
      <c r="I62" s="1187"/>
      <c r="J62" s="1193"/>
      <c r="L62" s="1191" t="s">
        <v>4088</v>
      </c>
    </row>
    <row r="63" spans="1:12" s="1186" customFormat="1" ht="12" customHeight="1">
      <c r="A63" s="1183"/>
      <c r="B63" s="1184"/>
      <c r="C63" s="1184"/>
      <c r="D63" s="1184"/>
      <c r="E63" s="1192" t="s">
        <v>3612</v>
      </c>
      <c r="F63" s="1186" t="s">
        <v>3849</v>
      </c>
      <c r="I63" s="1187"/>
      <c r="J63" s="1193"/>
      <c r="L63" s="1191" t="s">
        <v>4088</v>
      </c>
    </row>
    <row r="64" spans="1:12" s="1186" customFormat="1" ht="12" customHeight="1">
      <c r="A64" s="1222" t="s">
        <v>3951</v>
      </c>
      <c r="B64" s="1223" t="s">
        <v>4044</v>
      </c>
      <c r="C64" s="1223"/>
      <c r="D64" s="1208" t="s">
        <v>4040</v>
      </c>
      <c r="E64" s="1190" t="s">
        <v>3611</v>
      </c>
      <c r="F64" s="1225" t="s">
        <v>3850</v>
      </c>
      <c r="G64" s="1226"/>
      <c r="H64" s="1213"/>
      <c r="I64" s="1210"/>
      <c r="J64" s="1211"/>
      <c r="K64" s="1212"/>
      <c r="L64" s="1191" t="s">
        <v>4087</v>
      </c>
    </row>
    <row r="65" spans="1:12" s="1186" customFormat="1" ht="12" customHeight="1">
      <c r="A65" s="1183"/>
      <c r="B65" s="1227"/>
      <c r="C65" s="1227"/>
      <c r="D65" s="1184"/>
      <c r="E65" s="1205" t="s">
        <v>3609</v>
      </c>
      <c r="F65" s="1186" t="s">
        <v>3851</v>
      </c>
      <c r="I65" s="1187"/>
      <c r="J65" s="1193"/>
      <c r="L65" s="1191" t="s">
        <v>4087</v>
      </c>
    </row>
    <row r="66" spans="1:12" s="1186" customFormat="1" ht="12" customHeight="1">
      <c r="A66" s="1222" t="s">
        <v>3952</v>
      </c>
      <c r="B66" s="1223" t="s">
        <v>4046</v>
      </c>
      <c r="C66" s="1223"/>
      <c r="D66" s="1208"/>
      <c r="E66" s="1190" t="s">
        <v>3611</v>
      </c>
      <c r="F66" s="1213" t="s">
        <v>3933</v>
      </c>
      <c r="G66" s="1213"/>
      <c r="H66" s="1213"/>
      <c r="I66" s="1210"/>
      <c r="J66" s="1211"/>
      <c r="K66" s="1212"/>
      <c r="L66" s="1191" t="s">
        <v>4088</v>
      </c>
    </row>
    <row r="67" spans="1:12" s="1186" customFormat="1" ht="12" customHeight="1">
      <c r="A67" s="1183"/>
      <c r="B67" s="1224"/>
      <c r="C67" s="1224"/>
      <c r="D67" s="1184" t="s">
        <v>3852</v>
      </c>
      <c r="E67" s="1192" t="s">
        <v>3609</v>
      </c>
      <c r="F67" s="1186" t="s">
        <v>3853</v>
      </c>
      <c r="I67" s="1187"/>
      <c r="J67" s="1193"/>
      <c r="L67" s="1191" t="s">
        <v>4087</v>
      </c>
    </row>
    <row r="68" spans="1:12" s="1186" customFormat="1" ht="12" customHeight="1">
      <c r="A68" s="1198"/>
      <c r="B68" s="1199" t="s">
        <v>3854</v>
      </c>
      <c r="C68" s="1199"/>
      <c r="D68" s="1199"/>
      <c r="E68" s="1192" t="s">
        <v>3610</v>
      </c>
      <c r="F68" s="1228" t="s">
        <v>3855</v>
      </c>
      <c r="G68" s="1228"/>
      <c r="H68" s="1228"/>
      <c r="I68" s="1229"/>
      <c r="J68" s="1228"/>
      <c r="K68" s="1230"/>
      <c r="L68" s="1191" t="s">
        <v>4088</v>
      </c>
    </row>
    <row r="69" spans="1:12" s="1186" customFormat="1" ht="12" customHeight="1">
      <c r="A69" s="1183"/>
      <c r="B69" s="1184"/>
      <c r="C69" s="1184"/>
      <c r="D69" s="1184"/>
      <c r="E69" s="1192" t="s">
        <v>3612</v>
      </c>
      <c r="F69" s="1186" t="s">
        <v>3856</v>
      </c>
      <c r="I69" s="1187"/>
      <c r="L69" s="1191" t="s">
        <v>4088</v>
      </c>
    </row>
    <row r="70" spans="1:12" s="1186" customFormat="1" ht="12" customHeight="1">
      <c r="A70" s="1183"/>
      <c r="B70" s="1184"/>
      <c r="C70" s="1184"/>
      <c r="D70" s="1184"/>
      <c r="E70" s="1192" t="s">
        <v>3613</v>
      </c>
      <c r="F70" s="1186" t="s">
        <v>3857</v>
      </c>
      <c r="I70" s="1187"/>
      <c r="L70" s="1191" t="s">
        <v>4087</v>
      </c>
    </row>
    <row r="71" spans="1:12" s="1186" customFormat="1" ht="23.25" customHeight="1">
      <c r="A71" s="1183"/>
      <c r="C71" s="1200"/>
      <c r="D71" s="1184" t="s">
        <v>3840</v>
      </c>
      <c r="E71" s="1192" t="s">
        <v>3614</v>
      </c>
      <c r="F71" s="1231" t="s">
        <v>3975</v>
      </c>
      <c r="G71" s="1231"/>
      <c r="H71" s="1231"/>
      <c r="I71" s="1187" t="s">
        <v>3858</v>
      </c>
      <c r="J71" s="1193" t="s">
        <v>3859</v>
      </c>
      <c r="K71" s="1186" t="s">
        <v>3860</v>
      </c>
      <c r="L71" s="1191" t="s">
        <v>4087</v>
      </c>
    </row>
    <row r="72" spans="1:12" s="1186" customFormat="1" ht="12" customHeight="1">
      <c r="A72" s="1183"/>
      <c r="C72" s="1200"/>
      <c r="D72" s="1184" t="s">
        <v>3809</v>
      </c>
      <c r="E72" s="1192" t="s">
        <v>3615</v>
      </c>
      <c r="F72" s="1186" t="s">
        <v>3990</v>
      </c>
      <c r="I72" s="1187"/>
      <c r="J72" s="1193"/>
      <c r="L72" s="1191" t="s">
        <v>4087</v>
      </c>
    </row>
    <row r="73" spans="1:12" s="1186" customFormat="1" ht="12" customHeight="1">
      <c r="A73" s="1183"/>
      <c r="B73" s="1184"/>
      <c r="C73" s="1184"/>
      <c r="D73" s="1184"/>
      <c r="E73" s="1192"/>
      <c r="F73" s="1186" t="s">
        <v>3991</v>
      </c>
      <c r="I73" s="1187"/>
      <c r="J73" s="1193"/>
      <c r="L73" s="1191" t="s">
        <v>4087</v>
      </c>
    </row>
    <row r="74" spans="1:12" s="1186" customFormat="1" ht="12" customHeight="1">
      <c r="A74" s="1183"/>
      <c r="B74" s="1184"/>
      <c r="C74" s="1184"/>
      <c r="D74" s="1184"/>
      <c r="E74" s="1192"/>
      <c r="F74" s="1232" t="s">
        <v>3992</v>
      </c>
      <c r="G74" s="1232"/>
      <c r="H74" s="1232"/>
      <c r="I74" s="1187" t="s">
        <v>3858</v>
      </c>
      <c r="J74" s="1193" t="s">
        <v>3859</v>
      </c>
      <c r="K74" s="1186" t="s">
        <v>3860</v>
      </c>
      <c r="L74" s="1191" t="s">
        <v>4087</v>
      </c>
    </row>
    <row r="75" spans="1:12" s="1186" customFormat="1" ht="12" customHeight="1">
      <c r="A75" s="1183"/>
      <c r="B75" s="1184"/>
      <c r="C75" s="1184"/>
      <c r="D75" s="1184"/>
      <c r="E75" s="1192" t="s">
        <v>3949</v>
      </c>
      <c r="F75" s="1233" t="s">
        <v>3993</v>
      </c>
      <c r="G75" s="1233"/>
      <c r="H75" s="1233"/>
      <c r="I75" s="1187"/>
      <c r="J75" s="1193"/>
      <c r="L75" s="1191" t="s">
        <v>4087</v>
      </c>
    </row>
    <row r="76" spans="1:12" s="1186" customFormat="1" ht="12" customHeight="1">
      <c r="A76" s="1183"/>
      <c r="B76" s="1184"/>
      <c r="C76" s="1184"/>
      <c r="D76" s="1184"/>
      <c r="E76" s="1217" t="s">
        <v>3950</v>
      </c>
      <c r="F76" s="1218" t="s">
        <v>3973</v>
      </c>
      <c r="G76" s="1218"/>
      <c r="H76" s="1218"/>
      <c r="I76" s="1218"/>
      <c r="J76" s="1218"/>
      <c r="K76" s="1219"/>
      <c r="L76" s="1191" t="s">
        <v>4087</v>
      </c>
    </row>
    <row r="77" spans="1:12" s="1186" customFormat="1" ht="12" customHeight="1">
      <c r="A77" s="1222">
        <v>19</v>
      </c>
      <c r="B77" s="1208" t="s">
        <v>4045</v>
      </c>
      <c r="C77" s="1208"/>
      <c r="D77" s="1208" t="s">
        <v>3840</v>
      </c>
      <c r="E77" s="1190" t="s">
        <v>3611</v>
      </c>
      <c r="F77" s="1213" t="s">
        <v>3861</v>
      </c>
      <c r="G77" s="1213"/>
      <c r="H77" s="1213"/>
      <c r="I77" s="1210"/>
      <c r="J77" s="1211"/>
      <c r="K77" s="1213"/>
      <c r="L77" s="1191" t="s">
        <v>4087</v>
      </c>
    </row>
    <row r="78" spans="1:12" s="1186" customFormat="1" ht="12" customHeight="1">
      <c r="A78" s="1183"/>
      <c r="B78" s="1184"/>
      <c r="C78" s="1184"/>
      <c r="D78" s="1184"/>
      <c r="E78" s="1192" t="s">
        <v>3609</v>
      </c>
      <c r="F78" s="1186" t="s">
        <v>3862</v>
      </c>
      <c r="I78" s="1187"/>
      <c r="J78" s="1193"/>
      <c r="L78" s="1191" t="s">
        <v>4087</v>
      </c>
    </row>
    <row r="79" spans="1:12" s="1186" customFormat="1" ht="12" customHeight="1">
      <c r="A79" s="1183"/>
      <c r="C79" s="1200"/>
      <c r="D79" s="1184" t="s">
        <v>3863</v>
      </c>
      <c r="E79" s="1192" t="s">
        <v>3610</v>
      </c>
      <c r="F79" s="1186" t="s">
        <v>3864</v>
      </c>
      <c r="I79" s="1187"/>
      <c r="J79" s="1193"/>
      <c r="L79" s="1191" t="s">
        <v>4087</v>
      </c>
    </row>
    <row r="80" spans="1:12" s="1186" customFormat="1" ht="12" customHeight="1">
      <c r="A80" s="1183"/>
      <c r="B80" s="1184"/>
      <c r="C80" s="1184"/>
      <c r="D80" s="1184"/>
      <c r="E80" s="1192" t="s">
        <v>3612</v>
      </c>
      <c r="F80" s="1201" t="s">
        <v>3865</v>
      </c>
      <c r="G80" s="1201"/>
      <c r="H80" s="1201"/>
      <c r="I80" s="1187"/>
      <c r="J80" s="1193"/>
      <c r="L80" s="1191" t="s">
        <v>4087</v>
      </c>
    </row>
    <row r="81" spans="1:12" s="1186" customFormat="1" ht="12" customHeight="1">
      <c r="A81" s="1222">
        <v>20</v>
      </c>
      <c r="B81" s="1208" t="s">
        <v>4042</v>
      </c>
      <c r="C81" s="1208"/>
      <c r="D81" s="1208" t="s">
        <v>3840</v>
      </c>
      <c r="E81" s="1190" t="s">
        <v>3611</v>
      </c>
      <c r="F81" s="1234" t="s">
        <v>3866</v>
      </c>
      <c r="G81" s="1213"/>
      <c r="H81" s="1213"/>
      <c r="I81" s="1210"/>
      <c r="J81" s="1211"/>
      <c r="K81" s="1213"/>
      <c r="L81" s="1191" t="s">
        <v>4087</v>
      </c>
    </row>
    <row r="82" spans="1:12" s="1186" customFormat="1" ht="12" customHeight="1">
      <c r="A82" s="1222">
        <v>21</v>
      </c>
      <c r="B82" s="1208" t="s">
        <v>3867</v>
      </c>
      <c r="C82" s="1208"/>
      <c r="D82" s="1208"/>
      <c r="E82" s="1190" t="s">
        <v>3611</v>
      </c>
      <c r="F82" s="1213" t="s">
        <v>3868</v>
      </c>
      <c r="G82" s="1213"/>
      <c r="H82" s="1213"/>
      <c r="I82" s="1210"/>
      <c r="J82" s="1211"/>
      <c r="K82" s="1213"/>
      <c r="L82" s="1191" t="s">
        <v>4087</v>
      </c>
    </row>
    <row r="83" spans="1:12" s="1186" customFormat="1" ht="12" customHeight="1">
      <c r="A83" s="1183"/>
      <c r="B83" s="1184"/>
      <c r="C83" s="1184"/>
      <c r="D83" s="1184"/>
      <c r="E83" s="1192" t="s">
        <v>3609</v>
      </c>
      <c r="F83" s="1186" t="s">
        <v>3869</v>
      </c>
      <c r="I83" s="1187"/>
      <c r="J83" s="1193"/>
      <c r="L83" s="1191" t="s">
        <v>4087</v>
      </c>
    </row>
    <row r="84" spans="1:12" s="1186" customFormat="1" ht="12" customHeight="1">
      <c r="A84" s="1222">
        <v>22</v>
      </c>
      <c r="B84" s="1223" t="s">
        <v>3870</v>
      </c>
      <c r="C84" s="1223"/>
      <c r="D84" s="1208"/>
      <c r="E84" s="1190" t="s">
        <v>3611</v>
      </c>
      <c r="F84" s="1213" t="s">
        <v>3976</v>
      </c>
      <c r="G84" s="1213"/>
      <c r="H84" s="1213"/>
      <c r="I84" s="1210"/>
      <c r="J84" s="1211"/>
      <c r="K84" s="1212"/>
      <c r="L84" s="1191" t="s">
        <v>4087</v>
      </c>
    </row>
    <row r="85" spans="1:12" s="1186" customFormat="1" ht="12" customHeight="1">
      <c r="A85" s="1183"/>
      <c r="B85" s="1224"/>
      <c r="C85" s="1224"/>
      <c r="D85" s="1184"/>
      <c r="E85" s="1192" t="s">
        <v>3609</v>
      </c>
      <c r="F85" s="1186" t="s">
        <v>3185</v>
      </c>
      <c r="I85" s="1187"/>
      <c r="J85" s="1193"/>
      <c r="L85" s="1191" t="s">
        <v>4087</v>
      </c>
    </row>
    <row r="86" spans="1:12" s="1186" customFormat="1" ht="12" customHeight="1">
      <c r="A86" s="1183"/>
      <c r="B86" s="1184"/>
      <c r="C86" s="1184"/>
      <c r="D86" s="1184"/>
      <c r="E86" s="1192" t="s">
        <v>3610</v>
      </c>
      <c r="F86" s="1186" t="s">
        <v>3871</v>
      </c>
      <c r="I86" s="1187"/>
      <c r="J86" s="1193"/>
      <c r="L86" s="1191" t="s">
        <v>4087</v>
      </c>
    </row>
    <row r="87" spans="1:12" s="1186" customFormat="1" ht="12" customHeight="1">
      <c r="A87" s="1183"/>
      <c r="B87" s="1184"/>
      <c r="C87" s="1184"/>
      <c r="D87" s="1184"/>
      <c r="E87" s="1192" t="s">
        <v>3612</v>
      </c>
      <c r="F87" s="1186" t="s">
        <v>624</v>
      </c>
      <c r="I87" s="1187"/>
      <c r="J87" s="1193"/>
      <c r="L87" s="1191" t="s">
        <v>4087</v>
      </c>
    </row>
    <row r="88" spans="1:12" s="1186" customFormat="1" ht="12" customHeight="1">
      <c r="A88" s="1183"/>
      <c r="B88" s="1184"/>
      <c r="C88" s="1184"/>
      <c r="D88" s="1184"/>
      <c r="E88" s="1192" t="s">
        <v>3613</v>
      </c>
      <c r="F88" s="1186" t="s">
        <v>831</v>
      </c>
      <c r="I88" s="1187"/>
      <c r="J88" s="1193"/>
      <c r="L88" s="1191" t="s">
        <v>4087</v>
      </c>
    </row>
    <row r="89" spans="1:12" s="1186" customFormat="1" ht="12" customHeight="1">
      <c r="A89" s="1183"/>
      <c r="B89" s="1184"/>
      <c r="C89" s="1184"/>
      <c r="D89" s="1184"/>
      <c r="E89" s="1192" t="s">
        <v>3614</v>
      </c>
      <c r="F89" s="1186" t="s">
        <v>1998</v>
      </c>
      <c r="I89" s="1187"/>
      <c r="J89" s="1193"/>
      <c r="L89" s="1191" t="s">
        <v>4087</v>
      </c>
    </row>
    <row r="90" spans="1:12" s="1186" customFormat="1" ht="12" customHeight="1">
      <c r="A90" s="1183"/>
      <c r="B90" s="1184"/>
      <c r="C90" s="1184"/>
      <c r="D90" s="1184"/>
      <c r="E90" s="1217" t="s">
        <v>3615</v>
      </c>
      <c r="F90" s="1186" t="s">
        <v>4066</v>
      </c>
      <c r="I90" s="1187"/>
      <c r="J90" s="1193"/>
      <c r="L90" s="1191" t="s">
        <v>4087</v>
      </c>
    </row>
    <row r="91" spans="1:12" s="1186" customFormat="1" ht="12" customHeight="1">
      <c r="A91" s="1222">
        <v>23</v>
      </c>
      <c r="B91" s="1208" t="s">
        <v>4043</v>
      </c>
      <c r="C91" s="1208"/>
      <c r="D91" s="1208" t="s">
        <v>3840</v>
      </c>
      <c r="E91" s="1190" t="s">
        <v>3611</v>
      </c>
      <c r="F91" s="1213" t="s">
        <v>3872</v>
      </c>
      <c r="G91" s="1213"/>
      <c r="H91" s="1213"/>
      <c r="I91" s="1210"/>
      <c r="J91" s="1211"/>
      <c r="K91" s="1213"/>
      <c r="L91" s="1191" t="s">
        <v>4087</v>
      </c>
    </row>
    <row r="92" spans="1:12" s="1186" customFormat="1" ht="12" customHeight="1">
      <c r="A92" s="1183"/>
      <c r="C92" s="1200"/>
      <c r="D92" s="1184" t="s">
        <v>3809</v>
      </c>
      <c r="E92" s="1192" t="s">
        <v>3609</v>
      </c>
      <c r="F92" s="1186" t="s">
        <v>3873</v>
      </c>
      <c r="I92" s="1187"/>
      <c r="J92" s="1193"/>
      <c r="L92" s="1191" t="s">
        <v>4087</v>
      </c>
    </row>
    <row r="93" spans="1:12" s="1186" customFormat="1" ht="12" customHeight="1">
      <c r="A93" s="1183"/>
      <c r="C93" s="1200"/>
      <c r="D93" s="1184" t="s">
        <v>3843</v>
      </c>
      <c r="E93" s="1192" t="s">
        <v>3610</v>
      </c>
      <c r="F93" s="1186" t="s">
        <v>3874</v>
      </c>
      <c r="I93" s="1187"/>
      <c r="J93" s="1193"/>
      <c r="L93" s="1191" t="s">
        <v>4087</v>
      </c>
    </row>
    <row r="94" spans="1:12" s="1186" customFormat="1" ht="12" customHeight="1">
      <c r="A94" s="1183"/>
      <c r="C94" s="1200"/>
      <c r="D94" s="1184" t="s">
        <v>3852</v>
      </c>
      <c r="E94" s="1192" t="s">
        <v>3612</v>
      </c>
      <c r="F94" s="1186" t="s">
        <v>3875</v>
      </c>
      <c r="I94" s="1187"/>
      <c r="J94" s="1193"/>
      <c r="L94" s="1191" t="s">
        <v>4087</v>
      </c>
    </row>
    <row r="95" spans="1:12" s="1186" customFormat="1" ht="12" customHeight="1">
      <c r="A95" s="1222">
        <v>24</v>
      </c>
      <c r="B95" s="1235" t="s">
        <v>3876</v>
      </c>
      <c r="C95" s="1235"/>
      <c r="D95" s="1236"/>
      <c r="E95" s="1190" t="s">
        <v>3611</v>
      </c>
      <c r="F95" s="1237" t="s">
        <v>3877</v>
      </c>
      <c r="G95" s="1237"/>
      <c r="H95" s="1237"/>
      <c r="I95" s="1210"/>
      <c r="J95" s="1211"/>
      <c r="K95" s="1213"/>
      <c r="L95" s="1191" t="s">
        <v>4088</v>
      </c>
    </row>
    <row r="96" spans="1:12" s="1186" customFormat="1" ht="12" customHeight="1">
      <c r="A96" s="1238"/>
      <c r="B96" s="1239"/>
      <c r="C96" s="1239"/>
      <c r="D96" s="1240"/>
      <c r="E96" s="1192" t="s">
        <v>3609</v>
      </c>
      <c r="F96" s="1214" t="s">
        <v>1914</v>
      </c>
      <c r="G96" s="1214"/>
      <c r="H96" s="1214"/>
      <c r="I96" s="1187"/>
      <c r="J96" s="1193"/>
      <c r="L96" s="1191" t="s">
        <v>4087</v>
      </c>
    </row>
    <row r="97" spans="1:12" s="1186" customFormat="1" ht="12" customHeight="1">
      <c r="A97" s="1238"/>
      <c r="B97" s="1241"/>
      <c r="C97" s="1241"/>
      <c r="D97" s="1241"/>
      <c r="E97" s="1192" t="s">
        <v>3610</v>
      </c>
      <c r="F97" s="1214" t="s">
        <v>3878</v>
      </c>
      <c r="G97" s="1214"/>
      <c r="H97" s="1214"/>
      <c r="I97" s="1187"/>
      <c r="J97" s="1193"/>
      <c r="L97" s="1191" t="s">
        <v>4087</v>
      </c>
    </row>
    <row r="98" spans="1:12" s="1186" customFormat="1" ht="12" customHeight="1">
      <c r="A98" s="1238"/>
      <c r="B98" s="1241"/>
      <c r="C98" s="1241"/>
      <c r="D98" s="1241"/>
      <c r="E98" s="1192" t="s">
        <v>3612</v>
      </c>
      <c r="F98" s="1214" t="s">
        <v>2944</v>
      </c>
      <c r="G98" s="1214"/>
      <c r="H98" s="1214"/>
      <c r="I98" s="1187"/>
      <c r="J98" s="1193"/>
      <c r="L98" s="1191" t="s">
        <v>4087</v>
      </c>
    </row>
    <row r="99" spans="1:12" s="1186" customFormat="1" ht="12" customHeight="1">
      <c r="A99" s="1238"/>
      <c r="B99" s="1241"/>
      <c r="C99" s="1241"/>
      <c r="D99" s="1241"/>
      <c r="E99" s="1192" t="s">
        <v>3613</v>
      </c>
      <c r="F99" s="1214" t="s">
        <v>3879</v>
      </c>
      <c r="G99" s="1214"/>
      <c r="H99" s="1214"/>
      <c r="I99" s="1187"/>
      <c r="J99" s="1193"/>
      <c r="L99" s="1191" t="s">
        <v>4087</v>
      </c>
    </row>
    <row r="100" spans="1:12" s="1186" customFormat="1" ht="12" customHeight="1">
      <c r="A100" s="1238"/>
      <c r="B100" s="1238"/>
      <c r="C100" s="1238"/>
      <c r="D100" s="1238"/>
      <c r="E100" s="1192" t="s">
        <v>3614</v>
      </c>
      <c r="F100" s="1214" t="s">
        <v>3880</v>
      </c>
      <c r="G100" s="1214"/>
      <c r="H100" s="1214"/>
      <c r="I100" s="1187"/>
      <c r="J100" s="1193"/>
      <c r="L100" s="1191" t="s">
        <v>4087</v>
      </c>
    </row>
    <row r="101" spans="1:12" s="1186" customFormat="1" ht="12" customHeight="1">
      <c r="A101" s="1238"/>
      <c r="B101" s="1238"/>
      <c r="C101" s="1238"/>
      <c r="D101" s="1238"/>
      <c r="E101" s="1192" t="s">
        <v>3615</v>
      </c>
      <c r="F101" s="1214" t="s">
        <v>3881</v>
      </c>
      <c r="G101" s="1214"/>
      <c r="H101" s="1214"/>
      <c r="I101" s="1187"/>
      <c r="J101" s="1193"/>
      <c r="L101" s="1194" t="s">
        <v>4087</v>
      </c>
    </row>
    <row r="102" spans="1:12" s="1186" customFormat="1" ht="12" customHeight="1">
      <c r="A102" s="1238"/>
      <c r="B102" s="1238"/>
      <c r="C102" s="1238"/>
      <c r="D102" s="1238"/>
      <c r="E102" s="1195" t="s">
        <v>3949</v>
      </c>
      <c r="F102" s="1214" t="s">
        <v>3977</v>
      </c>
      <c r="G102" s="1214"/>
      <c r="H102" s="1214"/>
      <c r="I102" s="1187"/>
      <c r="J102" s="1193"/>
      <c r="L102" s="1194" t="s">
        <v>4087</v>
      </c>
    </row>
    <row r="103" spans="1:12" s="1228" customFormat="1" ht="12" customHeight="1">
      <c r="A103" s="1196" t="s">
        <v>3882</v>
      </c>
      <c r="B103" s="1196"/>
      <c r="C103" s="1196"/>
      <c r="D103" s="1196"/>
      <c r="E103" s="1196"/>
      <c r="F103" s="1196"/>
      <c r="G103" s="1196"/>
      <c r="H103" s="1196"/>
      <c r="I103" s="1196"/>
      <c r="J103" s="1196"/>
      <c r="K103" s="1196"/>
      <c r="L103" s="1196"/>
    </row>
    <row r="104" spans="1:12" s="1186" customFormat="1" ht="12" customHeight="1">
      <c r="A104" s="1198">
        <v>25</v>
      </c>
      <c r="B104" s="1242" t="s">
        <v>4047</v>
      </c>
      <c r="C104" s="1242"/>
      <c r="D104" s="1184"/>
      <c r="E104" s="1190" t="s">
        <v>3611</v>
      </c>
      <c r="F104" s="1186" t="s">
        <v>3883</v>
      </c>
      <c r="I104" s="1187"/>
      <c r="J104" s="1193"/>
      <c r="L104" s="1191" t="s">
        <v>4088</v>
      </c>
    </row>
    <row r="105" spans="1:12" s="1186" customFormat="1" ht="12" customHeight="1">
      <c r="A105" s="1183"/>
      <c r="B105" s="1242"/>
      <c r="C105" s="1242"/>
      <c r="D105" s="1184"/>
      <c r="E105" s="1192" t="s">
        <v>3609</v>
      </c>
      <c r="F105" s="1186" t="s">
        <v>3884</v>
      </c>
      <c r="I105" s="1187"/>
      <c r="J105" s="1193"/>
      <c r="L105" s="1191" t="s">
        <v>4088</v>
      </c>
    </row>
    <row r="106" spans="1:12" s="1186" customFormat="1" ht="12" customHeight="1">
      <c r="A106" s="1183"/>
      <c r="B106" s="1184"/>
      <c r="C106" s="1184"/>
      <c r="D106" s="1184"/>
      <c r="E106" s="1192" t="s">
        <v>3610</v>
      </c>
      <c r="F106" s="1186" t="s">
        <v>3885</v>
      </c>
      <c r="I106" s="1187"/>
      <c r="J106" s="1193"/>
      <c r="L106" s="1191" t="s">
        <v>4088</v>
      </c>
    </row>
    <row r="107" spans="1:12" s="1186" customFormat="1" ht="23.25" customHeight="1">
      <c r="A107" s="1183"/>
      <c r="B107" s="1184"/>
      <c r="C107" s="1184"/>
      <c r="D107" s="1184"/>
      <c r="E107" s="1192" t="s">
        <v>3612</v>
      </c>
      <c r="F107" s="1231" t="s">
        <v>3978</v>
      </c>
      <c r="G107" s="1231"/>
      <c r="H107" s="1231"/>
      <c r="I107" s="1231"/>
      <c r="J107" s="1231"/>
      <c r="K107" s="1243"/>
      <c r="L107" s="1191" t="s">
        <v>4087</v>
      </c>
    </row>
    <row r="108" spans="1:12" s="1186" customFormat="1" ht="12" customHeight="1">
      <c r="A108" s="1183"/>
      <c r="B108" s="1184"/>
      <c r="C108" s="1184"/>
      <c r="D108" s="1184"/>
      <c r="E108" s="1192" t="s">
        <v>3613</v>
      </c>
      <c r="F108" s="1186" t="s">
        <v>3886</v>
      </c>
      <c r="I108" s="1187"/>
      <c r="J108" s="1193"/>
      <c r="L108" s="1191" t="s">
        <v>4087</v>
      </c>
    </row>
    <row r="109" spans="1:12" s="1186" customFormat="1" ht="12" customHeight="1">
      <c r="A109" s="1222">
        <v>26</v>
      </c>
      <c r="B109" s="1208" t="s">
        <v>3887</v>
      </c>
      <c r="C109" s="1208"/>
      <c r="D109" s="1208"/>
      <c r="E109" s="1190" t="s">
        <v>3611</v>
      </c>
      <c r="F109" s="1213" t="s">
        <v>3888</v>
      </c>
      <c r="G109" s="1213"/>
      <c r="H109" s="1213"/>
      <c r="I109" s="1210"/>
      <c r="J109" s="1211"/>
      <c r="K109" s="1213"/>
      <c r="L109" s="1191" t="s">
        <v>4088</v>
      </c>
    </row>
    <row r="110" spans="1:12" s="1186" customFormat="1" ht="12" customHeight="1">
      <c r="A110" s="1183"/>
      <c r="B110" s="1184"/>
      <c r="C110" s="1184"/>
      <c r="D110" s="1184"/>
      <c r="E110" s="1192" t="s">
        <v>3609</v>
      </c>
      <c r="F110" s="1186" t="s">
        <v>547</v>
      </c>
      <c r="I110" s="1187"/>
      <c r="J110" s="1193"/>
      <c r="L110" s="1191" t="s">
        <v>4088</v>
      </c>
    </row>
    <row r="111" spans="1:12" s="1186" customFormat="1" ht="12" customHeight="1">
      <c r="A111" s="1244">
        <v>27</v>
      </c>
      <c r="B111" s="1208" t="s">
        <v>3889</v>
      </c>
      <c r="C111" s="1208"/>
      <c r="D111" s="1208"/>
      <c r="E111" s="1190" t="s">
        <v>3611</v>
      </c>
      <c r="F111" s="1213" t="s">
        <v>598</v>
      </c>
      <c r="G111" s="1213"/>
      <c r="H111" s="1213"/>
      <c r="I111" s="1210"/>
      <c r="J111" s="1211"/>
      <c r="K111" s="1213"/>
      <c r="L111" s="1191" t="s">
        <v>4087</v>
      </c>
    </row>
    <row r="112" spans="1:12" s="1186" customFormat="1" ht="23.25" customHeight="1">
      <c r="A112" s="1183"/>
      <c r="B112" s="1184"/>
      <c r="C112" s="1184"/>
      <c r="D112" s="1184"/>
      <c r="E112" s="1192" t="s">
        <v>3609</v>
      </c>
      <c r="F112" s="1231" t="s">
        <v>3890</v>
      </c>
      <c r="G112" s="1231"/>
      <c r="H112" s="1231"/>
      <c r="I112" s="1231"/>
      <c r="J112" s="1231"/>
      <c r="K112" s="1243"/>
      <c r="L112" s="1191" t="s">
        <v>4087</v>
      </c>
    </row>
    <row r="113" spans="1:12" s="1186" customFormat="1" ht="12" customHeight="1">
      <c r="A113" s="1183"/>
      <c r="B113" s="1184"/>
      <c r="C113" s="1184"/>
      <c r="D113" s="1184"/>
      <c r="E113" s="1192" t="s">
        <v>3610</v>
      </c>
      <c r="F113" s="1186" t="s">
        <v>3891</v>
      </c>
      <c r="I113" s="1187"/>
      <c r="J113" s="1193"/>
      <c r="L113" s="1191" t="s">
        <v>4087</v>
      </c>
    </row>
    <row r="114" spans="1:12" s="1186" customFormat="1" ht="12" customHeight="1">
      <c r="A114" s="1183"/>
      <c r="B114" s="1184"/>
      <c r="C114" s="1184"/>
      <c r="D114" s="1184"/>
      <c r="E114" s="1192" t="s">
        <v>3612</v>
      </c>
      <c r="F114" s="1186" t="s">
        <v>3892</v>
      </c>
      <c r="I114" s="1187"/>
      <c r="J114" s="1193"/>
      <c r="L114" s="1191" t="s">
        <v>4087</v>
      </c>
    </row>
    <row r="115" spans="1:12" s="1186" customFormat="1" ht="12" customHeight="1">
      <c r="A115" s="1183"/>
      <c r="B115" s="1184"/>
      <c r="C115" s="1184"/>
      <c r="D115" s="1184"/>
      <c r="E115" s="1217" t="s">
        <v>3613</v>
      </c>
      <c r="F115" s="1186" t="s">
        <v>3893</v>
      </c>
      <c r="I115" s="1187"/>
      <c r="J115" s="1193"/>
      <c r="L115" s="1191" t="s">
        <v>4087</v>
      </c>
    </row>
    <row r="116" spans="1:12" s="1186" customFormat="1" ht="12" customHeight="1">
      <c r="A116" s="1222">
        <v>28</v>
      </c>
      <c r="B116" s="1223" t="s">
        <v>3894</v>
      </c>
      <c r="C116" s="1223"/>
      <c r="D116" s="1208" t="s">
        <v>4058</v>
      </c>
      <c r="E116" s="1190" t="s">
        <v>3611</v>
      </c>
      <c r="F116" s="1213" t="s">
        <v>3994</v>
      </c>
      <c r="G116" s="1213"/>
      <c r="H116" s="1213"/>
      <c r="I116" s="1210"/>
      <c r="J116" s="1211"/>
      <c r="K116" s="1212"/>
      <c r="L116" s="1191" t="s">
        <v>4088</v>
      </c>
    </row>
    <row r="117" spans="1:12" s="1186" customFormat="1" ht="12" customHeight="1">
      <c r="B117" s="1224"/>
      <c r="C117" s="1224"/>
      <c r="D117" s="1184"/>
      <c r="E117" s="1192"/>
      <c r="F117" s="1186" t="s">
        <v>3995</v>
      </c>
      <c r="I117" s="1187"/>
      <c r="J117" s="1193"/>
      <c r="L117" s="1191" t="s">
        <v>4087</v>
      </c>
    </row>
    <row r="118" spans="1:12" s="1186" customFormat="1" ht="12" customHeight="1">
      <c r="A118" s="1183"/>
      <c r="C118" s="1184"/>
      <c r="D118" s="1184"/>
      <c r="E118" s="1192"/>
      <c r="F118" s="1186" t="s">
        <v>3996</v>
      </c>
      <c r="I118" s="1187"/>
      <c r="J118" s="1193"/>
      <c r="L118" s="1191" t="s">
        <v>4088</v>
      </c>
    </row>
    <row r="119" spans="1:12" s="1186" customFormat="1" ht="12" customHeight="1">
      <c r="A119" s="1183"/>
      <c r="C119" s="1184"/>
      <c r="D119" s="1184"/>
      <c r="E119" s="1192"/>
      <c r="F119" s="1245" t="s">
        <v>3997</v>
      </c>
      <c r="I119" s="1187"/>
      <c r="J119" s="1193"/>
      <c r="L119" s="1246"/>
    </row>
    <row r="120" spans="1:12" s="1186" customFormat="1" ht="12" customHeight="1">
      <c r="A120" s="1183"/>
      <c r="C120" s="1200"/>
      <c r="D120" s="1184" t="s">
        <v>4055</v>
      </c>
      <c r="E120" s="1192" t="s">
        <v>3609</v>
      </c>
      <c r="F120" s="1186" t="s">
        <v>3998</v>
      </c>
      <c r="I120" s="1187"/>
      <c r="J120" s="1193"/>
      <c r="L120" s="1191" t="s">
        <v>4087</v>
      </c>
    </row>
    <row r="121" spans="1:12" s="1186" customFormat="1" ht="12" customHeight="1">
      <c r="D121" s="1184"/>
      <c r="E121" s="1205"/>
      <c r="F121" s="1186" t="s">
        <v>3999</v>
      </c>
      <c r="I121" s="1187"/>
      <c r="J121" s="1193"/>
      <c r="L121" s="1191" t="s">
        <v>4087</v>
      </c>
    </row>
    <row r="122" spans="1:12" s="1186" customFormat="1" ht="12" customHeight="1">
      <c r="D122" s="1184"/>
      <c r="E122" s="1205"/>
      <c r="F122" s="1245" t="s">
        <v>4000</v>
      </c>
      <c r="I122" s="1187"/>
      <c r="J122" s="1193"/>
    </row>
    <row r="123" spans="1:12" s="1186" customFormat="1" ht="12" customHeight="1">
      <c r="A123" s="1183"/>
      <c r="C123" s="1200"/>
      <c r="D123" s="1184" t="s">
        <v>3809</v>
      </c>
      <c r="E123" s="1192" t="s">
        <v>3610</v>
      </c>
      <c r="F123" s="1186" t="s">
        <v>4001</v>
      </c>
      <c r="I123" s="1187"/>
      <c r="J123" s="1193"/>
      <c r="L123" s="1191" t="s">
        <v>4088</v>
      </c>
    </row>
    <row r="124" spans="1:12" s="1186" customFormat="1" ht="23.25" customHeight="1">
      <c r="A124" s="1183"/>
      <c r="B124" s="1184"/>
      <c r="C124" s="1184"/>
      <c r="D124" s="1184"/>
      <c r="E124" s="1205"/>
      <c r="F124" s="1201" t="s">
        <v>4002</v>
      </c>
      <c r="G124" s="1201"/>
      <c r="H124" s="1201"/>
      <c r="I124" s="1187"/>
      <c r="J124" s="1193"/>
      <c r="L124" s="1191" t="s">
        <v>4088</v>
      </c>
    </row>
    <row r="125" spans="1:12" s="1186" customFormat="1" ht="12" customHeight="1">
      <c r="A125" s="1222">
        <v>29</v>
      </c>
      <c r="B125" s="1223" t="s">
        <v>4048</v>
      </c>
      <c r="C125" s="1223"/>
      <c r="D125" s="1208" t="s">
        <v>3840</v>
      </c>
      <c r="E125" s="1190" t="s">
        <v>3611</v>
      </c>
      <c r="F125" s="1213" t="s">
        <v>3895</v>
      </c>
      <c r="G125" s="1213"/>
      <c r="H125" s="1213"/>
      <c r="I125" s="1210"/>
      <c r="J125" s="1211"/>
      <c r="K125" s="1212"/>
      <c r="L125" s="1191" t="s">
        <v>4087</v>
      </c>
    </row>
    <row r="126" spans="1:12" s="1186" customFormat="1" ht="12" customHeight="1">
      <c r="A126" s="1183"/>
      <c r="B126" s="1224"/>
      <c r="C126" s="1224"/>
      <c r="D126" s="1184" t="s">
        <v>4059</v>
      </c>
      <c r="E126" s="1192" t="s">
        <v>3609</v>
      </c>
      <c r="F126" s="1186" t="s">
        <v>4004</v>
      </c>
      <c r="I126" s="1187"/>
      <c r="J126" s="1193"/>
      <c r="L126" s="1191" t="s">
        <v>4087</v>
      </c>
    </row>
    <row r="127" spans="1:12" s="1186" customFormat="1" ht="12" customHeight="1">
      <c r="A127" s="1183"/>
      <c r="E127" s="1205"/>
      <c r="F127" s="1186" t="s">
        <v>4005</v>
      </c>
      <c r="I127" s="1187"/>
      <c r="J127" s="1193"/>
      <c r="L127" s="1191" t="s">
        <v>4087</v>
      </c>
    </row>
    <row r="128" spans="1:12" s="1186" customFormat="1" ht="12" customHeight="1">
      <c r="A128" s="1183"/>
      <c r="E128" s="1205"/>
      <c r="F128" s="1186" t="s">
        <v>4006</v>
      </c>
      <c r="I128" s="1187"/>
      <c r="J128" s="1193"/>
      <c r="L128" s="1191" t="s">
        <v>4087</v>
      </c>
    </row>
    <row r="129" spans="1:12" s="1186" customFormat="1" ht="12" customHeight="1">
      <c r="A129" s="1183"/>
      <c r="E129" s="1205"/>
      <c r="F129" s="1186" t="s">
        <v>4007</v>
      </c>
      <c r="I129" s="1187"/>
      <c r="J129" s="1193"/>
      <c r="L129" s="1191" t="s">
        <v>4087</v>
      </c>
    </row>
    <row r="130" spans="1:12" s="1186" customFormat="1" ht="12" customHeight="1">
      <c r="A130" s="1183"/>
      <c r="C130" s="1184"/>
      <c r="D130" s="1183"/>
      <c r="E130" s="1205"/>
      <c r="F130" s="1186" t="s">
        <v>4008</v>
      </c>
      <c r="I130" s="1187"/>
      <c r="J130" s="1193"/>
      <c r="L130" s="1191" t="s">
        <v>4087</v>
      </c>
    </row>
    <row r="131" spans="1:12" s="1186" customFormat="1" ht="12" customHeight="1">
      <c r="A131" s="1183"/>
      <c r="C131" s="1200"/>
      <c r="D131" s="1183" t="s">
        <v>4060</v>
      </c>
      <c r="E131" s="1192" t="s">
        <v>3610</v>
      </c>
      <c r="F131" s="1186" t="s">
        <v>4009</v>
      </c>
      <c r="I131" s="1187"/>
      <c r="J131" s="1193"/>
      <c r="L131" s="1191" t="s">
        <v>4087</v>
      </c>
    </row>
    <row r="132" spans="1:12" s="1186" customFormat="1" ht="12" customHeight="1">
      <c r="A132" s="1183"/>
      <c r="C132" s="1184"/>
      <c r="D132" s="1183"/>
      <c r="E132" s="1205"/>
      <c r="F132" s="1186" t="s">
        <v>4010</v>
      </c>
      <c r="I132" s="1187"/>
      <c r="J132" s="1193"/>
      <c r="L132" s="1191" t="s">
        <v>4088</v>
      </c>
    </row>
    <row r="133" spans="1:12" s="1186" customFormat="1" ht="12" customHeight="1">
      <c r="A133" s="1183"/>
      <c r="E133" s="1205"/>
      <c r="F133" s="1186" t="s">
        <v>4011</v>
      </c>
      <c r="I133" s="1187"/>
      <c r="J133" s="1193"/>
      <c r="L133" s="1191" t="s">
        <v>4088</v>
      </c>
    </row>
    <row r="134" spans="1:12" s="1186" customFormat="1" ht="12" customHeight="1">
      <c r="A134" s="1183"/>
      <c r="C134" s="1200"/>
      <c r="D134" s="1184" t="s">
        <v>3915</v>
      </c>
      <c r="E134" s="1192" t="s">
        <v>3612</v>
      </c>
      <c r="F134" s="1186" t="s">
        <v>4012</v>
      </c>
      <c r="I134" s="1187"/>
      <c r="J134" s="1193"/>
      <c r="L134" s="1191" t="s">
        <v>4087</v>
      </c>
    </row>
    <row r="135" spans="1:12" s="1186" customFormat="1" ht="12" customHeight="1">
      <c r="A135" s="1183"/>
      <c r="B135" s="1184"/>
      <c r="C135" s="1184"/>
      <c r="D135" s="1184"/>
      <c r="E135" s="1205"/>
      <c r="F135" s="1186" t="s">
        <v>4013</v>
      </c>
      <c r="I135" s="1187"/>
      <c r="J135" s="1193"/>
      <c r="L135" s="1191" t="s">
        <v>4087</v>
      </c>
    </row>
    <row r="136" spans="1:12" s="1186" customFormat="1" ht="12" customHeight="1">
      <c r="A136" s="1183"/>
      <c r="B136" s="1184"/>
      <c r="C136" s="1184"/>
      <c r="D136" s="1184"/>
      <c r="E136" s="1205"/>
      <c r="F136" s="1186" t="s">
        <v>4014</v>
      </c>
      <c r="I136" s="1187"/>
      <c r="J136" s="1193"/>
      <c r="L136" s="1191" t="s">
        <v>4087</v>
      </c>
    </row>
    <row r="137" spans="1:12" s="1186" customFormat="1" ht="12" customHeight="1">
      <c r="A137" s="1183"/>
      <c r="B137" s="1184"/>
      <c r="C137" s="1184"/>
      <c r="D137" s="1184"/>
      <c r="E137" s="1205"/>
      <c r="F137" s="1186" t="s">
        <v>4015</v>
      </c>
      <c r="I137" s="1187"/>
      <c r="J137" s="1193"/>
      <c r="L137" s="1191" t="s">
        <v>4087</v>
      </c>
    </row>
    <row r="138" spans="1:12" s="1186" customFormat="1" ht="12" customHeight="1">
      <c r="A138" s="1183"/>
      <c r="B138" s="1184"/>
      <c r="C138" s="1184"/>
      <c r="D138" s="1184"/>
      <c r="E138" s="1205"/>
      <c r="F138" s="1186" t="s">
        <v>4016</v>
      </c>
      <c r="I138" s="1187"/>
      <c r="J138" s="1193"/>
      <c r="L138" s="1191" t="s">
        <v>4087</v>
      </c>
    </row>
    <row r="139" spans="1:12" s="1186" customFormat="1" ht="12" customHeight="1">
      <c r="A139" s="1183"/>
      <c r="B139" s="1184"/>
      <c r="C139" s="1184"/>
      <c r="D139" s="1184"/>
      <c r="E139" s="1205"/>
      <c r="F139" s="1186" t="s">
        <v>4017</v>
      </c>
      <c r="I139" s="1187"/>
      <c r="J139" s="1193"/>
      <c r="L139" s="1191" t="s">
        <v>4087</v>
      </c>
    </row>
    <row r="140" spans="1:12" s="1186" customFormat="1" ht="12" customHeight="1">
      <c r="A140" s="1222">
        <v>30</v>
      </c>
      <c r="B140" s="1223" t="s">
        <v>4049</v>
      </c>
      <c r="C140" s="1247"/>
      <c r="D140" s="1208" t="s">
        <v>3840</v>
      </c>
      <c r="E140" s="1190" t="s">
        <v>3611</v>
      </c>
      <c r="F140" s="1213" t="s">
        <v>4018</v>
      </c>
      <c r="G140" s="1213"/>
      <c r="H140" s="1213"/>
      <c r="I140" s="1210"/>
      <c r="J140" s="1211"/>
      <c r="K140" s="1212"/>
      <c r="L140" s="1191" t="s">
        <v>4087</v>
      </c>
    </row>
    <row r="141" spans="1:12" s="1186" customFormat="1" ht="23.25" customHeight="1">
      <c r="A141" s="1183"/>
      <c r="B141" s="1224"/>
      <c r="C141" s="1248"/>
      <c r="D141" s="1184"/>
      <c r="E141" s="1192"/>
      <c r="F141" s="1231" t="s">
        <v>4019</v>
      </c>
      <c r="G141" s="1231"/>
      <c r="H141" s="1231"/>
      <c r="I141" s="1231"/>
      <c r="J141" s="1231"/>
      <c r="K141" s="1243"/>
      <c r="L141" s="1191" t="s">
        <v>4087</v>
      </c>
    </row>
    <row r="142" spans="1:12" s="1186" customFormat="1" ht="23.25" customHeight="1">
      <c r="A142" s="1183"/>
      <c r="C142" s="1200"/>
      <c r="D142" s="1184" t="s">
        <v>3809</v>
      </c>
      <c r="E142" s="1192" t="s">
        <v>3609</v>
      </c>
      <c r="F142" s="1201" t="s">
        <v>3896</v>
      </c>
      <c r="G142" s="1201"/>
      <c r="H142" s="1201"/>
      <c r="I142" s="1187"/>
      <c r="J142" s="1193"/>
      <c r="L142" s="1191" t="s">
        <v>4088</v>
      </c>
    </row>
    <row r="143" spans="1:12" s="1186" customFormat="1" ht="12" customHeight="1">
      <c r="A143" s="1222">
        <v>31</v>
      </c>
      <c r="B143" s="1208" t="s">
        <v>3897</v>
      </c>
      <c r="C143" s="1208"/>
      <c r="D143" s="1208"/>
      <c r="E143" s="1190" t="s">
        <v>3611</v>
      </c>
      <c r="F143" s="1213" t="s">
        <v>3898</v>
      </c>
      <c r="G143" s="1213"/>
      <c r="H143" s="1213"/>
      <c r="I143" s="1210"/>
      <c r="J143" s="1211"/>
      <c r="K143" s="1212"/>
      <c r="L143" s="1191" t="s">
        <v>4087</v>
      </c>
    </row>
    <row r="144" spans="1:12" s="1186" customFormat="1" ht="12" customHeight="1">
      <c r="A144" s="1222">
        <v>32</v>
      </c>
      <c r="B144" s="1208" t="s">
        <v>3899</v>
      </c>
      <c r="C144" s="1208"/>
      <c r="D144" s="1208"/>
      <c r="E144" s="1190" t="s">
        <v>3611</v>
      </c>
      <c r="F144" s="1213" t="s">
        <v>3900</v>
      </c>
      <c r="G144" s="1213"/>
      <c r="H144" s="1213"/>
      <c r="I144" s="1210"/>
      <c r="J144" s="1211"/>
      <c r="K144" s="1212"/>
      <c r="L144" s="1191" t="s">
        <v>4087</v>
      </c>
    </row>
    <row r="145" spans="1:12" s="1186" customFormat="1" ht="12" customHeight="1">
      <c r="A145" s="1183"/>
      <c r="B145" s="1184"/>
      <c r="C145" s="1184"/>
      <c r="D145" s="1184"/>
      <c r="E145" s="1192" t="s">
        <v>3609</v>
      </c>
      <c r="F145" s="1186" t="s">
        <v>3901</v>
      </c>
      <c r="I145" s="1187"/>
      <c r="J145" s="1193"/>
      <c r="L145" s="1191" t="s">
        <v>4087</v>
      </c>
    </row>
    <row r="146" spans="1:12" s="1186" customFormat="1" ht="12" customHeight="1">
      <c r="A146" s="1183"/>
      <c r="B146" s="1184"/>
      <c r="C146" s="1184"/>
      <c r="D146" s="1184"/>
      <c r="E146" s="1192" t="s">
        <v>3610</v>
      </c>
      <c r="F146" s="1186" t="s">
        <v>3902</v>
      </c>
      <c r="I146" s="1187"/>
      <c r="J146" s="1193"/>
      <c r="L146" s="1191" t="s">
        <v>4087</v>
      </c>
    </row>
    <row r="147" spans="1:12" s="1186" customFormat="1" ht="12" customHeight="1">
      <c r="A147" s="1183"/>
      <c r="B147" s="1184"/>
      <c r="C147" s="1184"/>
      <c r="D147" s="1184"/>
      <c r="E147" s="1192" t="s">
        <v>3612</v>
      </c>
      <c r="F147" s="1186" t="s">
        <v>3903</v>
      </c>
      <c r="I147" s="1187"/>
      <c r="J147" s="1193"/>
      <c r="L147" s="1191" t="s">
        <v>4087</v>
      </c>
    </row>
    <row r="148" spans="1:12" s="1186" customFormat="1" ht="12" customHeight="1">
      <c r="A148" s="1222">
        <v>33</v>
      </c>
      <c r="B148" s="1208" t="s">
        <v>4051</v>
      </c>
      <c r="C148" s="1208"/>
      <c r="D148" s="1208"/>
      <c r="E148" s="1249" t="s">
        <v>3611</v>
      </c>
      <c r="F148" s="1213" t="s">
        <v>3904</v>
      </c>
      <c r="G148" s="1213"/>
      <c r="H148" s="1213"/>
      <c r="I148" s="1210"/>
      <c r="J148" s="1211"/>
      <c r="K148" s="1212"/>
      <c r="L148" s="1191" t="s">
        <v>4087</v>
      </c>
    </row>
    <row r="149" spans="1:12" s="1186" customFormat="1" ht="12" customHeight="1">
      <c r="A149" s="1222">
        <v>34</v>
      </c>
      <c r="B149" s="1208" t="s">
        <v>4050</v>
      </c>
      <c r="C149" s="1208"/>
      <c r="D149" s="1208" t="s">
        <v>3843</v>
      </c>
      <c r="E149" s="1190" t="s">
        <v>3611</v>
      </c>
      <c r="F149" s="1213" t="s">
        <v>3905</v>
      </c>
      <c r="G149" s="1213"/>
      <c r="H149" s="1213"/>
      <c r="I149" s="1210"/>
      <c r="J149" s="1211"/>
      <c r="K149" s="1212"/>
      <c r="L149" s="1191" t="s">
        <v>4087</v>
      </c>
    </row>
    <row r="150" spans="1:12" s="1186" customFormat="1" ht="12" customHeight="1">
      <c r="A150" s="1183"/>
      <c r="B150" s="1184"/>
      <c r="C150" s="1184"/>
      <c r="D150" s="1184"/>
      <c r="E150" s="1192" t="s">
        <v>3609</v>
      </c>
      <c r="F150" s="1186" t="s">
        <v>3906</v>
      </c>
      <c r="I150" s="1187"/>
      <c r="J150" s="1193"/>
      <c r="L150" s="1191" t="s">
        <v>4087</v>
      </c>
    </row>
    <row r="151" spans="1:12" s="1186" customFormat="1" ht="12" customHeight="1">
      <c r="A151" s="1183"/>
      <c r="B151" s="1184"/>
      <c r="C151" s="1184"/>
      <c r="D151" s="1184"/>
      <c r="E151" s="1192" t="s">
        <v>3610</v>
      </c>
      <c r="F151" s="1186" t="s">
        <v>3907</v>
      </c>
      <c r="I151" s="1187"/>
      <c r="J151" s="1193"/>
      <c r="L151" s="1191" t="s">
        <v>4087</v>
      </c>
    </row>
    <row r="152" spans="1:12" s="1186" customFormat="1" ht="12" customHeight="1">
      <c r="A152" s="1183"/>
      <c r="B152" s="1184"/>
      <c r="C152" s="1184"/>
      <c r="D152" s="1184"/>
      <c r="E152" s="1192" t="s">
        <v>3612</v>
      </c>
      <c r="F152" s="1186" t="s">
        <v>3908</v>
      </c>
      <c r="I152" s="1187"/>
      <c r="J152" s="1193"/>
      <c r="L152" s="1191" t="s">
        <v>4087</v>
      </c>
    </row>
    <row r="153" spans="1:12" s="1186" customFormat="1" ht="12" customHeight="1">
      <c r="A153" s="1183"/>
      <c r="B153" s="1184"/>
      <c r="C153" s="1184"/>
      <c r="D153" s="1184"/>
      <c r="E153" s="1192" t="s">
        <v>3613</v>
      </c>
      <c r="F153" s="1186" t="s">
        <v>3909</v>
      </c>
      <c r="I153" s="1187"/>
      <c r="J153" s="1193"/>
      <c r="L153" s="1191" t="s">
        <v>4087</v>
      </c>
    </row>
    <row r="154" spans="1:12" s="1186" customFormat="1" ht="12" customHeight="1">
      <c r="A154" s="1183"/>
      <c r="B154" s="1184"/>
      <c r="C154" s="1184"/>
      <c r="D154" s="1184"/>
      <c r="E154" s="1192" t="s">
        <v>3614</v>
      </c>
      <c r="F154" s="1186" t="s">
        <v>34</v>
      </c>
      <c r="I154" s="1187"/>
      <c r="J154" s="1193"/>
      <c r="L154" s="1191" t="s">
        <v>4087</v>
      </c>
    </row>
    <row r="155" spans="1:12" s="1186" customFormat="1" ht="12" customHeight="1">
      <c r="A155" s="1183"/>
      <c r="B155" s="1184"/>
      <c r="C155" s="1184"/>
      <c r="D155" s="1184"/>
      <c r="E155" s="1192" t="s">
        <v>3615</v>
      </c>
      <c r="F155" s="1186" t="s">
        <v>3910</v>
      </c>
      <c r="I155" s="1187"/>
      <c r="J155" s="1193"/>
      <c r="L155" s="1191" t="s">
        <v>4087</v>
      </c>
    </row>
    <row r="156" spans="1:12" s="1186" customFormat="1" ht="12" customHeight="1">
      <c r="A156" s="1222">
        <v>35</v>
      </c>
      <c r="B156" s="1223" t="s">
        <v>3971</v>
      </c>
      <c r="C156" s="1208"/>
      <c r="D156" s="1208" t="s">
        <v>3840</v>
      </c>
      <c r="E156" s="1190" t="s">
        <v>3611</v>
      </c>
      <c r="F156" s="1213" t="s">
        <v>4020</v>
      </c>
      <c r="G156" s="1213"/>
      <c r="H156" s="1213"/>
      <c r="I156" s="1210"/>
      <c r="J156" s="1213"/>
      <c r="K156" s="1212"/>
      <c r="L156" s="1191" t="s">
        <v>4087</v>
      </c>
    </row>
    <row r="157" spans="1:12" s="1186" customFormat="1" ht="12" customHeight="1">
      <c r="A157" s="1183"/>
      <c r="B157" s="1224"/>
      <c r="C157" s="1184"/>
      <c r="D157" s="1184"/>
      <c r="E157" s="1205"/>
      <c r="F157" s="1186" t="s">
        <v>4021</v>
      </c>
      <c r="I157" s="1187"/>
      <c r="J157" s="1193"/>
      <c r="L157" s="1191" t="s">
        <v>4087</v>
      </c>
    </row>
    <row r="158" spans="1:12" s="1186" customFormat="1" ht="12" customHeight="1">
      <c r="A158" s="1183"/>
      <c r="B158" s="1224"/>
      <c r="C158" s="1184"/>
      <c r="D158" s="1184"/>
      <c r="E158" s="1205"/>
      <c r="F158" s="1186" t="s">
        <v>4022</v>
      </c>
      <c r="I158" s="1187"/>
      <c r="J158" s="1193"/>
      <c r="L158" s="1191" t="s">
        <v>4087</v>
      </c>
    </row>
    <row r="159" spans="1:12" s="1186" customFormat="1" ht="12" customHeight="1">
      <c r="A159" s="1183"/>
      <c r="B159" s="1184"/>
      <c r="C159" s="1184"/>
      <c r="D159" s="1184"/>
      <c r="E159" s="1205"/>
      <c r="F159" s="1186" t="s">
        <v>4023</v>
      </c>
      <c r="I159" s="1187"/>
      <c r="J159" s="1193"/>
      <c r="L159" s="1191" t="s">
        <v>4087</v>
      </c>
    </row>
    <row r="160" spans="1:12" s="1186" customFormat="1" ht="12" customHeight="1">
      <c r="A160" s="1183"/>
      <c r="B160" s="1184"/>
      <c r="C160" s="1184"/>
      <c r="D160" s="1184"/>
      <c r="E160" s="1205"/>
      <c r="F160" s="1186" t="s">
        <v>4024</v>
      </c>
      <c r="I160" s="1187"/>
      <c r="J160" s="1193"/>
      <c r="L160" s="1191" t="s">
        <v>4087</v>
      </c>
    </row>
    <row r="161" spans="1:12" s="1186" customFormat="1" ht="12" customHeight="1">
      <c r="A161" s="1183"/>
      <c r="B161" s="1184"/>
      <c r="C161" s="1184"/>
      <c r="D161" s="1184"/>
      <c r="E161" s="1205"/>
      <c r="F161" s="1186" t="s">
        <v>4025</v>
      </c>
      <c r="I161" s="1187"/>
      <c r="J161" s="1193"/>
      <c r="L161" s="1191" t="s">
        <v>4087</v>
      </c>
    </row>
    <row r="162" spans="1:12" s="1186" customFormat="1" ht="12" customHeight="1">
      <c r="A162" s="1183"/>
      <c r="C162" s="1200"/>
      <c r="D162" s="1184" t="s">
        <v>3809</v>
      </c>
      <c r="E162" s="1192" t="s">
        <v>3609</v>
      </c>
      <c r="F162" s="1186" t="s">
        <v>4026</v>
      </c>
      <c r="I162" s="1187"/>
      <c r="J162" s="1193"/>
      <c r="L162" s="1191" t="s">
        <v>4087</v>
      </c>
    </row>
    <row r="163" spans="1:12" s="1186" customFormat="1" ht="12" customHeight="1">
      <c r="A163" s="1183"/>
      <c r="B163" s="1184"/>
      <c r="C163" s="1184"/>
      <c r="D163" s="1184"/>
      <c r="E163" s="1205"/>
      <c r="F163" s="1186" t="s">
        <v>4027</v>
      </c>
      <c r="I163" s="1187"/>
      <c r="J163" s="1193"/>
      <c r="L163" s="1191" t="s">
        <v>4087</v>
      </c>
    </row>
    <row r="164" spans="1:12" s="1186" customFormat="1" ht="12" customHeight="1">
      <c r="A164" s="1222">
        <v>36</v>
      </c>
      <c r="B164" s="1223" t="s">
        <v>4052</v>
      </c>
      <c r="C164" s="1223"/>
      <c r="D164" s="1208" t="s">
        <v>3809</v>
      </c>
      <c r="E164" s="1190" t="s">
        <v>3611</v>
      </c>
      <c r="F164" s="1234" t="s">
        <v>3911</v>
      </c>
      <c r="G164" s="1234"/>
      <c r="H164" s="1234"/>
      <c r="I164" s="1210"/>
      <c r="J164" s="1211"/>
      <c r="K164" s="1212"/>
      <c r="L164" s="1191" t="s">
        <v>4087</v>
      </c>
    </row>
    <row r="165" spans="1:12" s="1186" customFormat="1" ht="12" customHeight="1">
      <c r="A165" s="1183"/>
      <c r="B165" s="1227"/>
      <c r="C165" s="1227"/>
      <c r="D165" s="1184"/>
      <c r="E165" s="1192" t="s">
        <v>3609</v>
      </c>
      <c r="F165" s="1250" t="s">
        <v>3912</v>
      </c>
      <c r="G165" s="1250"/>
      <c r="H165" s="1250"/>
      <c r="I165" s="1187"/>
      <c r="J165" s="1193"/>
      <c r="L165" s="1191" t="s">
        <v>4087</v>
      </c>
    </row>
    <row r="166" spans="1:12" s="1186" customFormat="1" ht="12" customHeight="1">
      <c r="A166" s="1222">
        <v>37</v>
      </c>
      <c r="B166" s="1223" t="s">
        <v>4053</v>
      </c>
      <c r="C166" s="1223"/>
      <c r="D166" s="1208" t="s">
        <v>3840</v>
      </c>
      <c r="E166" s="1190" t="s">
        <v>3611</v>
      </c>
      <c r="F166" s="1213" t="s">
        <v>597</v>
      </c>
      <c r="G166" s="1213"/>
      <c r="H166" s="1213"/>
      <c r="I166" s="1210"/>
      <c r="J166" s="1211"/>
      <c r="K166" s="1212"/>
      <c r="L166" s="1191" t="s">
        <v>4087</v>
      </c>
    </row>
    <row r="167" spans="1:12" s="1186" customFormat="1" ht="12" customHeight="1">
      <c r="A167" s="1183"/>
      <c r="B167" s="1224"/>
      <c r="C167" s="1224"/>
      <c r="D167" s="1184"/>
      <c r="E167" s="1192" t="s">
        <v>3609</v>
      </c>
      <c r="F167" s="1186" t="s">
        <v>548</v>
      </c>
      <c r="I167" s="1187"/>
      <c r="J167" s="1193"/>
      <c r="L167" s="1191" t="s">
        <v>4087</v>
      </c>
    </row>
    <row r="168" spans="1:12" s="1186" customFormat="1" ht="12" customHeight="1">
      <c r="A168" s="1183"/>
      <c r="B168" s="1184"/>
      <c r="C168" s="1184"/>
      <c r="D168" s="1184"/>
      <c r="E168" s="1192" t="s">
        <v>3610</v>
      </c>
      <c r="F168" s="1186" t="s">
        <v>3913</v>
      </c>
      <c r="I168" s="1187"/>
      <c r="J168" s="1193"/>
      <c r="L168" s="1191" t="s">
        <v>4087</v>
      </c>
    </row>
    <row r="169" spans="1:12" s="1186" customFormat="1" ht="12" customHeight="1">
      <c r="A169" s="1183"/>
      <c r="C169" s="1200"/>
      <c r="D169" s="1184" t="s">
        <v>4056</v>
      </c>
      <c r="E169" s="1192" t="s">
        <v>3612</v>
      </c>
      <c r="F169" s="1186" t="s">
        <v>3914</v>
      </c>
      <c r="I169" s="1187"/>
      <c r="J169" s="1193"/>
      <c r="L169" s="1191" t="s">
        <v>4087</v>
      </c>
    </row>
    <row r="170" spans="1:12" s="1186" customFormat="1" ht="12" customHeight="1">
      <c r="A170" s="1222">
        <v>38</v>
      </c>
      <c r="B170" s="1208" t="s">
        <v>4054</v>
      </c>
      <c r="C170" s="1208"/>
      <c r="D170" s="1208" t="s">
        <v>4055</v>
      </c>
      <c r="E170" s="1190" t="s">
        <v>3611</v>
      </c>
      <c r="F170" s="1213" t="s">
        <v>4028</v>
      </c>
      <c r="G170" s="1213"/>
      <c r="H170" s="1213"/>
      <c r="I170" s="1210"/>
      <c r="J170" s="1211"/>
      <c r="K170" s="1212"/>
      <c r="L170" s="1191" t="s">
        <v>4087</v>
      </c>
    </row>
    <row r="171" spans="1:12" s="1186" customFormat="1" ht="12" customHeight="1">
      <c r="A171" s="1183"/>
      <c r="B171" s="1184"/>
      <c r="C171" s="1184"/>
      <c r="D171" s="1184"/>
      <c r="E171" s="1251"/>
      <c r="F171" s="1186" t="s">
        <v>4029</v>
      </c>
      <c r="I171" s="1187"/>
      <c r="J171" s="1193"/>
      <c r="L171" s="1191" t="s">
        <v>4087</v>
      </c>
    </row>
    <row r="172" spans="1:12" s="1186" customFormat="1" ht="12" customHeight="1">
      <c r="A172" s="1183"/>
      <c r="C172" s="1200"/>
      <c r="D172" s="1184" t="s">
        <v>3915</v>
      </c>
      <c r="E172" s="1192" t="s">
        <v>3609</v>
      </c>
      <c r="F172" s="1186" t="s">
        <v>4030</v>
      </c>
      <c r="I172" s="1187"/>
      <c r="J172" s="1193"/>
      <c r="L172" s="1191" t="s">
        <v>4087</v>
      </c>
    </row>
    <row r="173" spans="1:12" s="1186" customFormat="1" ht="12" customHeight="1">
      <c r="A173" s="1183"/>
      <c r="C173" s="1200"/>
      <c r="D173" s="1184" t="s">
        <v>3916</v>
      </c>
      <c r="E173" s="1192"/>
      <c r="F173" s="1186" t="s">
        <v>4031</v>
      </c>
      <c r="I173" s="1187"/>
      <c r="J173" s="1193"/>
      <c r="L173" s="1191" t="s">
        <v>4087</v>
      </c>
    </row>
    <row r="174" spans="1:12" s="1186" customFormat="1" ht="12" customHeight="1">
      <c r="A174" s="1183"/>
      <c r="C174" s="1200"/>
      <c r="D174" s="1184" t="s">
        <v>3917</v>
      </c>
      <c r="E174" s="1192"/>
      <c r="F174" s="1186" t="s">
        <v>4032</v>
      </c>
      <c r="I174" s="1187"/>
      <c r="J174" s="1193"/>
      <c r="L174" s="1191" t="s">
        <v>4087</v>
      </c>
    </row>
    <row r="175" spans="1:12" s="1186" customFormat="1" ht="12" customHeight="1">
      <c r="A175" s="1183"/>
      <c r="B175" s="1184"/>
      <c r="C175" s="1184"/>
      <c r="D175" s="1184"/>
      <c r="E175" s="1195"/>
      <c r="F175" s="1186" t="s">
        <v>4033</v>
      </c>
      <c r="I175" s="1187"/>
      <c r="L175" s="1191" t="s">
        <v>4087</v>
      </c>
    </row>
    <row r="176" spans="1:12" s="1186" customFormat="1" ht="12" customHeight="1">
      <c r="A176" s="1252">
        <v>39</v>
      </c>
      <c r="B176" s="1253" t="s">
        <v>4063</v>
      </c>
      <c r="C176" s="1253"/>
      <c r="D176" s="1253"/>
      <c r="E176" s="1254"/>
      <c r="F176" s="1254"/>
      <c r="G176" s="1254"/>
      <c r="H176" s="1254"/>
      <c r="I176" s="1254"/>
      <c r="J176" s="1254"/>
      <c r="K176" s="1254"/>
    </row>
    <row r="177" spans="1:12" s="1186" customFormat="1" ht="23.25" customHeight="1">
      <c r="A177" s="1198"/>
      <c r="B177" s="1255" t="s">
        <v>4061</v>
      </c>
      <c r="C177" s="1255"/>
      <c r="D177" s="1256" t="s">
        <v>4062</v>
      </c>
      <c r="E177" s="1257" t="s">
        <v>3779</v>
      </c>
      <c r="F177" s="1258" t="s">
        <v>4064</v>
      </c>
      <c r="G177" s="1259"/>
      <c r="H177" s="1259"/>
      <c r="I177" s="1259"/>
      <c r="J177" s="1259"/>
      <c r="K177" s="1259"/>
    </row>
    <row r="178" spans="1:12" s="1186" customFormat="1" ht="12" customHeight="1">
      <c r="A178" s="1198"/>
      <c r="B178" s="1260"/>
      <c r="C178" s="1261"/>
      <c r="D178" s="1262"/>
      <c r="E178" s="1263" t="s">
        <v>3611</v>
      </c>
      <c r="F178" s="1264" t="s">
        <v>4160</v>
      </c>
      <c r="G178" s="1264"/>
      <c r="H178" s="1264"/>
      <c r="I178" s="1264"/>
      <c r="J178" s="1264"/>
      <c r="K178" s="1264"/>
      <c r="L178" s="1191" t="s">
        <v>4088</v>
      </c>
    </row>
    <row r="179" spans="1:12" s="1186" customFormat="1" ht="12" customHeight="1">
      <c r="A179" s="1183"/>
      <c r="B179" s="1265"/>
      <c r="C179" s="1266"/>
      <c r="D179" s="1267"/>
      <c r="E179" s="1268" t="s">
        <v>3609</v>
      </c>
      <c r="F179" s="1269"/>
      <c r="G179" s="1269"/>
      <c r="H179" s="1269"/>
      <c r="I179" s="1269"/>
      <c r="J179" s="1269"/>
      <c r="K179" s="1269"/>
      <c r="L179" s="1191"/>
    </row>
    <row r="180" spans="1:12" s="1186" customFormat="1" ht="12" customHeight="1">
      <c r="A180" s="1183"/>
      <c r="B180" s="1265"/>
      <c r="C180" s="1266"/>
      <c r="D180" s="1267"/>
      <c r="E180" s="1268" t="s">
        <v>3610</v>
      </c>
      <c r="F180" s="1269"/>
      <c r="G180" s="1269"/>
      <c r="H180" s="1269"/>
      <c r="I180" s="1269"/>
      <c r="J180" s="1269"/>
      <c r="K180" s="1269"/>
      <c r="L180" s="1191"/>
    </row>
    <row r="181" spans="1:12" s="1186" customFormat="1" ht="12" customHeight="1">
      <c r="A181" s="1183"/>
      <c r="B181" s="1265"/>
      <c r="C181" s="1266"/>
      <c r="D181" s="1267"/>
      <c r="E181" s="1268" t="s">
        <v>3612</v>
      </c>
      <c r="F181" s="1269"/>
      <c r="G181" s="1269"/>
      <c r="H181" s="1269"/>
      <c r="I181" s="1269"/>
      <c r="J181" s="1269"/>
      <c r="K181" s="1269"/>
      <c r="L181" s="1191"/>
    </row>
    <row r="182" spans="1:12" s="1186" customFormat="1" ht="12" customHeight="1">
      <c r="A182" s="1183"/>
      <c r="B182" s="1265"/>
      <c r="C182" s="1266"/>
      <c r="D182" s="1267"/>
      <c r="E182" s="1268" t="s">
        <v>3613</v>
      </c>
      <c r="F182" s="1269"/>
      <c r="G182" s="1269"/>
      <c r="H182" s="1269"/>
      <c r="I182" s="1269"/>
      <c r="J182" s="1269"/>
      <c r="K182" s="1269"/>
      <c r="L182" s="1191"/>
    </row>
    <row r="183" spans="1:12" s="1186" customFormat="1" ht="12" customHeight="1">
      <c r="A183" s="1183"/>
      <c r="B183" s="1265"/>
      <c r="C183" s="1266"/>
      <c r="D183" s="1267"/>
      <c r="E183" s="1268" t="s">
        <v>3614</v>
      </c>
      <c r="F183" s="1269"/>
      <c r="G183" s="1269"/>
      <c r="H183" s="1269"/>
      <c r="I183" s="1269"/>
      <c r="J183" s="1269"/>
      <c r="K183" s="1269"/>
      <c r="L183" s="1191"/>
    </row>
    <row r="184" spans="1:12" s="1186" customFormat="1" ht="12" customHeight="1">
      <c r="A184" s="1183"/>
      <c r="B184" s="1265"/>
      <c r="C184" s="1266"/>
      <c r="D184" s="1267"/>
      <c r="E184" s="1268" t="s">
        <v>3615</v>
      </c>
      <c r="F184" s="1269"/>
      <c r="G184" s="1269"/>
      <c r="H184" s="1269"/>
      <c r="I184" s="1269"/>
      <c r="J184" s="1269"/>
      <c r="K184" s="1269"/>
      <c r="L184" s="1191"/>
    </row>
    <row r="185" spans="1:12" s="1186" customFormat="1" ht="12" customHeight="1">
      <c r="A185" s="1183"/>
      <c r="B185" s="1265"/>
      <c r="C185" s="1266"/>
      <c r="D185" s="1267"/>
      <c r="E185" s="1268" t="s">
        <v>3949</v>
      </c>
      <c r="F185" s="1269"/>
      <c r="G185" s="1269"/>
      <c r="H185" s="1269"/>
      <c r="I185" s="1269"/>
      <c r="J185" s="1269"/>
      <c r="K185" s="1269"/>
      <c r="L185" s="1191"/>
    </row>
    <row r="186" spans="1:12" s="1186" customFormat="1" ht="12" customHeight="1">
      <c r="A186" s="1183"/>
      <c r="B186" s="1265"/>
      <c r="C186" s="1266"/>
      <c r="D186" s="1267"/>
      <c r="E186" s="1268" t="s">
        <v>3950</v>
      </c>
      <c r="F186" s="1269"/>
      <c r="G186" s="1269"/>
      <c r="H186" s="1269"/>
      <c r="I186" s="1269"/>
      <c r="J186" s="1269"/>
      <c r="K186" s="1269"/>
      <c r="L186" s="1191"/>
    </row>
    <row r="187" spans="1:12" s="1186" customFormat="1" ht="12" customHeight="1">
      <c r="A187" s="1183"/>
      <c r="B187" s="1270"/>
      <c r="C187" s="1271"/>
      <c r="D187" s="1272"/>
      <c r="E187" s="1273" t="s">
        <v>4057</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2013-036 Davidson Senior Manor, Augusta, Richmond County</v>
      </c>
      <c r="B1" s="927"/>
      <c r="C1" s="927"/>
      <c r="D1" s="927"/>
      <c r="E1" s="927"/>
      <c r="F1" s="927"/>
      <c r="G1" s="927"/>
      <c r="H1" s="927"/>
      <c r="I1" s="927"/>
      <c r="J1" s="927"/>
      <c r="K1" s="927"/>
      <c r="L1" s="927"/>
      <c r="M1" s="927"/>
      <c r="N1" s="927"/>
      <c r="O1" s="927"/>
      <c r="P1" s="928"/>
      <c r="T1" s="1013" t="str">
        <f>A1</f>
        <v>PART SIX - PROJECTED REVENUES &amp; EXPENSES  -  2013-036 Davidson Senior Manor, Augusta, Richmond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3568</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3042</v>
      </c>
      <c r="AC4" s="1016" t="s">
        <v>3043</v>
      </c>
      <c r="AD4" s="1016" t="s">
        <v>3044</v>
      </c>
      <c r="AE4" s="1016" t="s">
        <v>3045</v>
      </c>
      <c r="AF4" s="1016" t="s">
        <v>1317</v>
      </c>
      <c r="AG4" s="1016" t="s">
        <v>3046</v>
      </c>
      <c r="AH4" s="1016" t="s">
        <v>3047</v>
      </c>
      <c r="AI4" s="1016" t="s">
        <v>3048</v>
      </c>
      <c r="AJ4" s="1016" t="s">
        <v>3049</v>
      </c>
      <c r="AK4" s="1016" t="s">
        <v>136</v>
      </c>
      <c r="AL4" s="1016" t="s">
        <v>3050</v>
      </c>
      <c r="AM4" s="1016" t="s">
        <v>3051</v>
      </c>
      <c r="AN4" s="1016" t="s">
        <v>3052</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3198</v>
      </c>
      <c r="BU4" s="1016" t="s">
        <v>3199</v>
      </c>
      <c r="BV4" s="1016" t="s">
        <v>3200</v>
      </c>
      <c r="BW4" s="1016" t="s">
        <v>3201</v>
      </c>
      <c r="BX4" s="1016" t="s">
        <v>3202</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3197</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2931</v>
      </c>
      <c r="EM4" s="1015" t="s">
        <v>2932</v>
      </c>
      <c r="EN4" s="1015" t="s">
        <v>2933</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3313</v>
      </c>
      <c r="GQ4" s="1015" t="s">
        <v>3314</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31"/>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t="s">
        <v>4087</v>
      </c>
      <c r="J6" s="804" t="s">
        <v>3170</v>
      </c>
      <c r="N6" s="1019" t="str">
        <f>'Part I-Project Information'!$J$28</f>
        <v>Augusta-Richmond Co.</v>
      </c>
      <c r="O6" s="1019"/>
      <c r="P6" s="558">
        <f>VLOOKUP('Part I-Project Information'!$J$28,'DCA Underwriting Assumptions'!$C$81:$D$191,2)</f>
        <v>56800</v>
      </c>
      <c r="Q6" s="628"/>
      <c r="R6" s="1021" t="s">
        <v>3604</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3171</v>
      </c>
      <c r="K7" s="1"/>
      <c r="L7" s="1"/>
      <c r="M7" s="1"/>
      <c r="N7" s="37"/>
      <c r="O7" s="37"/>
      <c r="P7" s="664"/>
      <c r="Q7" s="664"/>
      <c r="R7" s="665"/>
      <c r="S7" s="666" t="s">
        <v>3601</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3147</v>
      </c>
      <c r="H8" s="804" t="s">
        <v>3145</v>
      </c>
      <c r="I8" s="804" t="s">
        <v>1191</v>
      </c>
      <c r="J8" s="804" t="s">
        <v>3172</v>
      </c>
      <c r="K8" s="1017" t="s">
        <v>152</v>
      </c>
      <c r="L8" s="1017"/>
      <c r="M8" s="804" t="s">
        <v>3123</v>
      </c>
      <c r="N8" s="804" t="s">
        <v>699</v>
      </c>
      <c r="O8" s="804" t="s">
        <v>417</v>
      </c>
      <c r="P8" s="1020" t="s">
        <v>1446</v>
      </c>
      <c r="Q8" s="1020"/>
      <c r="R8" s="805" t="s">
        <v>3600</v>
      </c>
      <c r="S8" s="805" t="s">
        <v>3602</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3208</v>
      </c>
      <c r="EX8" s="635" t="s">
        <v>3209</v>
      </c>
      <c r="EY8" s="635" t="s">
        <v>3210</v>
      </c>
      <c r="EZ8" s="635" t="s">
        <v>3211</v>
      </c>
      <c r="FA8" s="1015" t="s">
        <v>3280</v>
      </c>
      <c r="FB8" s="1015" t="s">
        <v>3280</v>
      </c>
      <c r="FC8" s="1015" t="s">
        <v>3280</v>
      </c>
      <c r="FD8" s="1015" t="s">
        <v>3280</v>
      </c>
      <c r="FE8" s="1015" t="s">
        <v>3280</v>
      </c>
      <c r="FF8" s="635" t="s">
        <v>619</v>
      </c>
      <c r="FG8" s="635" t="s">
        <v>3208</v>
      </c>
      <c r="FH8" s="635" t="s">
        <v>3209</v>
      </c>
      <c r="FI8" s="635" t="s">
        <v>3210</v>
      </c>
      <c r="FJ8" s="635" t="s">
        <v>3211</v>
      </c>
      <c r="FK8" s="1015" t="s">
        <v>3282</v>
      </c>
      <c r="FL8" s="1015" t="s">
        <v>3282</v>
      </c>
      <c r="FM8" s="1015" t="s">
        <v>3282</v>
      </c>
      <c r="FN8" s="1015" t="s">
        <v>3282</v>
      </c>
      <c r="FO8" s="1015" t="s">
        <v>3282</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3146</v>
      </c>
      <c r="I9" s="804" t="s">
        <v>1192</v>
      </c>
      <c r="J9" s="625" t="s">
        <v>383</v>
      </c>
      <c r="K9" s="804" t="s">
        <v>1987</v>
      </c>
      <c r="L9" s="804" t="s">
        <v>706</v>
      </c>
      <c r="M9" s="804" t="s">
        <v>1925</v>
      </c>
      <c r="N9" s="804" t="s">
        <v>1730</v>
      </c>
      <c r="O9" s="804" t="s">
        <v>418</v>
      </c>
      <c r="P9" s="805" t="s">
        <v>1444</v>
      </c>
      <c r="Q9" s="805" t="s">
        <v>1445</v>
      </c>
      <c r="R9" s="805" t="s">
        <v>1927</v>
      </c>
      <c r="S9" s="805" t="s">
        <v>3603</v>
      </c>
      <c r="T9" s="883" t="s">
        <v>2550</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3279</v>
      </c>
      <c r="EX9" s="635" t="s">
        <v>3279</v>
      </c>
      <c r="EY9" s="635" t="s">
        <v>3279</v>
      </c>
      <c r="EZ9" s="635" t="s">
        <v>3279</v>
      </c>
      <c r="FA9" s="1015"/>
      <c r="FB9" s="1015"/>
      <c r="FC9" s="1015"/>
      <c r="FD9" s="1015"/>
      <c r="FE9" s="1015"/>
      <c r="FF9" s="635" t="s">
        <v>3281</v>
      </c>
      <c r="FG9" s="635" t="s">
        <v>3281</v>
      </c>
      <c r="FH9" s="635" t="s">
        <v>3281</v>
      </c>
      <c r="FI9" s="635" t="s">
        <v>3281</v>
      </c>
      <c r="FJ9" s="635" t="s">
        <v>3281</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3</v>
      </c>
      <c r="F10" s="1536">
        <v>708</v>
      </c>
      <c r="G10" s="1536">
        <v>533</v>
      </c>
      <c r="H10" s="1536">
        <v>533</v>
      </c>
      <c r="I10" s="1536">
        <v>136</v>
      </c>
      <c r="J10" s="1537"/>
      <c r="K10" s="204">
        <f>MAX(0,H10-I10)</f>
        <v>397</v>
      </c>
      <c r="L10" s="204">
        <f t="shared" ref="L10:L47" si="0">MAX(0,E10*K10)</f>
        <v>1191</v>
      </c>
      <c r="M10" s="1538" t="s">
        <v>4087</v>
      </c>
      <c r="N10" s="1538" t="s">
        <v>4127</v>
      </c>
      <c r="O10" s="1538" t="s">
        <v>3025</v>
      </c>
      <c r="P10" s="559">
        <f>IF(H10="","",H10*12/0.3)</f>
        <v>21320</v>
      </c>
      <c r="Q10" s="560">
        <f>IF(H10="","",P10/($P$6*VLOOKUP(C10,'DCA Underwriting Assumptions'!$J$81:$K$86,2,FALSE)))</f>
        <v>0.50046948356807508</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2124</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1562</v>
      </c>
      <c r="C11" s="1540">
        <v>1</v>
      </c>
      <c r="D11" s="1541">
        <v>1</v>
      </c>
      <c r="E11" s="1542">
        <v>16</v>
      </c>
      <c r="F11" s="1542">
        <v>708</v>
      </c>
      <c r="G11" s="1542">
        <v>639</v>
      </c>
      <c r="H11" s="1542">
        <v>639</v>
      </c>
      <c r="I11" s="1542">
        <v>136</v>
      </c>
      <c r="J11" s="1543"/>
      <c r="K11" s="205">
        <f t="shared" ref="K11:K27" si="172">MAX(0,H11-I11)</f>
        <v>503</v>
      </c>
      <c r="L11" s="205">
        <f t="shared" si="0"/>
        <v>8048</v>
      </c>
      <c r="M11" s="1544" t="s">
        <v>4087</v>
      </c>
      <c r="N11" s="1544" t="s">
        <v>4127</v>
      </c>
      <c r="O11" s="1544" t="s">
        <v>3025</v>
      </c>
      <c r="P11" s="559">
        <f>IF(H11="","",H11*12/0.3)</f>
        <v>25560</v>
      </c>
      <c r="Q11" s="560">
        <f>IF(H11="","",P11/($P$6*VLOOKUP(C11,'DCA Underwriting Assumptions'!$J$81:$K$86,2,FALSE)))</f>
        <v>0.6</v>
      </c>
      <c r="R11" s="667"/>
      <c r="S11" s="560"/>
      <c r="T11" s="1483"/>
      <c r="U11" s="1484"/>
      <c r="V11" s="624" t="str">
        <f t="shared" si="1"/>
        <v/>
      </c>
      <c r="W11" s="624">
        <f t="shared" si="2"/>
        <v>16</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11328</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16</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16</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16</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2</v>
      </c>
      <c r="D12" s="1541">
        <v>1</v>
      </c>
      <c r="E12" s="1542">
        <v>5</v>
      </c>
      <c r="F12" s="1542">
        <v>955</v>
      </c>
      <c r="G12" s="1542">
        <v>640</v>
      </c>
      <c r="H12" s="1542">
        <v>640</v>
      </c>
      <c r="I12" s="1542">
        <v>178</v>
      </c>
      <c r="J12" s="1543"/>
      <c r="K12" s="205">
        <f t="shared" si="172"/>
        <v>462</v>
      </c>
      <c r="L12" s="205">
        <f t="shared" si="0"/>
        <v>2310</v>
      </c>
      <c r="M12" s="1544" t="s">
        <v>4087</v>
      </c>
      <c r="N12" s="1544" t="s">
        <v>4127</v>
      </c>
      <c r="O12" s="1544" t="s">
        <v>3025</v>
      </c>
      <c r="P12" s="559">
        <f>IF(H12="","",H12*12/0.3)</f>
        <v>25600</v>
      </c>
      <c r="Q12" s="560">
        <f>IF(H12="","",P12/($P$6*VLOOKUP(C12,'DCA Underwriting Assumptions'!$J$81:$K$86,2,FALSE)))</f>
        <v>0.50078247261345854</v>
      </c>
      <c r="R12" s="667"/>
      <c r="S12" s="560"/>
      <c r="T12" s="1483"/>
      <c r="U12" s="1484"/>
      <c r="V12" s="624" t="str">
        <f t="shared" si="1"/>
        <v/>
      </c>
      <c r="W12" s="624" t="str">
        <f t="shared" si="2"/>
        <v/>
      </c>
      <c r="X12" s="624" t="str">
        <f t="shared" si="3"/>
        <v/>
      </c>
      <c r="Y12" s="624" t="str">
        <f t="shared" si="4"/>
        <v/>
      </c>
      <c r="Z12" s="624" t="str">
        <f t="shared" si="5"/>
        <v/>
      </c>
      <c r="AA12" s="624" t="str">
        <f t="shared" si="6"/>
        <v/>
      </c>
      <c r="AB12" s="624" t="str">
        <f t="shared" si="7"/>
        <v/>
      </c>
      <c r="AC12" s="624">
        <f t="shared" si="8"/>
        <v>5</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4775</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5</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5</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5</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1562</v>
      </c>
      <c r="C13" s="1540">
        <v>2</v>
      </c>
      <c r="D13" s="1541">
        <v>1</v>
      </c>
      <c r="E13" s="1542">
        <v>24</v>
      </c>
      <c r="F13" s="1542">
        <v>955</v>
      </c>
      <c r="G13" s="1542">
        <v>768</v>
      </c>
      <c r="H13" s="1542">
        <v>768</v>
      </c>
      <c r="I13" s="1542">
        <v>178</v>
      </c>
      <c r="J13" s="1543"/>
      <c r="K13" s="205">
        <f t="shared" si="172"/>
        <v>590</v>
      </c>
      <c r="L13" s="205">
        <f t="shared" si="0"/>
        <v>14160</v>
      </c>
      <c r="M13" s="1544" t="s">
        <v>4087</v>
      </c>
      <c r="N13" s="1544" t="s">
        <v>4127</v>
      </c>
      <c r="O13" s="1544" t="s">
        <v>3025</v>
      </c>
      <c r="P13" s="559">
        <f>IF(H13="","",H13*12/0.3)</f>
        <v>30720</v>
      </c>
      <c r="Q13" s="560">
        <f>IF(H13="","",P13/($P$6*VLOOKUP(C13,'DCA Underwriting Assumptions'!$J$81:$K$86,2,FALSE)))</f>
        <v>0.60093896713615025</v>
      </c>
      <c r="R13" s="667"/>
      <c r="S13" s="560"/>
      <c r="T13" s="1483"/>
      <c r="U13" s="1484"/>
      <c r="V13" s="624" t="str">
        <f t="shared" si="1"/>
        <v/>
      </c>
      <c r="W13" s="624" t="str">
        <f t="shared" si="2"/>
        <v/>
      </c>
      <c r="X13" s="624">
        <f t="shared" si="3"/>
        <v>24</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22920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24</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24</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24</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2466</v>
      </c>
      <c r="C14" s="1540"/>
      <c r="D14" s="1541"/>
      <c r="E14" s="1542"/>
      <c r="F14" s="1542"/>
      <c r="G14" s="1542"/>
      <c r="H14" s="1542"/>
      <c r="I14" s="1542"/>
      <c r="J14" s="1543"/>
      <c r="K14" s="205">
        <f t="shared" si="172"/>
        <v>0</v>
      </c>
      <c r="L14" s="205">
        <f t="shared" si="0"/>
        <v>0</v>
      </c>
      <c r="M14" s="1544"/>
      <c r="N14" s="1544"/>
      <c r="O14" s="1544"/>
      <c r="P14" s="559" t="str">
        <f>IF(H14="","",H14*12/0.3)</f>
        <v/>
      </c>
      <c r="Q14" s="560" t="str">
        <f>IF(H14="","",P14/($P$6*VLOOKUP(C14,'DCA Underwriting Assumptions'!$J$81:$K$86,2,FALSE)))</f>
        <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2466</v>
      </c>
      <c r="C15" s="1540"/>
      <c r="D15" s="1541"/>
      <c r="E15" s="1542"/>
      <c r="F15" s="1542"/>
      <c r="G15" s="1542"/>
      <c r="H15" s="1542"/>
      <c r="I15" s="1542"/>
      <c r="J15" s="1543"/>
      <c r="K15" s="205">
        <f t="shared" si="172"/>
        <v>0</v>
      </c>
      <c r="L15" s="205">
        <f t="shared" si="0"/>
        <v>0</v>
      </c>
      <c r="M15" s="1544"/>
      <c r="N15" s="1544"/>
      <c r="O15" s="1544"/>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2466</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2466</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2466</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2466</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48</v>
      </c>
      <c r="F48" s="154">
        <f>(E10*F10+E11*F11+E12*F12+E13*F13+E14*F14+E15*F15+E16*F16+E17*F17+E18*F18+E19*F19+E20*F20+E21*F21+E22*F22+E23*F23+E24*F24+E25*F25+E26*F26+E27*F27+E28*F28+E29*F29+E30*F30+E31*F31+E32*F32+E33*F33+E34*F34+E35*F35+E36*F36+E37*F37+E38*F38+E39*F39+E40*F40+E41*F41+E42*F42+E43*F43+E44*F44+E45*F45+E46*F46+E47*F47)</f>
        <v>41147</v>
      </c>
      <c r="G48" s="145"/>
      <c r="H48" s="146"/>
      <c r="I48" s="146"/>
      <c r="J48" s="146"/>
      <c r="K48" s="15" t="s">
        <v>1736</v>
      </c>
      <c r="L48" s="152">
        <f>SUM(L10:L47)</f>
        <v>25709</v>
      </c>
      <c r="M48" s="1"/>
      <c r="N48" s="40"/>
      <c r="O48" s="1"/>
      <c r="P48" s="562"/>
      <c r="Q48" s="562"/>
      <c r="R48" s="562"/>
      <c r="S48" s="562"/>
      <c r="T48" s="561"/>
      <c r="U48" s="563"/>
      <c r="V48" s="638">
        <f t="shared" ref="V48:CK48" si="206">SUM(V10:V47)</f>
        <v>0</v>
      </c>
      <c r="W48" s="638">
        <f t="shared" si="206"/>
        <v>16</v>
      </c>
      <c r="X48" s="638">
        <f t="shared" si="206"/>
        <v>24</v>
      </c>
      <c r="Y48" s="638">
        <f t="shared" si="206"/>
        <v>0</v>
      </c>
      <c r="Z48" s="638">
        <f t="shared" si="206"/>
        <v>0</v>
      </c>
      <c r="AA48" s="638">
        <f t="shared" si="206"/>
        <v>0</v>
      </c>
      <c r="AB48" s="638">
        <f t="shared" si="206"/>
        <v>3</v>
      </c>
      <c r="AC48" s="638">
        <f t="shared" si="206"/>
        <v>5</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11328</v>
      </c>
      <c r="CA48" s="638">
        <f t="shared" si="206"/>
        <v>22920</v>
      </c>
      <c r="CB48" s="638">
        <f t="shared" si="206"/>
        <v>0</v>
      </c>
      <c r="CC48" s="638">
        <f t="shared" si="206"/>
        <v>0</v>
      </c>
      <c r="CD48" s="638">
        <f t="shared" si="206"/>
        <v>0</v>
      </c>
      <c r="CE48" s="638">
        <f t="shared" si="206"/>
        <v>2124</v>
      </c>
      <c r="CF48" s="638">
        <f t="shared" si="206"/>
        <v>4775</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19</v>
      </c>
      <c r="DE48" s="638">
        <f t="shared" si="208"/>
        <v>29</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19</v>
      </c>
      <c r="EX48" s="638">
        <f t="shared" si="209"/>
        <v>29</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19</v>
      </c>
      <c r="GL48" s="638">
        <f t="shared" si="209"/>
        <v>29</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308508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3423</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2550</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16</v>
      </c>
      <c r="J56" s="343">
        <f>X48</f>
        <v>24</v>
      </c>
      <c r="K56" s="343">
        <f>Y48</f>
        <v>0</v>
      </c>
      <c r="L56" s="343">
        <f>Z48</f>
        <v>0</v>
      </c>
      <c r="M56" s="343">
        <f t="shared" ref="M56:M62" si="211">SUM(H56:L56)</f>
        <v>40</v>
      </c>
      <c r="N56" s="1027" t="s">
        <v>1286</v>
      </c>
      <c r="O56" s="1028"/>
      <c r="P56" s="803"/>
      <c r="Q56" s="538">
        <f t="shared" ref="Q56:Q62" si="212">ABS(M56-AF56)</f>
        <v>40</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5</v>
      </c>
      <c r="K57" s="344">
        <f>AD48</f>
        <v>0</v>
      </c>
      <c r="L57" s="344">
        <f>AE48</f>
        <v>0</v>
      </c>
      <c r="M57" s="344">
        <f t="shared" si="211"/>
        <v>8</v>
      </c>
      <c r="N57" s="1027"/>
      <c r="O57" s="1028"/>
      <c r="P57" s="803"/>
      <c r="Q57" s="538">
        <f t="shared" si="212"/>
        <v>8</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19</v>
      </c>
      <c r="J58" s="345">
        <f>SUM(J56:J57)</f>
        <v>29</v>
      </c>
      <c r="K58" s="345">
        <f>SUM(K56:K57)</f>
        <v>0</v>
      </c>
      <c r="L58" s="345">
        <f>SUM(L56:L57)</f>
        <v>0</v>
      </c>
      <c r="M58" s="345">
        <f t="shared" si="211"/>
        <v>48</v>
      </c>
      <c r="N58" s="348"/>
      <c r="O58" s="99"/>
      <c r="Q58" s="538">
        <f t="shared" si="212"/>
        <v>48</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19</v>
      </c>
      <c r="J60" s="345">
        <f>SUM(J58:J59)</f>
        <v>29</v>
      </c>
      <c r="K60" s="345">
        <f>SUM(K58:K59)</f>
        <v>0</v>
      </c>
      <c r="L60" s="345">
        <f>SUM(L58:L59)</f>
        <v>0</v>
      </c>
      <c r="M60" s="345">
        <f t="shared" si="211"/>
        <v>48</v>
      </c>
      <c r="N60" s="64"/>
      <c r="O60" s="99"/>
      <c r="Q60" s="538">
        <f t="shared" si="212"/>
        <v>48</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3299</v>
      </c>
      <c r="D61" s="1"/>
      <c r="E61" s="1"/>
      <c r="F61" s="1"/>
      <c r="G61" s="44"/>
      <c r="H61" s="345">
        <f>BT48</f>
        <v>0</v>
      </c>
      <c r="I61" s="345">
        <f>BU48</f>
        <v>0</v>
      </c>
      <c r="J61" s="345">
        <f>BV48</f>
        <v>0</v>
      </c>
      <c r="K61" s="345">
        <f>BW48</f>
        <v>0</v>
      </c>
      <c r="L61" s="345">
        <f>BX48</f>
        <v>0</v>
      </c>
      <c r="M61" s="345">
        <f t="shared" si="211"/>
        <v>0</v>
      </c>
      <c r="N61" s="61" t="s">
        <v>2936</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19</v>
      </c>
      <c r="J62" s="345">
        <f>SUM(J60:J61)</f>
        <v>29</v>
      </c>
      <c r="K62" s="345">
        <f>SUM(K60:K61)</f>
        <v>0</v>
      </c>
      <c r="L62" s="345">
        <f>SUM(L60:L61)</f>
        <v>0</v>
      </c>
      <c r="M62" s="345">
        <f t="shared" si="211"/>
        <v>48</v>
      </c>
      <c r="O62" s="99"/>
      <c r="Q62" s="538">
        <f t="shared" si="212"/>
        <v>48</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3025</v>
      </c>
      <c r="F72" s="1"/>
      <c r="G72" s="44" t="s">
        <v>1875</v>
      </c>
      <c r="H72" s="343">
        <f>DC48</f>
        <v>0</v>
      </c>
      <c r="I72" s="343">
        <f>DD48</f>
        <v>19</v>
      </c>
      <c r="J72" s="343">
        <f>DE48</f>
        <v>29</v>
      </c>
      <c r="K72" s="343">
        <f>DF48</f>
        <v>0</v>
      </c>
      <c r="L72" s="343">
        <f>DG48</f>
        <v>0</v>
      </c>
      <c r="M72" s="343">
        <f t="shared" ref="M72:M82" si="213">SUM(H72:L72)</f>
        <v>48</v>
      </c>
      <c r="N72" s="31"/>
      <c r="O72" s="99"/>
      <c r="Q72" s="538">
        <f t="shared" ref="Q72:Q80" si="214">ABS(M72-AF72)</f>
        <v>48</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19</v>
      </c>
      <c r="J74" s="345">
        <f>SUM(J72:J73)+DO48</f>
        <v>29</v>
      </c>
      <c r="K74" s="345">
        <f>SUM(K72:K73)+DP48</f>
        <v>0</v>
      </c>
      <c r="L74" s="345">
        <f>SUM(L72:L73)+DQ48</f>
        <v>0</v>
      </c>
      <c r="M74" s="345">
        <f t="shared" si="213"/>
        <v>48</v>
      </c>
      <c r="N74" s="61"/>
      <c r="O74" s="99"/>
      <c r="Q74" s="538">
        <f t="shared" si="214"/>
        <v>48</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19</v>
      </c>
      <c r="J84" s="343">
        <f>SUM(J85:J88)</f>
        <v>29</v>
      </c>
      <c r="K84" s="343">
        <f>SUM(K85:K88)</f>
        <v>0</v>
      </c>
      <c r="L84" s="343">
        <f>SUM(L85:L88)</f>
        <v>0</v>
      </c>
      <c r="M84" s="343">
        <f t="shared" ref="M84:M92" si="215">SUM(H84:L84)</f>
        <v>48</v>
      </c>
      <c r="N84" s="31"/>
      <c r="O84" s="99"/>
      <c r="Q84" s="538">
        <f>ABS(M84-AF84)</f>
        <v>48</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19</v>
      </c>
      <c r="J88" s="346">
        <f>GL48</f>
        <v>29</v>
      </c>
      <c r="K88" s="346">
        <f>GM48</f>
        <v>0</v>
      </c>
      <c r="L88" s="346">
        <f>GN48</f>
        <v>0</v>
      </c>
      <c r="M88" s="346">
        <f t="shared" si="215"/>
        <v>48</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11328</v>
      </c>
      <c r="J94" s="201">
        <f>CA48</f>
        <v>22920</v>
      </c>
      <c r="K94" s="201">
        <f>CB48</f>
        <v>0</v>
      </c>
      <c r="L94" s="201">
        <f>CC48</f>
        <v>0</v>
      </c>
      <c r="M94" s="201">
        <f t="shared" ref="M94:M100" si="216">SUM(H94:L94)</f>
        <v>34248</v>
      </c>
      <c r="O94" s="99"/>
      <c r="Q94" s="538">
        <f t="shared" ref="Q94:Q100" si="217">ABS(M94-AF94)</f>
        <v>34248</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2124</v>
      </c>
      <c r="J95" s="203">
        <f>CF48</f>
        <v>4775</v>
      </c>
      <c r="K95" s="203">
        <f>CG48</f>
        <v>0</v>
      </c>
      <c r="L95" s="203">
        <f>CH48</f>
        <v>0</v>
      </c>
      <c r="M95" s="203">
        <f t="shared" si="216"/>
        <v>6899</v>
      </c>
      <c r="N95" s="6"/>
      <c r="O95" s="99"/>
      <c r="Q95" s="538">
        <f t="shared" si="217"/>
        <v>6899</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13452</v>
      </c>
      <c r="J96" s="200">
        <f>SUM(J94:J95)</f>
        <v>27695</v>
      </c>
      <c r="K96" s="200">
        <f>SUM(K94:K95)</f>
        <v>0</v>
      </c>
      <c r="L96" s="200">
        <f>SUM(L94:L95)</f>
        <v>0</v>
      </c>
      <c r="M96" s="200">
        <f t="shared" si="216"/>
        <v>41147</v>
      </c>
      <c r="N96" s="6"/>
      <c r="O96" s="99"/>
      <c r="Q96" s="538">
        <f t="shared" si="217"/>
        <v>41147</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13452</v>
      </c>
      <c r="J98" s="200">
        <f>SUM(J96:J97)</f>
        <v>27695</v>
      </c>
      <c r="K98" s="200">
        <f>SUM(K96:K97)</f>
        <v>0</v>
      </c>
      <c r="L98" s="200">
        <f>SUM(L96:L97)</f>
        <v>0</v>
      </c>
      <c r="M98" s="200">
        <f t="shared" si="216"/>
        <v>41147</v>
      </c>
      <c r="O98" s="99"/>
      <c r="Q98" s="538">
        <f t="shared" si="217"/>
        <v>41147</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13452</v>
      </c>
      <c r="J100" s="200">
        <f>SUM(J98:J99)</f>
        <v>27695</v>
      </c>
      <c r="K100" s="200">
        <f>SUM(K98:K99)</f>
        <v>0</v>
      </c>
      <c r="L100" s="200">
        <f>SUM(L98:L99)</f>
        <v>0</v>
      </c>
      <c r="M100" s="200">
        <f t="shared" si="216"/>
        <v>41147</v>
      </c>
      <c r="O100" s="99"/>
      <c r="Q100" s="538">
        <f t="shared" si="217"/>
        <v>41147</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011">
        <f>'Part VII-Pro Forma'!B9*L49</f>
        <v>6170.16</v>
      </c>
      <c r="I104" s="1012"/>
      <c r="K104" s="747" t="s">
        <v>3762</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3424</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3425</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2550</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61">
        <v>40880</v>
      </c>
      <c r="G141" s="1562"/>
      <c r="H141" s="1"/>
      <c r="I141" s="1" t="s">
        <v>1813</v>
      </c>
      <c r="J141" s="1"/>
      <c r="K141" s="1561">
        <v>500</v>
      </c>
      <c r="L141" s="1562"/>
      <c r="M141" s="1"/>
      <c r="N141" s="1" t="s">
        <v>1325</v>
      </c>
      <c r="O141" s="1"/>
      <c r="P141" s="1563">
        <v>32200</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19545</v>
      </c>
      <c r="G142" s="1562"/>
      <c r="H142" s="1"/>
      <c r="I142" s="1" t="s">
        <v>1814</v>
      </c>
      <c r="J142" s="1"/>
      <c r="K142" s="1561"/>
      <c r="L142" s="1562"/>
      <c r="M142" s="1"/>
      <c r="N142" s="1" t="s">
        <v>161</v>
      </c>
      <c r="O142" s="1"/>
      <c r="P142" s="1563">
        <v>9437.07</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v>2880</v>
      </c>
      <c r="G143" s="1562"/>
      <c r="H143" s="1"/>
      <c r="I143" s="1"/>
      <c r="J143" s="151" t="s">
        <v>209</v>
      </c>
      <c r="K143" s="1023">
        <f>SUM(K141:L142)</f>
        <v>500</v>
      </c>
      <c r="L143" s="1024"/>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4093</v>
      </c>
      <c r="C144" s="1568"/>
      <c r="D144" s="1568"/>
      <c r="E144" s="1569"/>
      <c r="F144" s="1570">
        <v>2500</v>
      </c>
      <c r="G144" s="1571"/>
      <c r="H144" s="1"/>
      <c r="I144" s="1"/>
      <c r="J144" s="1"/>
      <c r="K144" s="1"/>
      <c r="L144" s="1"/>
      <c r="M144" s="1"/>
      <c r="N144" s="13" t="s">
        <v>209</v>
      </c>
      <c r="O144" s="1"/>
      <c r="P144" s="534">
        <f>SUM(P141:P143)</f>
        <v>41637.07</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65805</v>
      </c>
      <c r="G145" s="1024"/>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20160</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2500</v>
      </c>
      <c r="G148" s="1562"/>
      <c r="H148" s="1"/>
      <c r="I148" s="1" t="s">
        <v>2067</v>
      </c>
      <c r="J148" s="1"/>
      <c r="K148" s="1572">
        <v>500</v>
      </c>
      <c r="L148" s="1573"/>
      <c r="M148" s="1"/>
      <c r="N148" s="515">
        <f>+P147/(M62*0.93)</f>
        <v>451.61290322580646</v>
      </c>
      <c r="O148" s="30" t="s">
        <v>3944</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8400</v>
      </c>
      <c r="G149" s="1562"/>
      <c r="H149" s="1"/>
      <c r="I149" s="1" t="s">
        <v>2764</v>
      </c>
      <c r="J149" s="1"/>
      <c r="K149" s="1574">
        <v>7000</v>
      </c>
      <c r="L149" s="1575"/>
      <c r="M149" s="1"/>
      <c r="N149" s="515">
        <f>+P147/(M62*0.93)/12</f>
        <v>37.634408602150536</v>
      </c>
      <c r="O149" s="30" t="s">
        <v>3947</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c r="G150" s="1562"/>
      <c r="H150" s="1"/>
      <c r="I150" s="1" t="s">
        <v>2068</v>
      </c>
      <c r="J150" s="1"/>
      <c r="K150" s="1574">
        <v>1500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61"/>
      <c r="G151" s="1562"/>
      <c r="H151" s="1"/>
      <c r="I151" s="1564" t="s">
        <v>55</v>
      </c>
      <c r="J151" s="1565"/>
      <c r="K151" s="1572"/>
      <c r="L151" s="1573"/>
      <c r="M151" s="1"/>
      <c r="N151" s="1035" t="s">
        <v>3243</v>
      </c>
      <c r="O151" s="1036"/>
      <c r="P151" s="1036"/>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c r="G152" s="1562"/>
      <c r="H152" s="1"/>
      <c r="I152" s="11"/>
      <c r="J152" s="13" t="s">
        <v>209</v>
      </c>
      <c r="K152" s="1031">
        <f>SUM(K148:K151)</f>
        <v>9000</v>
      </c>
      <c r="L152" s="1032"/>
      <c r="M152" s="1"/>
      <c r="N152" s="1036"/>
      <c r="O152" s="1036"/>
      <c r="P152" s="1036"/>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6" t="s">
        <v>55</v>
      </c>
      <c r="C153" s="1577"/>
      <c r="D153" s="1577"/>
      <c r="E153" s="1578"/>
      <c r="F153" s="1570"/>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10900</v>
      </c>
      <c r="G154" s="1024"/>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3943</v>
      </c>
      <c r="K156" s="1"/>
      <c r="L156" s="1"/>
      <c r="M156" s="1"/>
      <c r="N156" s="11" t="s">
        <v>2906</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9">
        <v>3120</v>
      </c>
      <c r="G157" s="1580"/>
      <c r="H157" s="1"/>
      <c r="I157" s="1" t="s">
        <v>1803</v>
      </c>
      <c r="J157" s="770">
        <f>K157/12/M62</f>
        <v>37.010416666666664</v>
      </c>
      <c r="K157" s="1574">
        <v>21318</v>
      </c>
      <c r="L157" s="1575"/>
      <c r="M157" s="1"/>
      <c r="N157" s="771">
        <f>+P157/M62</f>
        <v>4250.0014583333332</v>
      </c>
      <c r="O157" s="30" t="s">
        <v>3948</v>
      </c>
      <c r="P157" s="532">
        <f>F145+F154+F165+K143+K152+K162+P144+P147</f>
        <v>204000.07</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9">
        <v>1200</v>
      </c>
      <c r="G158" s="1580"/>
      <c r="H158" s="1"/>
      <c r="I158" s="1" t="s">
        <v>1804</v>
      </c>
      <c r="J158" s="770">
        <f>K158/12/M62</f>
        <v>0</v>
      </c>
      <c r="K158" s="1574"/>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9">
        <v>2000</v>
      </c>
      <c r="G159" s="1580"/>
      <c r="H159" s="1"/>
      <c r="I159" s="1" t="s">
        <v>3107</v>
      </c>
      <c r="J159" s="770">
        <f>K159/12/M62</f>
        <v>16.666666666666668</v>
      </c>
      <c r="K159" s="1574">
        <v>9600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5400</v>
      </c>
      <c r="G160" s="1562"/>
      <c r="H160" s="1"/>
      <c r="I160" s="1" t="s">
        <v>1806</v>
      </c>
      <c r="J160" s="1"/>
      <c r="K160" s="1574">
        <v>5000</v>
      </c>
      <c r="L160" s="1575"/>
      <c r="M160" s="1"/>
      <c r="N160" s="11" t="s">
        <v>1667</v>
      </c>
      <c r="O160" s="11"/>
      <c r="P160" s="533">
        <f>P161*M62</f>
        <v>12000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2160</v>
      </c>
      <c r="G161" s="1562"/>
      <c r="H161" s="1"/>
      <c r="I161" s="1564" t="s">
        <v>4094</v>
      </c>
      <c r="J161" s="1565"/>
      <c r="K161" s="1572">
        <v>1200</v>
      </c>
      <c r="L161" s="1573"/>
      <c r="M161" s="1"/>
      <c r="N161" s="30" t="s">
        <v>592</v>
      </c>
      <c r="O161" s="1"/>
      <c r="P161" s="1581">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v>5000</v>
      </c>
      <c r="G162" s="1562"/>
      <c r="H162" s="1"/>
      <c r="I162" s="1"/>
      <c r="J162" s="13" t="s">
        <v>209</v>
      </c>
      <c r="K162" s="1031">
        <f>SUM(K157:K161)</f>
        <v>37118</v>
      </c>
      <c r="L162" s="1032"/>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6" t="s">
        <v>55</v>
      </c>
      <c r="C164" s="1577"/>
      <c r="D164" s="1577"/>
      <c r="E164" s="1578"/>
      <c r="F164" s="1570"/>
      <c r="G164" s="1571"/>
      <c r="H164" s="1"/>
      <c r="I164" s="1"/>
      <c r="J164" s="14"/>
      <c r="K164" s="1"/>
      <c r="L164" s="1"/>
      <c r="M164" s="1"/>
      <c r="N164" s="11" t="s">
        <v>2907</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18880</v>
      </c>
      <c r="G165" s="1034"/>
      <c r="H165" s="1"/>
      <c r="I165" s="1"/>
      <c r="J165" s="14"/>
      <c r="K165" s="1"/>
      <c r="L165" s="1"/>
      <c r="M165" s="1"/>
      <c r="N165" s="1"/>
      <c r="O165" s="1"/>
      <c r="P165" s="532">
        <f>P157+P160</f>
        <v>216000.07</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74" t="s">
        <v>3415</v>
      </c>
      <c r="B168" s="1375"/>
      <c r="C168" s="1375"/>
      <c r="D168" s="1375"/>
      <c r="E168" s="1375"/>
      <c r="F168" s="1375"/>
      <c r="G168" s="1375"/>
      <c r="H168" s="1375"/>
      <c r="I168" s="1375"/>
      <c r="J168" s="1376"/>
      <c r="K168" s="1377"/>
      <c r="L168" s="1378"/>
      <c r="M168" s="1378"/>
      <c r="N168" s="1378"/>
      <c r="O168" s="1378"/>
      <c r="P168" s="1379"/>
      <c r="T168" s="881" t="s">
        <v>3598</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2013-036 Davidson Senior Manor, Augusta, Richmond County</v>
      </c>
      <c r="B1" s="1582"/>
      <c r="C1" s="1582"/>
      <c r="D1" s="1582"/>
      <c r="E1" s="1582"/>
      <c r="F1" s="1582"/>
      <c r="G1" s="1582"/>
      <c r="H1" s="1582"/>
      <c r="I1" s="1582"/>
      <c r="J1" s="1582"/>
      <c r="K1" s="1583"/>
      <c r="L1" s="11"/>
      <c r="M1" s="1037" t="str">
        <f>A1</f>
        <v>PART SEVEN - OPERATING PRO FORMA  -  2013-036 Davidson Senior Manor, Augusta, Richmond County</v>
      </c>
      <c r="N1" s="1037"/>
      <c r="O1" s="11"/>
    </row>
    <row r="2" spans="1:15" ht="13.5" customHeight="1">
      <c r="A2" s="751"/>
      <c r="B2" s="751"/>
      <c r="C2" s="751"/>
      <c r="D2" s="751"/>
      <c r="E2" s="751"/>
      <c r="F2" s="751"/>
      <c r="G2" s="751"/>
      <c r="H2" s="751"/>
      <c r="I2" s="751"/>
      <c r="J2" s="751"/>
      <c r="K2" s="751"/>
      <c r="M2" s="1038" t="s">
        <v>2550</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584">
        <v>5000</v>
      </c>
      <c r="H5" s="117" t="s">
        <v>2617</v>
      </c>
      <c r="K5" s="122">
        <f>IF(($B$14+$B$15+$B$16+$B$17)=0,"",-B28/($B$14+$B$15+$B$16+$B$17))</f>
        <v>1.7085215211699169E-2</v>
      </c>
      <c r="M5" s="1481"/>
      <c r="N5" s="1482"/>
    </row>
    <row r="6" spans="1:15">
      <c r="A6" s="19" t="s">
        <v>2909</v>
      </c>
      <c r="B6" s="94">
        <v>0.03</v>
      </c>
      <c r="C6" s="19"/>
      <c r="D6" s="19"/>
      <c r="E6" s="19"/>
      <c r="F6" s="19"/>
      <c r="G6" s="19"/>
      <c r="H6" s="19"/>
      <c r="I6" s="19"/>
      <c r="J6" s="19"/>
      <c r="K6" s="19"/>
      <c r="M6" s="1483"/>
      <c r="N6" s="1484"/>
    </row>
    <row r="7" spans="1:15">
      <c r="A7" s="19" t="s">
        <v>2911</v>
      </c>
      <c r="B7" s="94">
        <v>0.03</v>
      </c>
      <c r="C7" s="19"/>
      <c r="D7" s="96" t="s">
        <v>298</v>
      </c>
      <c r="G7" s="98"/>
      <c r="H7" s="117" t="s">
        <v>3132</v>
      </c>
      <c r="K7" s="122">
        <f>IF(($B$14+$B$15+$B$16+$B$17)=0,"",-B20/($B$14+$B$15+$B$16+$B$17))</f>
        <v>6.8887587733571051E-2</v>
      </c>
      <c r="M7" s="1483"/>
      <c r="N7" s="1484"/>
    </row>
    <row r="8" spans="1:15" ht="13.15" customHeight="1">
      <c r="A8" s="19" t="s">
        <v>2910</v>
      </c>
      <c r="B8" s="1585">
        <v>7.0000000000000007E-2</v>
      </c>
      <c r="C8" s="19"/>
      <c r="D8" s="95" t="s">
        <v>3293</v>
      </c>
      <c r="G8" s="1586" t="s">
        <v>4088</v>
      </c>
      <c r="H8" s="209" t="s">
        <v>1889</v>
      </c>
      <c r="K8" s="1587">
        <v>20160</v>
      </c>
      <c r="M8" s="1483"/>
      <c r="N8" s="1484"/>
    </row>
    <row r="9" spans="1:15">
      <c r="A9" s="19" t="s">
        <v>1858</v>
      </c>
      <c r="B9" s="94">
        <v>0.02</v>
      </c>
      <c r="D9" s="95" t="s">
        <v>2410</v>
      </c>
      <c r="G9" s="1586" t="s">
        <v>4087</v>
      </c>
      <c r="H9" s="209" t="s">
        <v>3112</v>
      </c>
      <c r="K9" s="1588"/>
      <c r="M9" s="1486"/>
      <c r="N9" s="1487"/>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3426</v>
      </c>
      <c r="N13" s="883"/>
    </row>
    <row r="14" spans="1:15" ht="13.15" customHeight="1">
      <c r="A14" s="21" t="s">
        <v>3168</v>
      </c>
      <c r="B14" s="22">
        <f>'Part VI-Revenues &amp; Expenses'!L49</f>
        <v>308508</v>
      </c>
      <c r="C14" s="22">
        <f t="shared" ref="C14:K14" si="1">$B$14*(1+$B$5)^(C13-1)</f>
        <v>314678.16000000003</v>
      </c>
      <c r="D14" s="22">
        <f t="shared" si="1"/>
        <v>320971.72320000001</v>
      </c>
      <c r="E14" s="22">
        <f t="shared" si="1"/>
        <v>327391.157664</v>
      </c>
      <c r="F14" s="22">
        <f t="shared" si="1"/>
        <v>333938.98081728001</v>
      </c>
      <c r="G14" s="22">
        <f t="shared" si="1"/>
        <v>340617.7604336256</v>
      </c>
      <c r="H14" s="22">
        <f t="shared" si="1"/>
        <v>347430.11564229813</v>
      </c>
      <c r="I14" s="22">
        <f t="shared" si="1"/>
        <v>354378.71795514401</v>
      </c>
      <c r="J14" s="22">
        <f t="shared" si="1"/>
        <v>361466.29231424694</v>
      </c>
      <c r="K14" s="23">
        <f t="shared" si="1"/>
        <v>368695.61816053186</v>
      </c>
      <c r="M14" s="1481"/>
      <c r="N14" s="1482"/>
    </row>
    <row r="15" spans="1:15" ht="13.15" customHeight="1">
      <c r="A15" s="24" t="s">
        <v>1418</v>
      </c>
      <c r="B15" s="25">
        <f>MIN(B14*B9,'Part VI-Revenues &amp; Expenses'!H104)</f>
        <v>6170.16</v>
      </c>
      <c r="C15" s="25">
        <f t="shared" ref="C15:K15" si="2">$B$15*(1+$B$5)^(C13-1)</f>
        <v>6293.5631999999996</v>
      </c>
      <c r="D15" s="25">
        <f t="shared" si="2"/>
        <v>6419.4344639999999</v>
      </c>
      <c r="E15" s="25">
        <f t="shared" si="2"/>
        <v>6547.8231532799991</v>
      </c>
      <c r="F15" s="25">
        <f t="shared" si="2"/>
        <v>6678.7796163455996</v>
      </c>
      <c r="G15" s="25">
        <f t="shared" si="2"/>
        <v>6812.3552086725122</v>
      </c>
      <c r="H15" s="25">
        <f t="shared" si="2"/>
        <v>6948.6023128459628</v>
      </c>
      <c r="I15" s="25">
        <f t="shared" si="2"/>
        <v>7087.5743591028804</v>
      </c>
      <c r="J15" s="25">
        <f t="shared" si="2"/>
        <v>7229.3258462849381</v>
      </c>
      <c r="K15" s="26">
        <f t="shared" si="2"/>
        <v>7373.9123632106375</v>
      </c>
      <c r="M15" s="1483"/>
      <c r="N15" s="1484"/>
    </row>
    <row r="16" spans="1:15" ht="13.15" customHeight="1">
      <c r="A16" s="24" t="s">
        <v>3169</v>
      </c>
      <c r="B16" s="25">
        <f t="shared" ref="B16:K16" si="3">-(B14+B15)*$B$8</f>
        <v>-22027.4712</v>
      </c>
      <c r="C16" s="25">
        <f t="shared" si="3"/>
        <v>-22468.020624000004</v>
      </c>
      <c r="D16" s="25">
        <f t="shared" si="3"/>
        <v>-22917.381036480001</v>
      </c>
      <c r="E16" s="25">
        <f t="shared" si="3"/>
        <v>-23375.728657209602</v>
      </c>
      <c r="F16" s="25">
        <f t="shared" si="3"/>
        <v>-23843.243230353793</v>
      </c>
      <c r="G16" s="25">
        <f t="shared" si="3"/>
        <v>-24320.108094960873</v>
      </c>
      <c r="H16" s="25">
        <f t="shared" si="3"/>
        <v>-24806.510256860085</v>
      </c>
      <c r="I16" s="25">
        <f t="shared" si="3"/>
        <v>-25302.640461997285</v>
      </c>
      <c r="J16" s="25">
        <f t="shared" si="3"/>
        <v>-25808.693271237233</v>
      </c>
      <c r="K16" s="26">
        <f t="shared" si="3"/>
        <v>-26324.867136661978</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-183840.07</v>
      </c>
      <c r="C19" s="25">
        <f t="shared" ref="C19:K19" si="4">$B$19*(1+$B$6)^(C13-1)</f>
        <v>-189355.2721</v>
      </c>
      <c r="D19" s="25">
        <f t="shared" si="4"/>
        <v>-195035.93026299999</v>
      </c>
      <c r="E19" s="25">
        <f t="shared" si="4"/>
        <v>-200887.00817089001</v>
      </c>
      <c r="F19" s="25">
        <f t="shared" si="4"/>
        <v>-206913.61841601669</v>
      </c>
      <c r="G19" s="25">
        <f t="shared" si="4"/>
        <v>-213121.02696849717</v>
      </c>
      <c r="H19" s="25">
        <f t="shared" si="4"/>
        <v>-219514.65777755211</v>
      </c>
      <c r="I19" s="25">
        <f t="shared" si="4"/>
        <v>-226100.0975108787</v>
      </c>
      <c r="J19" s="25">
        <f t="shared" si="4"/>
        <v>-232883.10043620502</v>
      </c>
      <c r="K19" s="26">
        <f t="shared" si="4"/>
        <v>-239869.59344929119</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-20160</v>
      </c>
      <c r="C20" s="25">
        <f>IF(AND('Part VII-Pro Forma'!$G$8="Yes",'Part VII-Pro Forma'!$G$9="Yes"),"Choose One!",IF('Part VII-Pro Forma'!$G$8="Yes",ROUND((-$K$8*(1+'Part VII-Pro Forma'!$B$6)^('Part VII-Pro Forma'!C13-1)),),IF('Part VII-Pro Forma'!$G$9="Yes",ROUND((-(SUM(C14:C17)*'Part VII-Pro Forma'!$K$9)),),"Choose mgt fee")))</f>
        <v>-20765</v>
      </c>
      <c r="D20" s="25">
        <f>IF(AND('Part VII-Pro Forma'!$G$8="Yes",'Part VII-Pro Forma'!$G$9="Yes"),"Choose One!",IF('Part VII-Pro Forma'!$G$8="Yes",ROUND((-$K$8*(1+'Part VII-Pro Forma'!$B$6)^('Part VII-Pro Forma'!D13-1)),),IF('Part VII-Pro Forma'!$G$9="Yes",ROUND((-(SUM(D14:D17)*'Part VII-Pro Forma'!$K$9)),),"Choose mgt fee")))</f>
        <v>-21388</v>
      </c>
      <c r="E20" s="25">
        <f>IF(AND('Part VII-Pro Forma'!$G$8="Yes",'Part VII-Pro Forma'!$G$9="Yes"),"Choose One!",IF('Part VII-Pro Forma'!$G$8="Yes",ROUND((-$K$8*(1+'Part VII-Pro Forma'!$B$6)^('Part VII-Pro Forma'!E13-1)),),IF('Part VII-Pro Forma'!$G$9="Yes",ROUND((-(SUM(E14:E17)*'Part VII-Pro Forma'!$K$9)),),"Choose mgt fee")))</f>
        <v>-22029</v>
      </c>
      <c r="F20" s="25">
        <f>IF(AND('Part VII-Pro Forma'!$G$8="Yes",'Part VII-Pro Forma'!$G$9="Yes"),"Choose One!",IF('Part VII-Pro Forma'!$G$8="Yes",ROUND((-$K$8*(1+'Part VII-Pro Forma'!$B$6)^('Part VII-Pro Forma'!F13-1)),),IF('Part VII-Pro Forma'!$G$9="Yes",ROUND((-(SUM(F14:F17)*'Part VII-Pro Forma'!$K$9)),),"Choose mgt fee")))</f>
        <v>-22690</v>
      </c>
      <c r="G20" s="25">
        <f>IF(AND('Part VII-Pro Forma'!$G$8="Yes",'Part VII-Pro Forma'!$G$9="Yes"),"Choose One!",IF('Part VII-Pro Forma'!$G$8="Yes",ROUND((-$K$8*(1+'Part VII-Pro Forma'!$B$6)^('Part VII-Pro Forma'!G13-1)),),IF('Part VII-Pro Forma'!$G$9="Yes",ROUND((-(SUM(G14:G17)*'Part VII-Pro Forma'!$K$9)),),"Choose mgt fee")))</f>
        <v>-23371</v>
      </c>
      <c r="H20" s="25">
        <f>IF(AND('Part VII-Pro Forma'!$G$8="Yes",'Part VII-Pro Forma'!$G$9="Yes"),"Choose One!",IF('Part VII-Pro Forma'!$G$8="Yes",ROUND((-$K$8*(1+'Part VII-Pro Forma'!$B$6)^('Part VII-Pro Forma'!H13-1)),),IF('Part VII-Pro Forma'!$G$9="Yes",ROUND((-(SUM(H14:H17)*'Part VII-Pro Forma'!$K$9)),),"Choose mgt fee")))</f>
        <v>-24072</v>
      </c>
      <c r="I20" s="25">
        <f>IF(AND('Part VII-Pro Forma'!$G$8="Yes",'Part VII-Pro Forma'!$G$9="Yes"),"Choose One!",IF('Part VII-Pro Forma'!$G$8="Yes",ROUND((-$K$8*(1+'Part VII-Pro Forma'!$B$6)^('Part VII-Pro Forma'!I13-1)),),IF('Part VII-Pro Forma'!$G$9="Yes",ROUND((-(SUM(I14:I17)*'Part VII-Pro Forma'!$K$9)),),"Choose mgt fee")))</f>
        <v>-24794</v>
      </c>
      <c r="J20" s="25">
        <f>IF(AND('Part VII-Pro Forma'!$G$8="Yes",'Part VII-Pro Forma'!$G$9="Yes"),"Choose One!",IF('Part VII-Pro Forma'!$G$8="Yes",ROUND((-$K$8*(1+'Part VII-Pro Forma'!$B$6)^('Part VII-Pro Forma'!J13-1)),),IF('Part VII-Pro Forma'!$G$9="Yes",ROUND((-(SUM(J14:J17)*'Part VII-Pro Forma'!$K$9)),),"Choose mgt fee")))</f>
        <v>-25538</v>
      </c>
      <c r="K20" s="25">
        <f>IF(AND('Part VII-Pro Forma'!$G$8="Yes",'Part VII-Pro Forma'!$G$9="Yes"),"Choose One!",IF('Part VII-Pro Forma'!$G$8="Yes",ROUND((-$K$8*(1+'Part VII-Pro Forma'!$B$6)^('Part VII-Pro Forma'!K13-1)),),IF('Part VII-Pro Forma'!$G$9="Yes",ROUND((-(SUM(K14:K17)*'Part VII-Pro Forma'!$K$9)),),"Choose mgt fee")))</f>
        <v>-26304</v>
      </c>
      <c r="M20" s="1483"/>
      <c r="N20" s="1484"/>
    </row>
    <row r="21" spans="1:14" ht="13.15" customHeight="1">
      <c r="A21" s="24" t="s">
        <v>1622</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483"/>
      <c r="N21" s="1484"/>
    </row>
    <row r="22" spans="1:14" ht="13.15" customHeight="1">
      <c r="A22" s="24" t="s">
        <v>1623</v>
      </c>
      <c r="B22" s="25">
        <f t="shared" ref="B22:K22" si="6">SUM(B14:B21)</f>
        <v>76650.618799999997</v>
      </c>
      <c r="C22" s="25">
        <f t="shared" si="6"/>
        <v>76023.430476000009</v>
      </c>
      <c r="D22" s="25">
        <f t="shared" si="6"/>
        <v>75319.046364519992</v>
      </c>
      <c r="E22" s="25">
        <f t="shared" si="6"/>
        <v>74534.519989180393</v>
      </c>
      <c r="F22" s="25">
        <f t="shared" si="6"/>
        <v>73664.793067255116</v>
      </c>
      <c r="G22" s="25">
        <f t="shared" si="6"/>
        <v>72706.691687240105</v>
      </c>
      <c r="H22" s="25">
        <f t="shared" si="6"/>
        <v>71656.922362383833</v>
      </c>
      <c r="I22" s="25">
        <f t="shared" si="6"/>
        <v>70511.06795627244</v>
      </c>
      <c r="J22" s="25">
        <f t="shared" si="6"/>
        <v>69264.583476438202</v>
      </c>
      <c r="K22" s="26">
        <f t="shared" si="6"/>
        <v>67913.791731838413</v>
      </c>
      <c r="M22" s="1483"/>
      <c r="N22" s="1484"/>
    </row>
    <row r="23" spans="1:14" ht="13.15" customHeight="1">
      <c r="A23" s="564" t="s">
        <v>2051</v>
      </c>
      <c r="B23" s="1589">
        <f>IF('Part III-Sources of Funds'!$M$32="", 0,-'Part III-Sources of Funds'!$M$32)</f>
        <v>-47306.225539888634</v>
      </c>
      <c r="C23" s="1589">
        <f>IF('Part III-Sources of Funds'!$M$32="", 0,-'Part III-Sources of Funds'!$M$32)</f>
        <v>-47306.225539888634</v>
      </c>
      <c r="D23" s="1589">
        <f>IF('Part III-Sources of Funds'!$M$32="", 0,-'Part III-Sources of Funds'!$M$32)</f>
        <v>-47306.225539888634</v>
      </c>
      <c r="E23" s="1589">
        <f>IF('Part III-Sources of Funds'!$M$32="", 0,-'Part III-Sources of Funds'!$M$32)</f>
        <v>-47306.225539888634</v>
      </c>
      <c r="F23" s="1589">
        <f>IF('Part III-Sources of Funds'!$M$32="", 0,-'Part III-Sources of Funds'!$M$32)</f>
        <v>-47306.225539888634</v>
      </c>
      <c r="G23" s="1589">
        <f>IF('Part III-Sources of Funds'!$M$32="", 0,-'Part III-Sources of Funds'!$M$32)</f>
        <v>-47306.225539888634</v>
      </c>
      <c r="H23" s="1589">
        <f>IF('Part III-Sources of Funds'!$M$32="", 0,-'Part III-Sources of Funds'!$M$32)</f>
        <v>-47306.225539888634</v>
      </c>
      <c r="I23" s="1589">
        <f>IF('Part III-Sources of Funds'!$M$32="", 0,-'Part III-Sources of Funds'!$M$32)</f>
        <v>-47306.225539888634</v>
      </c>
      <c r="J23" s="1589">
        <f>IF('Part III-Sources of Funds'!$M$32="", 0,-'Part III-Sources of Funds'!$M$32)</f>
        <v>-47306.225539888634</v>
      </c>
      <c r="K23" s="1589">
        <f>IF('Part III-Sources of Funds'!$M$32="", 0,-'Part III-Sources of Funds'!$M$32)</f>
        <v>-47306.225539888634</v>
      </c>
      <c r="M23" s="1483"/>
      <c r="N23" s="1484"/>
    </row>
    <row r="24" spans="1:14" ht="13.15" customHeight="1">
      <c r="A24" s="564" t="s">
        <v>2052</v>
      </c>
      <c r="B24" s="1590">
        <f>IF('Part III-Sources of Funds'!$M$33="", 0,-'Part III-Sources of Funds'!$M$33)</f>
        <v>0</v>
      </c>
      <c r="C24" s="1590">
        <f>IF('Part III-Sources of Funds'!$M$33="", 0,-'Part III-Sources of Funds'!$M$33)</f>
        <v>0</v>
      </c>
      <c r="D24" s="1590">
        <f>IF('Part III-Sources of Funds'!$M$33="", 0,-'Part III-Sources of Funds'!$M$33)</f>
        <v>0</v>
      </c>
      <c r="E24" s="1590">
        <f>IF('Part III-Sources of Funds'!$M$33="", 0,-'Part III-Sources of Funds'!$M$33)</f>
        <v>0</v>
      </c>
      <c r="F24" s="1590">
        <f>IF('Part III-Sources of Funds'!$M$33="", 0,-'Part III-Sources of Funds'!$M$33)</f>
        <v>0</v>
      </c>
      <c r="G24" s="1590">
        <f>IF('Part III-Sources of Funds'!$M$33="", 0,-'Part III-Sources of Funds'!$M$33)</f>
        <v>0</v>
      </c>
      <c r="H24" s="1590">
        <f>IF('Part III-Sources of Funds'!$M$33="", 0,-'Part III-Sources of Funds'!$M$33)</f>
        <v>0</v>
      </c>
      <c r="I24" s="1590">
        <f>IF('Part III-Sources of Funds'!$M$33="", 0,-'Part III-Sources of Funds'!$M$33)</f>
        <v>0</v>
      </c>
      <c r="J24" s="1590">
        <f>IF('Part III-Sources of Funds'!$M$33="", 0,-'Part III-Sources of Funds'!$M$33)</f>
        <v>0</v>
      </c>
      <c r="K24" s="1590">
        <f>IF('Part III-Sources of Funds'!$M$33="", 0,-'Part III-Sources of Funds'!$M$33)</f>
        <v>0</v>
      </c>
      <c r="M24" s="1483"/>
      <c r="N24" s="1484"/>
    </row>
    <row r="25" spans="1:14" ht="13.15" customHeight="1">
      <c r="A25" s="564" t="s">
        <v>2053</v>
      </c>
      <c r="B25" s="1590">
        <f>IF('Part III-Sources of Funds'!$M$34="", 0,-'Part III-Sources of Funds'!$M$34)</f>
        <v>0</v>
      </c>
      <c r="C25" s="1590">
        <f>IF('Part III-Sources of Funds'!$M$34="", 0,-'Part III-Sources of Funds'!$M$34)</f>
        <v>0</v>
      </c>
      <c r="D25" s="1590">
        <f>IF('Part III-Sources of Funds'!$M$34="", 0,-'Part III-Sources of Funds'!$M$34)</f>
        <v>0</v>
      </c>
      <c r="E25" s="1590">
        <f>IF('Part III-Sources of Funds'!$M$34="", 0,-'Part III-Sources of Funds'!$M$34)</f>
        <v>0</v>
      </c>
      <c r="F25" s="1590">
        <f>IF('Part III-Sources of Funds'!$M$34="", 0,-'Part III-Sources of Funds'!$M$34)</f>
        <v>0</v>
      </c>
      <c r="G25" s="1590">
        <f>IF('Part III-Sources of Funds'!$M$34="", 0,-'Part III-Sources of Funds'!$M$34)</f>
        <v>0</v>
      </c>
      <c r="H25" s="1590">
        <f>IF('Part III-Sources of Funds'!$M$34="", 0,-'Part III-Sources of Funds'!$M$34)</f>
        <v>0</v>
      </c>
      <c r="I25" s="1590">
        <f>IF('Part III-Sources of Funds'!$M$34="", 0,-'Part III-Sources of Funds'!$M$34)</f>
        <v>0</v>
      </c>
      <c r="J25" s="1590">
        <f>IF('Part III-Sources of Funds'!$M$34="", 0,-'Part III-Sources of Funds'!$M$34)</f>
        <v>0</v>
      </c>
      <c r="K25" s="1590">
        <f>IF('Part III-Sources of Funds'!$M$34="", 0,-'Part III-Sources of Funds'!$M$34)</f>
        <v>0</v>
      </c>
      <c r="M25" s="1483"/>
      <c r="N25" s="1484"/>
    </row>
    <row r="26" spans="1:14" ht="13.15" customHeight="1">
      <c r="A26" s="24" t="s">
        <v>1174</v>
      </c>
      <c r="B26" s="1590">
        <f>IF('Part III-Sources of Funds'!$M$35="", 0,-'Part III-Sources of Funds'!$M$35)</f>
        <v>0</v>
      </c>
      <c r="C26" s="1590">
        <f>IF('Part III-Sources of Funds'!$M$35="", 0,-'Part III-Sources of Funds'!$M$35)</f>
        <v>0</v>
      </c>
      <c r="D26" s="1590">
        <f>IF('Part III-Sources of Funds'!$M$35="", 0,-'Part III-Sources of Funds'!$M$35)</f>
        <v>0</v>
      </c>
      <c r="E26" s="1590">
        <f>IF('Part III-Sources of Funds'!$M$35="", 0,-'Part III-Sources of Funds'!$M$35)</f>
        <v>0</v>
      </c>
      <c r="F26" s="1590">
        <f>IF('Part III-Sources of Funds'!$M$35="", 0,-'Part III-Sources of Funds'!$M$35)</f>
        <v>0</v>
      </c>
      <c r="G26" s="1590">
        <f>IF('Part III-Sources of Funds'!$M$35="", 0,-'Part III-Sources of Funds'!$M$35)</f>
        <v>0</v>
      </c>
      <c r="H26" s="1590">
        <f>IF('Part III-Sources of Funds'!$M$35="", 0,-'Part III-Sources of Funds'!$M$35)</f>
        <v>0</v>
      </c>
      <c r="I26" s="1590">
        <f>IF('Part III-Sources of Funds'!$M$35="", 0,-'Part III-Sources of Funds'!$M$35)</f>
        <v>0</v>
      </c>
      <c r="J26" s="1590">
        <f>IF('Part III-Sources of Funds'!$M$35="", 0,-'Part III-Sources of Funds'!$M$35)</f>
        <v>0</v>
      </c>
      <c r="K26" s="1590">
        <f>IF('Part III-Sources of Funds'!$M$35="", 0,-'Part III-Sources of Funds'!$M$35)</f>
        <v>0</v>
      </c>
      <c r="M26" s="1483"/>
      <c r="N26" s="1484"/>
    </row>
    <row r="27" spans="1:14" ht="13.15" customHeight="1">
      <c r="A27" s="24" t="s">
        <v>1150</v>
      </c>
      <c r="B27" s="1591"/>
      <c r="C27" s="1591"/>
      <c r="D27" s="1591"/>
      <c r="E27" s="1591"/>
      <c r="F27" s="1591"/>
      <c r="G27" s="1591"/>
      <c r="H27" s="1591"/>
      <c r="I27" s="1591"/>
      <c r="J27" s="1591"/>
      <c r="K27" s="1591"/>
      <c r="M27" s="1483"/>
      <c r="N27" s="1484"/>
    </row>
    <row r="28" spans="1:14" ht="13.15" customHeight="1">
      <c r="A28" s="24" t="s">
        <v>1578</v>
      </c>
      <c r="B28" s="1590">
        <f>-$G$5</f>
        <v>-5000</v>
      </c>
      <c r="C28" s="1590">
        <f t="shared" ref="C28:K28" si="7">+B28</f>
        <v>-5000</v>
      </c>
      <c r="D28" s="1590">
        <f t="shared" si="7"/>
        <v>-5000</v>
      </c>
      <c r="E28" s="1590">
        <f t="shared" si="7"/>
        <v>-5000</v>
      </c>
      <c r="F28" s="1590">
        <f t="shared" si="7"/>
        <v>-5000</v>
      </c>
      <c r="G28" s="1590">
        <f t="shared" si="7"/>
        <v>-5000</v>
      </c>
      <c r="H28" s="1590">
        <f t="shared" si="7"/>
        <v>-5000</v>
      </c>
      <c r="I28" s="1590">
        <f t="shared" si="7"/>
        <v>-5000</v>
      </c>
      <c r="J28" s="1590">
        <f t="shared" si="7"/>
        <v>-5000</v>
      </c>
      <c r="K28" s="1590">
        <f t="shared" si="7"/>
        <v>-5000</v>
      </c>
      <c r="M28" s="1483"/>
      <c r="N28" s="1484"/>
    </row>
    <row r="29" spans="1:14" ht="13.15" customHeight="1">
      <c r="A29" s="24" t="s">
        <v>1624</v>
      </c>
      <c r="B29" s="1592">
        <v>-13748</v>
      </c>
      <c r="C29" s="1592">
        <f>IF('Part III-Sources of Funds'!$M$37="", 0,-'Part III-Sources of Funds'!$M$37)</f>
        <v>0</v>
      </c>
      <c r="D29" s="1592">
        <f>IF('Part III-Sources of Funds'!$M$37="", 0,-'Part III-Sources of Funds'!$M$37)</f>
        <v>0</v>
      </c>
      <c r="E29" s="1592">
        <f>IF('Part III-Sources of Funds'!$M$37="", 0,-'Part III-Sources of Funds'!$M$37)</f>
        <v>0</v>
      </c>
      <c r="F29" s="1592">
        <f>IF('Part III-Sources of Funds'!$M$37="", 0,-'Part III-Sources of Funds'!$M$37)</f>
        <v>0</v>
      </c>
      <c r="G29" s="1592">
        <f>IF('Part III-Sources of Funds'!$M$37="", 0,-'Part III-Sources of Funds'!$M$37)</f>
        <v>0</v>
      </c>
      <c r="H29" s="1592">
        <f>IF('Part III-Sources of Funds'!$M$37="", 0,-'Part III-Sources of Funds'!$M$37)</f>
        <v>0</v>
      </c>
      <c r="I29" s="1592">
        <f>IF('Part III-Sources of Funds'!$M$37="", 0,-'Part III-Sources of Funds'!$M$37)</f>
        <v>0</v>
      </c>
      <c r="J29" s="1592">
        <f>IF('Part III-Sources of Funds'!$M$37="", 0,-'Part III-Sources of Funds'!$M$37)</f>
        <v>0</v>
      </c>
      <c r="K29" s="1592">
        <f>IF('Part III-Sources of Funds'!$M$37="", 0,-'Part III-Sources of Funds'!$M$37)</f>
        <v>0</v>
      </c>
      <c r="M29" s="1483"/>
      <c r="N29" s="1484"/>
    </row>
    <row r="30" spans="1:14" ht="13.15" customHeight="1">
      <c r="A30" s="24" t="s">
        <v>1579</v>
      </c>
      <c r="B30" s="25">
        <f t="shared" ref="B30:K30" si="8">SUM(B22:B29)</f>
        <v>10596.393260111363</v>
      </c>
      <c r="C30" s="25">
        <f t="shared" si="8"/>
        <v>23717.204936111375</v>
      </c>
      <c r="D30" s="25">
        <f t="shared" si="8"/>
        <v>23012.820824631359</v>
      </c>
      <c r="E30" s="25">
        <f t="shared" si="8"/>
        <v>22228.29444929176</v>
      </c>
      <c r="F30" s="25">
        <f t="shared" si="8"/>
        <v>21358.567527366482</v>
      </c>
      <c r="G30" s="25">
        <f t="shared" si="8"/>
        <v>20400.466147351472</v>
      </c>
      <c r="H30" s="25">
        <f t="shared" si="8"/>
        <v>19350.6968224952</v>
      </c>
      <c r="I30" s="25">
        <f t="shared" si="8"/>
        <v>18204.842416383806</v>
      </c>
      <c r="J30" s="25">
        <f t="shared" si="8"/>
        <v>16958.357936549568</v>
      </c>
      <c r="K30" s="26">
        <f t="shared" si="8"/>
        <v>15607.56619194978</v>
      </c>
      <c r="M30" s="1483"/>
      <c r="N30" s="1484"/>
    </row>
    <row r="31" spans="1:14" ht="13.15" customHeight="1">
      <c r="A31" s="24" t="str">
        <f>IF('Part III-Sources of Funds'!$E$32 = "Neither", "", "DCR Mortgage A")</f>
        <v>DCR Mortgage A</v>
      </c>
      <c r="B31" s="27">
        <f>IF(B23=0,"",-B22/B23)</f>
        <v>1.620307220143111</v>
      </c>
      <c r="C31" s="27">
        <f t="shared" ref="C31:K31" si="9">IF(C23=0,"",-C22/C23)</f>
        <v>1.6070491697101688</v>
      </c>
      <c r="D31" s="27">
        <f t="shared" si="9"/>
        <v>1.5921592878089783</v>
      </c>
      <c r="E31" s="27">
        <f t="shared" si="9"/>
        <v>1.5755752892678543</v>
      </c>
      <c r="F31" s="27">
        <f t="shared" si="9"/>
        <v>1.5571902477220663</v>
      </c>
      <c r="G31" s="27">
        <f t="shared" si="9"/>
        <v>1.5369370702791281</v>
      </c>
      <c r="H31" s="27">
        <f t="shared" si="9"/>
        <v>1.5147461363613268</v>
      </c>
      <c r="I31" s="27">
        <f t="shared" si="9"/>
        <v>1.490524072710419</v>
      </c>
      <c r="J31" s="27">
        <f t="shared" si="9"/>
        <v>1.4641748033360698</v>
      </c>
      <c r="K31" s="28">
        <f t="shared" si="9"/>
        <v>1.4356205965866684</v>
      </c>
      <c r="M31" s="1483"/>
      <c r="N31" s="14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3"/>
      <c r="N32" s="14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3"/>
      <c r="N33" s="1484"/>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3"/>
      <c r="N34" s="1484"/>
    </row>
    <row r="35" spans="1:14" ht="13.15" customHeight="1">
      <c r="A35" s="24" t="s">
        <v>1158</v>
      </c>
      <c r="B35" s="341">
        <f>IF(OR(B20="Choose mgt fee",B20="Choose One!"),"",(B14+B15+B16+B17+B18) / -(B19+B20+B21))</f>
        <v>1.3548638609237487</v>
      </c>
      <c r="C35" s="341">
        <f t="shared" ref="C35:K35" si="13">IF(OR(C20="Choose mgt fee",C20="Choose One!"),"",(C14+C15+C16+C17+C18) / -(C19+C20+C21))</f>
        <v>1.3417086367182667</v>
      </c>
      <c r="D35" s="341">
        <f t="shared" si="13"/>
        <v>1.3286820493649711</v>
      </c>
      <c r="E35" s="341">
        <f t="shared" si="13"/>
        <v>1.3157857914315947</v>
      </c>
      <c r="F35" s="341">
        <f t="shared" si="13"/>
        <v>1.3030104753277605</v>
      </c>
      <c r="G35" s="341">
        <f t="shared" si="13"/>
        <v>1.2903583422507954</v>
      </c>
      <c r="H35" s="341">
        <f t="shared" si="13"/>
        <v>1.2778312354347681</v>
      </c>
      <c r="I35" s="341">
        <f t="shared" si="13"/>
        <v>1.2654258690887901</v>
      </c>
      <c r="J35" s="341">
        <f t="shared" si="13"/>
        <v>1.2531393566723705</v>
      </c>
      <c r="K35" s="342">
        <f t="shared" si="13"/>
        <v>1.2409735716068606</v>
      </c>
      <c r="M35" s="1483"/>
      <c r="N35" s="1484"/>
    </row>
    <row r="36" spans="1:14" ht="13.15" customHeight="1">
      <c r="A36" s="564" t="s">
        <v>3419</v>
      </c>
      <c r="B36" s="1593">
        <f>IF('Part III-Sources of Funds'!$H$32="","",-FV('Part III-Sources of Funds'!$J$32/12,12,B23/12,'Part III-Sources of Funds'!$H$32))</f>
        <v>406997.03324984486</v>
      </c>
      <c r="C36" s="1593">
        <f>IF('Part III-Sources of Funds'!$H$32="","",-FV('Part III-Sources of Funds'!$J$32/12,12,C23/12,B36))</f>
        <v>363562.06037768495</v>
      </c>
      <c r="D36" s="1593">
        <f>IF('Part III-Sources of Funds'!$H$32="","",-FV('Part III-Sources of Funds'!$J$32/12,12,D23/12,C36))</f>
        <v>319690.74146691558</v>
      </c>
      <c r="E36" s="1593">
        <f>IF('Part III-Sources of Funds'!$H$32="","",-FV('Part III-Sources of Funds'!$J$32/12,12,E23/12,D36))</f>
        <v>275378.69300229958</v>
      </c>
      <c r="F36" s="1593">
        <f>IF('Part III-Sources of Funds'!$H$32="","",-FV('Part III-Sources of Funds'!$J$32/12,12,F23/12,E36))</f>
        <v>230621.48743197718</v>
      </c>
      <c r="G36" s="1593">
        <f>IF('Part III-Sources of Funds'!$H$32="","",-FV('Part III-Sources of Funds'!$J$32/12,12,G23/12,F36))</f>
        <v>185414.65272507584</v>
      </c>
      <c r="H36" s="1593">
        <f>IF('Part III-Sources of Funds'!$H$32="","",-FV('Part III-Sources of Funds'!$J$32/12,12,H23/12,G36))</f>
        <v>139753.67192487573</v>
      </c>
      <c r="I36" s="1593">
        <f>IF('Part III-Sources of Funds'!$H$32="","",-FV('Part III-Sources of Funds'!$J$32/12,12,I23/12,H36))</f>
        <v>93633.982697486499</v>
      </c>
      <c r="J36" s="1593">
        <f>IF('Part III-Sources of Funds'!$H$32="","",-FV('Part III-Sources of Funds'!$J$32/12,12,J23/12,I36))</f>
        <v>47050.976875990011</v>
      </c>
      <c r="K36" s="1593">
        <f>IF('Part III-Sources of Funds'!$H$32="","",-FV('Part III-Sources of Funds'!$J$32/12,12,K23/12,J36))</f>
        <v>3.4633558243513107E-9</v>
      </c>
      <c r="M36" s="1483"/>
      <c r="N36" s="1484"/>
    </row>
    <row r="37" spans="1:14" ht="13.15" customHeight="1">
      <c r="A37" s="564" t="s">
        <v>3420</v>
      </c>
      <c r="B37" s="1590" t="str">
        <f>IF('Part III-Sources of Funds'!$H$33="","",-FV('Part III-Sources of Funds'!$J$33/12,12,B24/12,'Part III-Sources of Funds'!$H$33))</f>
        <v/>
      </c>
      <c r="C37" s="1590" t="str">
        <f>IF('Part III-Sources of Funds'!$H$33="","",-FV('Part III-Sources of Funds'!$J$33/12,12,C24/12,B37))</f>
        <v/>
      </c>
      <c r="D37" s="1590" t="str">
        <f>IF('Part III-Sources of Funds'!$H$33="","",-FV('Part III-Sources of Funds'!$J$33/12,12,D24/12,C37))</f>
        <v/>
      </c>
      <c r="E37" s="1590" t="str">
        <f>IF('Part III-Sources of Funds'!$H$33="","",-FV('Part III-Sources of Funds'!$J$33/12,12,E24/12,D37))</f>
        <v/>
      </c>
      <c r="F37" s="1590" t="str">
        <f>IF('Part III-Sources of Funds'!$H$33="","",-FV('Part III-Sources of Funds'!$J$33/12,12,F24/12,E37))</f>
        <v/>
      </c>
      <c r="G37" s="1590" t="str">
        <f>IF('Part III-Sources of Funds'!$H$33="","",-FV('Part III-Sources of Funds'!$J$33/12,12,G24/12,F37))</f>
        <v/>
      </c>
      <c r="H37" s="1590" t="str">
        <f>IF('Part III-Sources of Funds'!$H$33="","",-FV('Part III-Sources of Funds'!$J$33/12,12,H24/12,G37))</f>
        <v/>
      </c>
      <c r="I37" s="1590" t="str">
        <f>IF('Part III-Sources of Funds'!$H$33="","",-FV('Part III-Sources of Funds'!$J$33/12,12,I24/12,H37))</f>
        <v/>
      </c>
      <c r="J37" s="1590" t="str">
        <f>IF('Part III-Sources of Funds'!$H$33="","",-FV('Part III-Sources of Funds'!$J$33/12,12,J24/12,I37))</f>
        <v/>
      </c>
      <c r="K37" s="1590" t="str">
        <f>IF('Part III-Sources of Funds'!$H$33="","",-FV('Part III-Sources of Funds'!$J$33/12,12,K24/12,J37))</f>
        <v/>
      </c>
      <c r="M37" s="1483"/>
      <c r="N37" s="1484"/>
    </row>
    <row r="38" spans="1:14" ht="13.15" customHeight="1">
      <c r="A38" s="564" t="s">
        <v>3421</v>
      </c>
      <c r="B38" s="1590" t="str">
        <f>IF('Part III-Sources of Funds'!$H$34="","",-FV('Part III-Sources of Funds'!$J$34/12,12,B25/12,'Part III-Sources of Funds'!$H$34))</f>
        <v/>
      </c>
      <c r="C38" s="1590" t="str">
        <f>IF('Part III-Sources of Funds'!$H$34="","",-FV('Part III-Sources of Funds'!$J$34/12,12,C25/12,B38))</f>
        <v/>
      </c>
      <c r="D38" s="1590" t="str">
        <f>IF('Part III-Sources of Funds'!$H$34="","",-FV('Part III-Sources of Funds'!$J$34/12,12,D25/12,C38))</f>
        <v/>
      </c>
      <c r="E38" s="1590" t="str">
        <f>IF('Part III-Sources of Funds'!$H$34="","",-FV('Part III-Sources of Funds'!$J$34/12,12,E25/12,D38))</f>
        <v/>
      </c>
      <c r="F38" s="1590" t="str">
        <f>IF('Part III-Sources of Funds'!$H$34="","",-FV('Part III-Sources of Funds'!$J$34/12,12,F25/12,E38))</f>
        <v/>
      </c>
      <c r="G38" s="1590" t="str">
        <f>IF('Part III-Sources of Funds'!$H$34="","",-FV('Part III-Sources of Funds'!$J$34/12,12,G25/12,F38))</f>
        <v/>
      </c>
      <c r="H38" s="1590" t="str">
        <f>IF('Part III-Sources of Funds'!$H$34="","",-FV('Part III-Sources of Funds'!$J$34/12,12,H25/12,G38))</f>
        <v/>
      </c>
      <c r="I38" s="1590" t="str">
        <f>IF('Part III-Sources of Funds'!$H$34="","",-FV('Part III-Sources of Funds'!$J$34/12,12,I25/12,H38))</f>
        <v/>
      </c>
      <c r="J38" s="1590" t="str">
        <f>IF('Part III-Sources of Funds'!$H$34="","",-FV('Part III-Sources of Funds'!$J$34/12,12,J25/12,I38))</f>
        <v/>
      </c>
      <c r="K38" s="1590" t="str">
        <f>IF('Part III-Sources of Funds'!$H$34="","",-FV('Part III-Sources of Funds'!$J$34/12,12,K25/12,J38))</f>
        <v/>
      </c>
      <c r="M38" s="1483"/>
      <c r="N38" s="1484"/>
    </row>
    <row r="39" spans="1:14" ht="13.15" customHeight="1">
      <c r="A39" s="24" t="s">
        <v>1176</v>
      </c>
      <c r="B39" s="1590" t="str">
        <f>IF('Part III-Sources of Funds'!$H$35="","",-FV('Part III-Sources of Funds'!$J$35/12,12,B24/12,'Part III-Sources of Funds'!$H$35))</f>
        <v/>
      </c>
      <c r="C39" s="1590" t="str">
        <f>IF('Part III-Sources of Funds'!$H$35="","",-FV('Part III-Sources of Funds'!$J$35/12,12,C26/12,B39))</f>
        <v/>
      </c>
      <c r="D39" s="1590" t="str">
        <f>IF('Part III-Sources of Funds'!$H$35="","",-FV('Part III-Sources of Funds'!$J$35/12,12,D26/12,C39))</f>
        <v/>
      </c>
      <c r="E39" s="1590" t="str">
        <f>IF('Part III-Sources of Funds'!$H$35="","",-FV('Part III-Sources of Funds'!$J$35/12,12,E26/12,D39))</f>
        <v/>
      </c>
      <c r="F39" s="1590" t="str">
        <f>IF('Part III-Sources of Funds'!$H$35="","",-FV('Part III-Sources of Funds'!$J$35/12,12,F26/12,E39))</f>
        <v/>
      </c>
      <c r="G39" s="1590" t="str">
        <f>IF('Part III-Sources of Funds'!$H$35="","",-FV('Part III-Sources of Funds'!$J$35/12,12,G26/12,F39))</f>
        <v/>
      </c>
      <c r="H39" s="1590" t="str">
        <f>IF('Part III-Sources of Funds'!$H$35="","",-FV('Part III-Sources of Funds'!$J$35/12,12,H26/12,G39))</f>
        <v/>
      </c>
      <c r="I39" s="1590" t="str">
        <f>IF('Part III-Sources of Funds'!$H$35="","",-FV('Part III-Sources of Funds'!$J$35/12,12,I26/12,H39))</f>
        <v/>
      </c>
      <c r="J39" s="1590" t="str">
        <f>IF('Part III-Sources of Funds'!$H$35="","",-FV('Part III-Sources of Funds'!$J$35/12,12,J26/12,I39))</f>
        <v/>
      </c>
      <c r="K39" s="1590" t="str">
        <f>IF('Part III-Sources of Funds'!$H$35="","",-FV('Part III-Sources of Funds'!$J$35/12,12,K26/12,J39))</f>
        <v/>
      </c>
      <c r="M39" s="1483"/>
      <c r="N39" s="1484"/>
    </row>
    <row r="40" spans="1:14" ht="13.15" customHeight="1">
      <c r="A40" s="29" t="s">
        <v>1659</v>
      </c>
      <c r="B40" s="1592">
        <f>IF('Part III-Sources of Funds'!$H$37="","",-FV('Part III-Sources of Funds'!$J$37/12,12,B29/12,'Part III-Sources of Funds'!$H$37))</f>
        <v>-0.5</v>
      </c>
      <c r="C40" s="1592">
        <f>IF('Part III-Sources of Funds'!$H$37="","",-FV('Part III-Sources of Funds'!$J$37/12,12,C29/12,B40))</f>
        <v>-0.5</v>
      </c>
      <c r="D40" s="1592">
        <f>IF('Part III-Sources of Funds'!$H$37="","",-FV('Part III-Sources of Funds'!$J$37/12,12,D29/12,C40))</f>
        <v>-0.5</v>
      </c>
      <c r="E40" s="1592">
        <f>IF('Part III-Sources of Funds'!$H$37="","",-FV('Part III-Sources of Funds'!$J$37/12,12,E29/12,D40))</f>
        <v>-0.5</v>
      </c>
      <c r="F40" s="1592">
        <f>IF('Part III-Sources of Funds'!$H$37="","",-FV('Part III-Sources of Funds'!$J$37/12,12,F29/12,E40))</f>
        <v>-0.5</v>
      </c>
      <c r="G40" s="1592">
        <f>IF('Part III-Sources of Funds'!$H$37="","",-FV('Part III-Sources of Funds'!$J$37/12,12,G29/12,F40))</f>
        <v>-0.5</v>
      </c>
      <c r="H40" s="1592">
        <f>IF('Part III-Sources of Funds'!$H$37="","",-FV('Part III-Sources of Funds'!$J$37/12,12,H29/12,G40))</f>
        <v>-0.5</v>
      </c>
      <c r="I40" s="1592">
        <f>IF('Part III-Sources of Funds'!$H$37="","",-FV('Part III-Sources of Funds'!$J$37/12,12,I29/12,H40))</f>
        <v>-0.5</v>
      </c>
      <c r="J40" s="1592">
        <f>IF('Part III-Sources of Funds'!$H$37="","",-FV('Part III-Sources of Funds'!$J$37/12,12,J29/12,I40))</f>
        <v>-0.5</v>
      </c>
      <c r="K40" s="1592">
        <f>IF('Part III-Sources of Funds'!$H$37="","",-FV('Part III-Sources of Funds'!$J$37/12,12,K29/12,J40))</f>
        <v>-0.5</v>
      </c>
      <c r="M40" s="1486"/>
      <c r="N40" s="1487"/>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3424</v>
      </c>
      <c r="N42" s="883"/>
    </row>
    <row r="43" spans="1:14" ht="13.15" customHeight="1">
      <c r="A43" s="21" t="s">
        <v>3168</v>
      </c>
      <c r="B43" s="22">
        <f t="shared" ref="B43:K43" si="15">$B$14*(1+$B$5)^(B42-1)</f>
        <v>376069.53052374255</v>
      </c>
      <c r="C43" s="22">
        <f t="shared" si="15"/>
        <v>383590.92113421729</v>
      </c>
      <c r="D43" s="22">
        <f t="shared" si="15"/>
        <v>391262.73955690174</v>
      </c>
      <c r="E43" s="22">
        <f t="shared" si="15"/>
        <v>399087.99434803973</v>
      </c>
      <c r="F43" s="22">
        <f t="shared" si="15"/>
        <v>407069.75423500058</v>
      </c>
      <c r="G43" s="22">
        <f t="shared" si="15"/>
        <v>415211.14931970043</v>
      </c>
      <c r="H43" s="22">
        <f t="shared" si="15"/>
        <v>423515.37230609456</v>
      </c>
      <c r="I43" s="22">
        <f t="shared" si="15"/>
        <v>431985.67975221644</v>
      </c>
      <c r="J43" s="22">
        <f t="shared" si="15"/>
        <v>440625.39334726072</v>
      </c>
      <c r="K43" s="23">
        <f t="shared" si="15"/>
        <v>449437.90121420595</v>
      </c>
      <c r="M43" s="1481"/>
      <c r="N43" s="1482"/>
    </row>
    <row r="44" spans="1:14" ht="13.15" customHeight="1">
      <c r="A44" s="24" t="s">
        <v>1418</v>
      </c>
      <c r="B44" s="25">
        <f t="shared" ref="B44:K44" si="16">$B$15*(1+$B$5)^(B42-1)</f>
        <v>7521.3906104748503</v>
      </c>
      <c r="C44" s="25">
        <f t="shared" si="16"/>
        <v>7671.8184226843459</v>
      </c>
      <c r="D44" s="25">
        <f t="shared" si="16"/>
        <v>7825.2547911380343</v>
      </c>
      <c r="E44" s="25">
        <f t="shared" si="16"/>
        <v>7981.7598869607946</v>
      </c>
      <c r="F44" s="25">
        <f t="shared" si="16"/>
        <v>8141.3950847000115</v>
      </c>
      <c r="G44" s="25">
        <f t="shared" si="16"/>
        <v>8304.2229863940083</v>
      </c>
      <c r="H44" s="25">
        <f t="shared" si="16"/>
        <v>8470.3074461218912</v>
      </c>
      <c r="I44" s="25">
        <f t="shared" si="16"/>
        <v>8639.7135950443298</v>
      </c>
      <c r="J44" s="25">
        <f t="shared" si="16"/>
        <v>8812.5078669452141</v>
      </c>
      <c r="K44" s="26">
        <f t="shared" si="16"/>
        <v>8988.7580242841195</v>
      </c>
      <c r="M44" s="1483"/>
      <c r="N44" s="1484"/>
    </row>
    <row r="45" spans="1:14" ht="13.15" customHeight="1">
      <c r="A45" s="24" t="s">
        <v>3169</v>
      </c>
      <c r="B45" s="25">
        <f t="shared" ref="B45:K45" si="17">-(B43+B44)*$B$8</f>
        <v>-26851.364479395223</v>
      </c>
      <c r="C45" s="25">
        <f t="shared" si="17"/>
        <v>-27388.391768983118</v>
      </c>
      <c r="D45" s="25">
        <f t="shared" si="17"/>
        <v>-27936.159604362787</v>
      </c>
      <c r="E45" s="25">
        <f t="shared" si="17"/>
        <v>-28494.882796450038</v>
      </c>
      <c r="F45" s="25">
        <f t="shared" si="17"/>
        <v>-29064.780452379044</v>
      </c>
      <c r="G45" s="25">
        <f t="shared" si="17"/>
        <v>-29646.076061426615</v>
      </c>
      <c r="H45" s="25">
        <f t="shared" si="17"/>
        <v>-30238.997582655153</v>
      </c>
      <c r="I45" s="25">
        <f t="shared" si="17"/>
        <v>-30843.777534308258</v>
      </c>
      <c r="J45" s="25">
        <f t="shared" si="17"/>
        <v>-31460.653084994421</v>
      </c>
      <c r="K45" s="26">
        <f t="shared" si="17"/>
        <v>-32089.866146694305</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8">$B$19*(1+$B$6)^(B42-1)</f>
        <v>-247065.68125276992</v>
      </c>
      <c r="C48" s="25">
        <f t="shared" si="18"/>
        <v>-254477.65169035303</v>
      </c>
      <c r="D48" s="25">
        <f t="shared" si="18"/>
        <v>-262111.98124106356</v>
      </c>
      <c r="E48" s="25">
        <f t="shared" si="18"/>
        <v>-269975.34067829547</v>
      </c>
      <c r="F48" s="25">
        <f t="shared" si="18"/>
        <v>-278074.60089864436</v>
      </c>
      <c r="G48" s="25">
        <f t="shared" si="18"/>
        <v>-286416.83892560372</v>
      </c>
      <c r="H48" s="25">
        <f t="shared" si="18"/>
        <v>-295009.34409337176</v>
      </c>
      <c r="I48" s="25">
        <f t="shared" si="18"/>
        <v>-303859.62441617291</v>
      </c>
      <c r="J48" s="25">
        <f t="shared" si="18"/>
        <v>-312975.41314865812</v>
      </c>
      <c r="K48" s="26">
        <f t="shared" si="18"/>
        <v>-322364.67554311786</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-27093</v>
      </c>
      <c r="C49" s="25">
        <f>IF(AND('Part VII-Pro Forma'!$G$8="Yes",'Part VII-Pro Forma'!$G$9="Yes"),"Choose One!",IF('Part VII-Pro Forma'!$G$8="Yes",ROUND((-$K$8*(1+'Part VII-Pro Forma'!$B$6)^('Part VII-Pro Forma'!C42-1)),),IF('Part VII-Pro Forma'!$G$9="Yes",ROUND((-(SUM(C43:C46)*'Part VII-Pro Forma'!$K$9)),),"Choose mgt fee")))</f>
        <v>-27906</v>
      </c>
      <c r="D49" s="25">
        <f>IF(AND('Part VII-Pro Forma'!$G$8="Yes",'Part VII-Pro Forma'!$G$9="Yes"),"Choose One!",IF('Part VII-Pro Forma'!$G$8="Yes",ROUND((-$K$8*(1+'Part VII-Pro Forma'!$B$6)^('Part VII-Pro Forma'!D42-1)),),IF('Part VII-Pro Forma'!$G$9="Yes",ROUND((-(SUM(D43:D46)*'Part VII-Pro Forma'!$K$9)),),"Choose mgt fee")))</f>
        <v>-28743</v>
      </c>
      <c r="E49" s="25">
        <f>IF(AND('Part VII-Pro Forma'!$G$8="Yes",'Part VII-Pro Forma'!$G$9="Yes"),"Choose One!",IF('Part VII-Pro Forma'!$G$8="Yes",ROUND((-$K$8*(1+'Part VII-Pro Forma'!$B$6)^('Part VII-Pro Forma'!E42-1)),),IF('Part VII-Pro Forma'!$G$9="Yes",ROUND((-(SUM(E43:E46)*'Part VII-Pro Forma'!$K$9)),),"Choose mgt fee")))</f>
        <v>-29606</v>
      </c>
      <c r="F49" s="25">
        <f>IF(AND('Part VII-Pro Forma'!$G$8="Yes",'Part VII-Pro Forma'!$G$9="Yes"),"Choose One!",IF('Part VII-Pro Forma'!$G$8="Yes",ROUND((-$K$8*(1+'Part VII-Pro Forma'!$B$6)^('Part VII-Pro Forma'!F42-1)),),IF('Part VII-Pro Forma'!$G$9="Yes",ROUND((-(SUM(F43:F46)*'Part VII-Pro Forma'!$K$9)),),"Choose mgt fee")))</f>
        <v>-30494</v>
      </c>
      <c r="G49" s="25">
        <f>IF(AND('Part VII-Pro Forma'!$G$8="Yes",'Part VII-Pro Forma'!$G$9="Yes"),"Choose One!",IF('Part VII-Pro Forma'!$G$8="Yes",ROUND((-$K$8*(1+'Part VII-Pro Forma'!$B$6)^('Part VII-Pro Forma'!G42-1)),),IF('Part VII-Pro Forma'!$G$9="Yes",ROUND((-(SUM(G43:G46)*'Part VII-Pro Forma'!$K$9)),),"Choose mgt fee")))</f>
        <v>-31409</v>
      </c>
      <c r="H49" s="25">
        <f>IF(AND('Part VII-Pro Forma'!$G$8="Yes",'Part VII-Pro Forma'!$G$9="Yes"),"Choose One!",IF('Part VII-Pro Forma'!$G$8="Yes",ROUND((-$K$8*(1+'Part VII-Pro Forma'!$B$6)^('Part VII-Pro Forma'!H42-1)),),IF('Part VII-Pro Forma'!$G$9="Yes",ROUND((-(SUM(H43:H46)*'Part VII-Pro Forma'!$K$9)),),"Choose mgt fee")))</f>
        <v>-32351</v>
      </c>
      <c r="I49" s="25">
        <f>IF(AND('Part VII-Pro Forma'!$G$8="Yes",'Part VII-Pro Forma'!$G$9="Yes"),"Choose One!",IF('Part VII-Pro Forma'!$G$8="Yes",ROUND((-$K$8*(1+'Part VII-Pro Forma'!$B$6)^('Part VII-Pro Forma'!I42-1)),),IF('Part VII-Pro Forma'!$G$9="Yes",ROUND((-(SUM(I43:I46)*'Part VII-Pro Forma'!$K$9)),),"Choose mgt fee")))</f>
        <v>-33321</v>
      </c>
      <c r="J49" s="25">
        <f>IF(AND('Part VII-Pro Forma'!$G$8="Yes",'Part VII-Pro Forma'!$G$9="Yes"),"Choose One!",IF('Part VII-Pro Forma'!$G$8="Yes",ROUND((-$K$8*(1+'Part VII-Pro Forma'!$B$6)^('Part VII-Pro Forma'!J42-1)),),IF('Part VII-Pro Forma'!$G$9="Yes",ROUND((-(SUM(J43:J46)*'Part VII-Pro Forma'!$K$9)),),"Choose mgt fee")))</f>
        <v>-34321</v>
      </c>
      <c r="K49" s="25">
        <f>IF(AND('Part VII-Pro Forma'!$G$8="Yes",'Part VII-Pro Forma'!$G$9="Yes"),"Choose One!",IF('Part VII-Pro Forma'!$G$8="Yes",ROUND((-$K$8*(1+'Part VII-Pro Forma'!$B$6)^('Part VII-Pro Forma'!K42-1)),),IF('Part VII-Pro Forma'!$G$9="Yes",ROUND((-(SUM(K43:K46)*'Part VII-Pro Forma'!$K$9)),),"Choose mgt fee")))</f>
        <v>-35351</v>
      </c>
      <c r="M49" s="1483"/>
      <c r="N49" s="1484"/>
    </row>
    <row r="50" spans="1:14" ht="13.15" customHeight="1">
      <c r="A50" s="24" t="s">
        <v>1622</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483"/>
      <c r="N50" s="1484"/>
    </row>
    <row r="51" spans="1:14" ht="13.15" customHeight="1">
      <c r="A51" s="24" t="s">
        <v>1623</v>
      </c>
      <c r="B51" s="25">
        <f t="shared" ref="B51:K51" si="20">SUM(B43:B50)</f>
        <v>66453.87884992281</v>
      </c>
      <c r="C51" s="25">
        <f t="shared" si="20"/>
        <v>64879.889648872151</v>
      </c>
      <c r="D51" s="25">
        <f t="shared" si="20"/>
        <v>63187.722860459289</v>
      </c>
      <c r="E51" s="25">
        <f t="shared" si="20"/>
        <v>61371.126198836238</v>
      </c>
      <c r="F51" s="25">
        <f t="shared" si="20"/>
        <v>59426.691270415889</v>
      </c>
      <c r="G51" s="25">
        <f t="shared" si="20"/>
        <v>57347.848319854951</v>
      </c>
      <c r="H51" s="25">
        <f t="shared" si="20"/>
        <v>55129.860807004065</v>
      </c>
      <c r="I51" s="25">
        <f t="shared" si="20"/>
        <v>52766.819809518594</v>
      </c>
      <c r="J51" s="25">
        <f t="shared" si="20"/>
        <v>50251.638245674585</v>
      </c>
      <c r="K51" s="26">
        <f t="shared" si="20"/>
        <v>47579.044911752688</v>
      </c>
      <c r="M51" s="1483"/>
      <c r="N51" s="1484"/>
    </row>
    <row r="52" spans="1:14" ht="13.15" customHeight="1">
      <c r="A52" s="24" t="str">
        <f>$A23</f>
        <v>Mortgage A</v>
      </c>
      <c r="B52" s="1589">
        <f>IF('Part III-Sources of Funds'!$M$32="", 0,-'Part III-Sources of Funds'!$M$32)</f>
        <v>-47306.225539888634</v>
      </c>
      <c r="C52" s="1589">
        <f>IF('Part III-Sources of Funds'!$M$32="", 0,-'Part III-Sources of Funds'!$M$32)</f>
        <v>-47306.225539888634</v>
      </c>
      <c r="D52" s="1589">
        <f>IF('Part III-Sources of Funds'!$M$32="", 0,-'Part III-Sources of Funds'!$M$32)</f>
        <v>-47306.225539888634</v>
      </c>
      <c r="E52" s="1589">
        <f>IF('Part III-Sources of Funds'!$M$32="", 0,-'Part III-Sources of Funds'!$M$32)</f>
        <v>-47306.225539888634</v>
      </c>
      <c r="F52" s="1589">
        <f>IF('Part III-Sources of Funds'!$M$32="", 0,-'Part III-Sources of Funds'!$M$32)</f>
        <v>-47306.225539888634</v>
      </c>
      <c r="G52" s="1589">
        <f>IF('Part III-Sources of Funds'!$M$32="", 0,-'Part III-Sources of Funds'!$M$32)</f>
        <v>-47306.225539888634</v>
      </c>
      <c r="H52" s="1589">
        <f>IF('Part III-Sources of Funds'!$M$32="", 0,-'Part III-Sources of Funds'!$M$32)</f>
        <v>-47306.225539888634</v>
      </c>
      <c r="I52" s="1589">
        <f>IF('Part III-Sources of Funds'!$M$32="", 0,-'Part III-Sources of Funds'!$M$32)</f>
        <v>-47306.225539888634</v>
      </c>
      <c r="J52" s="1589">
        <f>IF('Part III-Sources of Funds'!$M$32="", 0,-'Part III-Sources of Funds'!$M$32)</f>
        <v>-47306.225539888634</v>
      </c>
      <c r="K52" s="1589">
        <f>IF('Part III-Sources of Funds'!$M$32="", 0,-'Part III-Sources of Funds'!$M$32)</f>
        <v>-47306.225539888634</v>
      </c>
      <c r="M52" s="1483"/>
      <c r="N52" s="1484"/>
    </row>
    <row r="53" spans="1:14" ht="13.15" customHeight="1">
      <c r="A53" s="24" t="str">
        <f>$A24</f>
        <v>Mortgage B</v>
      </c>
      <c r="B53" s="1590">
        <f>IF('Part III-Sources of Funds'!$M$33="", 0,-'Part III-Sources of Funds'!$M$33)</f>
        <v>0</v>
      </c>
      <c r="C53" s="1590">
        <f>IF('Part III-Sources of Funds'!$M$33="", 0,-'Part III-Sources of Funds'!$M$33)</f>
        <v>0</v>
      </c>
      <c r="D53" s="1590">
        <f>IF('Part III-Sources of Funds'!$M$33="", 0,-'Part III-Sources of Funds'!$M$33)</f>
        <v>0</v>
      </c>
      <c r="E53" s="1590">
        <f>IF('Part III-Sources of Funds'!$M$33="", 0,-'Part III-Sources of Funds'!$M$33)</f>
        <v>0</v>
      </c>
      <c r="F53" s="1590">
        <f>IF('Part III-Sources of Funds'!$M$33="", 0,-'Part III-Sources of Funds'!$M$33)</f>
        <v>0</v>
      </c>
      <c r="G53" s="1590">
        <f>IF('Part III-Sources of Funds'!$M$33="", 0,-'Part III-Sources of Funds'!$M$33)</f>
        <v>0</v>
      </c>
      <c r="H53" s="1590">
        <f>IF('Part III-Sources of Funds'!$M$33="", 0,-'Part III-Sources of Funds'!$M$33)</f>
        <v>0</v>
      </c>
      <c r="I53" s="1590">
        <f>IF('Part III-Sources of Funds'!$M$33="", 0,-'Part III-Sources of Funds'!$M$33)</f>
        <v>0</v>
      </c>
      <c r="J53" s="1590">
        <f>IF('Part III-Sources of Funds'!$M$33="", 0,-'Part III-Sources of Funds'!$M$33)</f>
        <v>0</v>
      </c>
      <c r="K53" s="1590">
        <f>IF('Part III-Sources of Funds'!$M$33="", 0,-'Part III-Sources of Funds'!$M$33)</f>
        <v>0</v>
      </c>
      <c r="M53" s="1483"/>
      <c r="N53" s="1484"/>
    </row>
    <row r="54" spans="1:14" ht="13.15" customHeight="1">
      <c r="A54" s="24" t="str">
        <f>$A25</f>
        <v>Mortgage C</v>
      </c>
      <c r="B54" s="1590">
        <f>IF('Part III-Sources of Funds'!$M$34="", 0,-'Part III-Sources of Funds'!$M$34)</f>
        <v>0</v>
      </c>
      <c r="C54" s="1590">
        <f>IF('Part III-Sources of Funds'!$M$34="", 0,-'Part III-Sources of Funds'!$M$34)</f>
        <v>0</v>
      </c>
      <c r="D54" s="1590">
        <f>IF('Part III-Sources of Funds'!$M$34="", 0,-'Part III-Sources of Funds'!$M$34)</f>
        <v>0</v>
      </c>
      <c r="E54" s="1590">
        <f>IF('Part III-Sources of Funds'!$M$34="", 0,-'Part III-Sources of Funds'!$M$34)</f>
        <v>0</v>
      </c>
      <c r="F54" s="1590">
        <f>IF('Part III-Sources of Funds'!$M$34="", 0,-'Part III-Sources of Funds'!$M$34)</f>
        <v>0</v>
      </c>
      <c r="G54" s="1590">
        <f>IF('Part III-Sources of Funds'!$M$34="", 0,-'Part III-Sources of Funds'!$M$34)</f>
        <v>0</v>
      </c>
      <c r="H54" s="1590">
        <f>IF('Part III-Sources of Funds'!$M$34="", 0,-'Part III-Sources of Funds'!$M$34)</f>
        <v>0</v>
      </c>
      <c r="I54" s="1590">
        <f>IF('Part III-Sources of Funds'!$M$34="", 0,-'Part III-Sources of Funds'!$M$34)</f>
        <v>0</v>
      </c>
      <c r="J54" s="1590">
        <f>IF('Part III-Sources of Funds'!$M$34="", 0,-'Part III-Sources of Funds'!$M$34)</f>
        <v>0</v>
      </c>
      <c r="K54" s="1590">
        <f>IF('Part III-Sources of Funds'!$M$34="", 0,-'Part III-Sources of Funds'!$M$34)</f>
        <v>0</v>
      </c>
      <c r="M54" s="1483"/>
      <c r="N54" s="1484"/>
    </row>
    <row r="55" spans="1:14" ht="13.15" customHeight="1">
      <c r="A55" s="24" t="str">
        <f>$A26</f>
        <v>D/S Other Source</v>
      </c>
      <c r="B55" s="1590">
        <f>IF('Part III-Sources of Funds'!$M$35="", 0,-'Part III-Sources of Funds'!$M$35)</f>
        <v>0</v>
      </c>
      <c r="C55" s="1590">
        <f>IF('Part III-Sources of Funds'!$M$35="", 0,-'Part III-Sources of Funds'!$M$35)</f>
        <v>0</v>
      </c>
      <c r="D55" s="1590">
        <f>IF('Part III-Sources of Funds'!$M$35="", 0,-'Part III-Sources of Funds'!$M$35)</f>
        <v>0</v>
      </c>
      <c r="E55" s="1590">
        <f>IF('Part III-Sources of Funds'!$M$35="", 0,-'Part III-Sources of Funds'!$M$35)</f>
        <v>0</v>
      </c>
      <c r="F55" s="1590">
        <f>IF('Part III-Sources of Funds'!$M$35="", 0,-'Part III-Sources of Funds'!$M$35)</f>
        <v>0</v>
      </c>
      <c r="G55" s="1590">
        <f>IF('Part III-Sources of Funds'!$M$35="", 0,-'Part III-Sources of Funds'!$M$35)</f>
        <v>0</v>
      </c>
      <c r="H55" s="1590">
        <f>IF('Part III-Sources of Funds'!$M$35="", 0,-'Part III-Sources of Funds'!$M$35)</f>
        <v>0</v>
      </c>
      <c r="I55" s="1590">
        <f>IF('Part III-Sources of Funds'!$M$35="", 0,-'Part III-Sources of Funds'!$M$35)</f>
        <v>0</v>
      </c>
      <c r="J55" s="1590">
        <f>IF('Part III-Sources of Funds'!$M$35="", 0,-'Part III-Sources of Funds'!$M$35)</f>
        <v>0</v>
      </c>
      <c r="K55" s="1590">
        <f>IF('Part III-Sources of Funds'!$M$35="", 0,-'Part III-Sources of Funds'!$M$35)</f>
        <v>0</v>
      </c>
      <c r="M55" s="1483"/>
      <c r="N55" s="1484"/>
    </row>
    <row r="56" spans="1:14" ht="13.15" customHeight="1">
      <c r="A56" s="24" t="s">
        <v>1150</v>
      </c>
      <c r="B56" s="1591"/>
      <c r="C56" s="1591"/>
      <c r="D56" s="1591"/>
      <c r="E56" s="1591"/>
      <c r="F56" s="1591"/>
      <c r="G56" s="1591"/>
      <c r="H56" s="1591"/>
      <c r="I56" s="1591"/>
      <c r="J56" s="1591"/>
      <c r="K56" s="1591"/>
      <c r="M56" s="1483"/>
      <c r="N56" s="1484"/>
    </row>
    <row r="57" spans="1:14" ht="13.15" customHeight="1">
      <c r="A57" s="24" t="s">
        <v>1578</v>
      </c>
      <c r="B57" s="1590">
        <f>+K28</f>
        <v>-5000</v>
      </c>
      <c r="C57" s="1590">
        <f t="shared" ref="C57:K57" si="21">+B57</f>
        <v>-5000</v>
      </c>
      <c r="D57" s="1590">
        <f t="shared" si="21"/>
        <v>-5000</v>
      </c>
      <c r="E57" s="1590">
        <f t="shared" si="21"/>
        <v>-5000</v>
      </c>
      <c r="F57" s="1590">
        <f t="shared" si="21"/>
        <v>-5000</v>
      </c>
      <c r="G57" s="1590">
        <f t="shared" si="21"/>
        <v>-5000</v>
      </c>
      <c r="H57" s="1590">
        <f t="shared" si="21"/>
        <v>-5000</v>
      </c>
      <c r="I57" s="1590">
        <f t="shared" si="21"/>
        <v>-5000</v>
      </c>
      <c r="J57" s="1590">
        <f t="shared" si="21"/>
        <v>-5000</v>
      </c>
      <c r="K57" s="1590">
        <f t="shared" si="21"/>
        <v>-5000</v>
      </c>
      <c r="M57" s="1483"/>
      <c r="N57" s="1484"/>
    </row>
    <row r="58" spans="1:14" ht="13.15" customHeight="1">
      <c r="A58" s="24" t="s">
        <v>1624</v>
      </c>
      <c r="B58" s="1592">
        <f>IF('Part III-Sources of Funds'!$M$37="", 0,-'Part III-Sources of Funds'!$M$37)</f>
        <v>0</v>
      </c>
      <c r="C58" s="1592">
        <f>IF('Part III-Sources of Funds'!$M$37="", 0,-'Part III-Sources of Funds'!$M$37)</f>
        <v>0</v>
      </c>
      <c r="D58" s="1592">
        <f>IF('Part III-Sources of Funds'!$M$37="", 0,-'Part III-Sources of Funds'!$M$37)</f>
        <v>0</v>
      </c>
      <c r="E58" s="1592">
        <f>IF('Part III-Sources of Funds'!$M$37="", 0,-'Part III-Sources of Funds'!$M$37)</f>
        <v>0</v>
      </c>
      <c r="F58" s="1592">
        <f>IF('Part III-Sources of Funds'!$M$37="", 0,-'Part III-Sources of Funds'!$M$37)</f>
        <v>0</v>
      </c>
      <c r="G58" s="1592">
        <f>IF('Part III-Sources of Funds'!$M$37="", 0,-'Part III-Sources of Funds'!$M$37)</f>
        <v>0</v>
      </c>
      <c r="H58" s="1592">
        <f>IF('Part III-Sources of Funds'!$M$37="", 0,-'Part III-Sources of Funds'!$M$37)</f>
        <v>0</v>
      </c>
      <c r="I58" s="1592">
        <f>IF('Part III-Sources of Funds'!$M$37="", 0,-'Part III-Sources of Funds'!$M$37)</f>
        <v>0</v>
      </c>
      <c r="J58" s="1592">
        <f>IF('Part III-Sources of Funds'!$M$37="", 0,-'Part III-Sources of Funds'!$M$37)</f>
        <v>0</v>
      </c>
      <c r="K58" s="1590">
        <f>IF('Part III-Sources of Funds'!$M$37="", 0,-'Part III-Sources of Funds'!$M$37)</f>
        <v>0</v>
      </c>
      <c r="M58" s="1483"/>
      <c r="N58" s="1484"/>
    </row>
    <row r="59" spans="1:14" ht="13.15" customHeight="1">
      <c r="A59" s="24" t="s">
        <v>1579</v>
      </c>
      <c r="B59" s="25">
        <f t="shared" ref="B59:K59" si="22">SUM(B51:B58)</f>
        <v>14147.653310034177</v>
      </c>
      <c r="C59" s="25">
        <f t="shared" si="22"/>
        <v>12573.664108983518</v>
      </c>
      <c r="D59" s="25">
        <f t="shared" si="22"/>
        <v>10881.497320570656</v>
      </c>
      <c r="E59" s="25">
        <f t="shared" si="22"/>
        <v>9064.9006589476048</v>
      </c>
      <c r="F59" s="25">
        <f t="shared" si="22"/>
        <v>7120.4657305272558</v>
      </c>
      <c r="G59" s="25">
        <f t="shared" si="22"/>
        <v>5041.6227799663175</v>
      </c>
      <c r="H59" s="25">
        <f t="shared" si="22"/>
        <v>2823.6352671154309</v>
      </c>
      <c r="I59" s="25">
        <f t="shared" si="22"/>
        <v>460.59426962996076</v>
      </c>
      <c r="J59" s="25">
        <f t="shared" si="22"/>
        <v>-2054.5872942140486</v>
      </c>
      <c r="K59" s="23">
        <f t="shared" si="22"/>
        <v>-4727.1806281359459</v>
      </c>
      <c r="M59" s="1483"/>
      <c r="N59" s="1484"/>
    </row>
    <row r="60" spans="1:14" ht="13.15" customHeight="1">
      <c r="A60" s="24" t="str">
        <f>$A31</f>
        <v>DCR Mortgage A</v>
      </c>
      <c r="B60" s="27">
        <f>IF(B52=0,"",-B51/B52)</f>
        <v>1.4047596926516335</v>
      </c>
      <c r="C60" s="27">
        <f t="shared" ref="C60:K60" si="23">IF(C52=0,"",-C51/C52)</f>
        <v>1.3714873446025702</v>
      </c>
      <c r="D60" s="27">
        <f t="shared" si="23"/>
        <v>1.3357168562767572</v>
      </c>
      <c r="E60" s="27">
        <f t="shared" si="23"/>
        <v>1.2973160614365242</v>
      </c>
      <c r="F60" s="27">
        <f t="shared" si="23"/>
        <v>1.2562129105038675</v>
      </c>
      <c r="G60" s="27">
        <f t="shared" si="23"/>
        <v>1.2122685262957456</v>
      </c>
      <c r="H60" s="27">
        <f t="shared" si="23"/>
        <v>1.1653827837208981</v>
      </c>
      <c r="I60" s="27">
        <f t="shared" si="23"/>
        <v>1.1154307748570129</v>
      </c>
      <c r="J60" s="27">
        <f t="shared" si="23"/>
        <v>1.0622626868276011</v>
      </c>
      <c r="K60" s="28">
        <f t="shared" si="23"/>
        <v>1.0057670923594193</v>
      </c>
      <c r="M60" s="1483"/>
      <c r="N60" s="14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3"/>
      <c r="N61" s="14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3"/>
      <c r="N62" s="14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3"/>
      <c r="N63" s="1484"/>
    </row>
    <row r="64" spans="1:14" ht="13.15" customHeight="1">
      <c r="A64" s="24" t="s">
        <v>1158</v>
      </c>
      <c r="B64" s="341">
        <f>IF(OR(B49="Choose mgt fee",B49="Choose One!"),"",(B43+B44+B45+B46+B47) / -(B48+B49+B50))</f>
        <v>1.2289257925242403</v>
      </c>
      <c r="C64" s="341">
        <f t="shared" ref="C64:K64" si="27">IF(OR(C49="Choose mgt fee",C49="Choose One!"),"",(C43+C44+C45+C46+C47) / -(C48+C49+C50))</f>
        <v>1.2169936193890925</v>
      </c>
      <c r="D64" s="341">
        <f t="shared" si="27"/>
        <v>1.2051788517631579</v>
      </c>
      <c r="E64" s="341">
        <f t="shared" si="27"/>
        <v>1.1934754148393092</v>
      </c>
      <c r="F64" s="341">
        <f t="shared" si="27"/>
        <v>1.181888926028307</v>
      </c>
      <c r="G64" s="341">
        <f t="shared" si="27"/>
        <v>1.1704136502249565</v>
      </c>
      <c r="H64" s="341">
        <f t="shared" si="27"/>
        <v>1.1590513137541552</v>
      </c>
      <c r="I64" s="341">
        <f t="shared" si="27"/>
        <v>1.1478000923216949</v>
      </c>
      <c r="J64" s="341">
        <f t="shared" si="27"/>
        <v>1.1366552584183351</v>
      </c>
      <c r="K64" s="342">
        <f t="shared" si="27"/>
        <v>1.1256186708796672</v>
      </c>
      <c r="M64" s="1483"/>
      <c r="N64" s="1484"/>
    </row>
    <row r="65" spans="1:14" ht="13.15" customHeight="1">
      <c r="A65" s="564" t="s">
        <v>3419</v>
      </c>
      <c r="B65" s="1593">
        <f>IF('Part III-Sources of Funds'!$H$32="","",-FV('Part III-Sources of Funds'!$J$32/12,12,B52/12,K36))</f>
        <v>-47523.64914938288</v>
      </c>
      <c r="C65" s="1593">
        <f>IF('Part III-Sources of Funds'!$H$32="","",-FV('Part III-Sources of Funds'!$J$32/12,12,C52/12,B65))</f>
        <v>-95524.71901934006</v>
      </c>
      <c r="D65" s="1593">
        <f>IF('Part III-Sources of Funds'!$H$32="","",-FV('Part III-Sources of Funds'!$J$32/12,12,D52/12,C65))</f>
        <v>-144008.00575975364</v>
      </c>
      <c r="E65" s="1593">
        <f>IF('Part III-Sources of Funds'!$H$32="","",-FV('Part III-Sources of Funds'!$J$32/12,12,E52/12,D65))</f>
        <v>-192978.35370244339</v>
      </c>
      <c r="F65" s="1593">
        <f>IF('Part III-Sources of Funds'!$H$32="","",-FV('Part III-Sources of Funds'!$J$32/12,12,F52/12,E65))</f>
        <v>-242440.65584519703</v>
      </c>
      <c r="G65" s="1593">
        <f>IF('Part III-Sources of Funds'!$H$32="","",-FV('Part III-Sources of Funds'!$J$32/12,12,G52/12,F65))</f>
        <v>-292399.85434066667</v>
      </c>
      <c r="H65" s="1593">
        <f>IF('Part III-Sources of Funds'!$H$32="","",-FV('Part III-Sources of Funds'!$J$32/12,12,H52/12,G65))</f>
        <v>-342860.94099017669</v>
      </c>
      <c r="I65" s="1593">
        <f>IF('Part III-Sources of Funds'!$H$32="","",-FV('Part III-Sources of Funds'!$J$32/12,12,I52/12,H65))</f>
        <v>-393828.95774249232</v>
      </c>
      <c r="J65" s="1593">
        <f>IF('Part III-Sources of Funds'!$H$32="","",-FV('Part III-Sources of Funds'!$J$32/12,12,J52/12,I65))</f>
        <v>-445308.99719759886</v>
      </c>
      <c r="K65" s="1593">
        <f>IF('Part III-Sources of Funds'!$H$32="","",-FV('Part III-Sources of Funds'!$J$32/12,12,K52/12,J65))</f>
        <v>-497306.20311554195</v>
      </c>
      <c r="M65" s="1483"/>
      <c r="N65" s="1484"/>
    </row>
    <row r="66" spans="1:14" ht="13.15" customHeight="1">
      <c r="A66" s="564" t="s">
        <v>3420</v>
      </c>
      <c r="B66" s="1590" t="str">
        <f>IF('Part III-Sources of Funds'!$H$33="","",-FV('Part III-Sources of Funds'!$J$33/12,12,B53/12,K37))</f>
        <v/>
      </c>
      <c r="C66" s="1590" t="str">
        <f>IF('Part III-Sources of Funds'!$H$33="","",-FV('Part III-Sources of Funds'!$J$33/12,12,C53/12,B66))</f>
        <v/>
      </c>
      <c r="D66" s="1590" t="str">
        <f>IF('Part III-Sources of Funds'!$H$33="","",-FV('Part III-Sources of Funds'!$J$33/12,12,D53/12,C66))</f>
        <v/>
      </c>
      <c r="E66" s="1590" t="str">
        <f>IF('Part III-Sources of Funds'!$H$33="","",-FV('Part III-Sources of Funds'!$J$33/12,12,E53/12,D66))</f>
        <v/>
      </c>
      <c r="F66" s="1590" t="str">
        <f>IF('Part III-Sources of Funds'!$H$33="","",-FV('Part III-Sources of Funds'!$J$33/12,12,F53/12,E66))</f>
        <v/>
      </c>
      <c r="G66" s="1590" t="str">
        <f>IF('Part III-Sources of Funds'!$H$33="","",-FV('Part III-Sources of Funds'!$J$33/12,12,G53/12,F66))</f>
        <v/>
      </c>
      <c r="H66" s="1590" t="str">
        <f>IF('Part III-Sources of Funds'!$H$33="","",-FV('Part III-Sources of Funds'!$J$33/12,12,H53/12,G66))</f>
        <v/>
      </c>
      <c r="I66" s="1590" t="str">
        <f>IF('Part III-Sources of Funds'!$H$33="","",-FV('Part III-Sources of Funds'!$J$33/12,12,I53/12,H66))</f>
        <v/>
      </c>
      <c r="J66" s="1590" t="str">
        <f>IF('Part III-Sources of Funds'!$H$33="","",-FV('Part III-Sources of Funds'!$J$33/12,12,J53/12,I66))</f>
        <v/>
      </c>
      <c r="K66" s="1590" t="str">
        <f>IF('Part III-Sources of Funds'!$H$33="","",-FV('Part III-Sources of Funds'!$J$33/12,12,K53/12,J66))</f>
        <v/>
      </c>
      <c r="M66" s="1483"/>
      <c r="N66" s="1484"/>
    </row>
    <row r="67" spans="1:14" ht="13.15" customHeight="1">
      <c r="A67" s="564" t="s">
        <v>3421</v>
      </c>
      <c r="B67" s="1590" t="str">
        <f>IF('Part III-Sources of Funds'!$H$34="","",-FV('Part III-Sources of Funds'!$J$34/12,12,B54/12,K38))</f>
        <v/>
      </c>
      <c r="C67" s="1590" t="str">
        <f>IF('Part III-Sources of Funds'!$H$34="","",-FV('Part III-Sources of Funds'!$J$34/12,12,C54/12,B67))</f>
        <v/>
      </c>
      <c r="D67" s="1590" t="str">
        <f>IF('Part III-Sources of Funds'!$H$34="","",-FV('Part III-Sources of Funds'!$J$34/12,12,D54/12,C67))</f>
        <v/>
      </c>
      <c r="E67" s="1590" t="str">
        <f>IF('Part III-Sources of Funds'!$H$34="","",-FV('Part III-Sources of Funds'!$J$34/12,12,E54/12,D67))</f>
        <v/>
      </c>
      <c r="F67" s="1590" t="str">
        <f>IF('Part III-Sources of Funds'!$H$34="","",-FV('Part III-Sources of Funds'!$J$34/12,12,F54/12,E67))</f>
        <v/>
      </c>
      <c r="G67" s="1590" t="str">
        <f>IF('Part III-Sources of Funds'!$H$34="","",-FV('Part III-Sources of Funds'!$J$34/12,12,G54/12,F67))</f>
        <v/>
      </c>
      <c r="H67" s="1590" t="str">
        <f>IF('Part III-Sources of Funds'!$H$34="","",-FV('Part III-Sources of Funds'!$J$34/12,12,H54/12,G67))</f>
        <v/>
      </c>
      <c r="I67" s="1590" t="str">
        <f>IF('Part III-Sources of Funds'!$H$34="","",-FV('Part III-Sources of Funds'!$J$34/12,12,I54/12,H67))</f>
        <v/>
      </c>
      <c r="J67" s="1590" t="str">
        <f>IF('Part III-Sources of Funds'!$H$34="","",-FV('Part III-Sources of Funds'!$J$34/12,12,J54/12,I67))</f>
        <v/>
      </c>
      <c r="K67" s="1590" t="str">
        <f>IF('Part III-Sources of Funds'!$H$34="","",-FV('Part III-Sources of Funds'!$J$34/12,12,K54/12,J67))</f>
        <v/>
      </c>
      <c r="M67" s="1483"/>
      <c r="N67" s="1484"/>
    </row>
    <row r="68" spans="1:14" ht="13.15" customHeight="1">
      <c r="A68" s="24" t="s">
        <v>1176</v>
      </c>
      <c r="B68" s="1590" t="str">
        <f>IF('Part III-Sources of Funds'!$H$35="","",-FV('Part III-Sources of Funds'!$J$35/12,12,B55/12,K39))</f>
        <v/>
      </c>
      <c r="C68" s="1590" t="str">
        <f>IF('Part III-Sources of Funds'!$H$35="","",-FV('Part III-Sources of Funds'!$J$35/12,12,C55/12,B68))</f>
        <v/>
      </c>
      <c r="D68" s="1590" t="str">
        <f>IF('Part III-Sources of Funds'!$H$35="","",-FV('Part III-Sources of Funds'!$J$35/12,12,D55/12,C68))</f>
        <v/>
      </c>
      <c r="E68" s="1590" t="str">
        <f>IF('Part III-Sources of Funds'!$H$35="","",-FV('Part III-Sources of Funds'!$J$35/12,12,E55/12,D68))</f>
        <v/>
      </c>
      <c r="F68" s="1590" t="str">
        <f>IF('Part III-Sources of Funds'!$H$35="","",-FV('Part III-Sources of Funds'!$J$35/12,12,F55/12,E68))</f>
        <v/>
      </c>
      <c r="G68" s="1590" t="str">
        <f>IF('Part III-Sources of Funds'!$H$35="","",-FV('Part III-Sources of Funds'!$J$35/12,12,G55/12,F68))</f>
        <v/>
      </c>
      <c r="H68" s="1590" t="str">
        <f>IF('Part III-Sources of Funds'!$H$35="","",-FV('Part III-Sources of Funds'!$J$35/12,12,H55/12,G68))</f>
        <v/>
      </c>
      <c r="I68" s="1590" t="str">
        <f>IF('Part III-Sources of Funds'!$H$35="","",-FV('Part III-Sources of Funds'!$J$35/12,12,I55/12,H68))</f>
        <v/>
      </c>
      <c r="J68" s="1590" t="str">
        <f>IF('Part III-Sources of Funds'!$H$35="","",-FV('Part III-Sources of Funds'!$J$35/12,12,J55/12,I68))</f>
        <v/>
      </c>
      <c r="K68" s="1590" t="str">
        <f>IF('Part III-Sources of Funds'!$H$35="","",-FV('Part III-Sources of Funds'!$J$35/12,12,K55/12,J68))</f>
        <v/>
      </c>
      <c r="M68" s="1483"/>
      <c r="N68" s="1484"/>
    </row>
    <row r="69" spans="1:14" ht="13.15" customHeight="1">
      <c r="A69" s="29" t="s">
        <v>1659</v>
      </c>
      <c r="B69" s="1592">
        <f>IF('Part III-Sources of Funds'!$H$37="","",-FV('Part III-Sources of Funds'!$J$37/12,12,B58/12,K40))</f>
        <v>-0.5</v>
      </c>
      <c r="C69" s="1592">
        <f>IF('Part III-Sources of Funds'!$H$37="","",-FV('Part III-Sources of Funds'!$J$37/12,12,C58/12,B69))</f>
        <v>-0.5</v>
      </c>
      <c r="D69" s="1592">
        <f>IF('Part III-Sources of Funds'!$H$37="","",-FV('Part III-Sources of Funds'!$J$37/12,12,D58/12,C69))</f>
        <v>-0.5</v>
      </c>
      <c r="E69" s="1592">
        <f>IF('Part III-Sources of Funds'!$H$37="","",-FV('Part III-Sources of Funds'!$J$37/12,12,E58/12,D69))</f>
        <v>-0.5</v>
      </c>
      <c r="F69" s="1592">
        <f>IF('Part III-Sources of Funds'!$H$37="","",-FV('Part III-Sources of Funds'!$J$37/12,12,F58/12,E69))</f>
        <v>-0.5</v>
      </c>
      <c r="G69" s="1592">
        <f>IF('Part III-Sources of Funds'!$H$37="","",-FV('Part III-Sources of Funds'!$J$37/12,12,G58/12,F69))</f>
        <v>-0.5</v>
      </c>
      <c r="H69" s="1592">
        <f>IF('Part III-Sources of Funds'!$H$37="","",-FV('Part III-Sources of Funds'!$J$37/12,12,H58/12,G69))</f>
        <v>-0.5</v>
      </c>
      <c r="I69" s="1592">
        <f>IF('Part III-Sources of Funds'!$H$37="","",-FV('Part III-Sources of Funds'!$J$37/12,12,I58/12,H69))</f>
        <v>-0.5</v>
      </c>
      <c r="J69" s="1592">
        <f>IF('Part III-Sources of Funds'!$H$37="","",-FV('Part III-Sources of Funds'!$J$37/12,12,J58/12,I69))</f>
        <v>-0.5</v>
      </c>
      <c r="K69" s="1592">
        <f>IF('Part III-Sources of Funds'!$H$37="","",-FV('Part III-Sources of Funds'!$J$37/12,12,K58/12,J69))</f>
        <v>-0.5</v>
      </c>
      <c r="M69" s="1486"/>
      <c r="N69" s="1487"/>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3425</v>
      </c>
      <c r="N71" s="883"/>
    </row>
    <row r="72" spans="1:14" ht="13.15" customHeight="1">
      <c r="A72" s="21" t="s">
        <v>3168</v>
      </c>
      <c r="B72" s="22">
        <f t="shared" ref="B72:K72" si="29">$B$14*(1+$B$5)^(B71-1)</f>
        <v>458426.6592384901</v>
      </c>
      <c r="C72" s="22">
        <f t="shared" si="29"/>
        <v>467595.1924232599</v>
      </c>
      <c r="D72" s="22">
        <f t="shared" si="29"/>
        <v>476947.09627172508</v>
      </c>
      <c r="E72" s="22">
        <f t="shared" si="29"/>
        <v>486486.03819715953</v>
      </c>
      <c r="F72" s="22">
        <f t="shared" si="29"/>
        <v>496215.75896110275</v>
      </c>
      <c r="G72" s="22">
        <f t="shared" si="29"/>
        <v>506140.07414032478</v>
      </c>
      <c r="H72" s="22">
        <f t="shared" si="29"/>
        <v>516262.87562313135</v>
      </c>
      <c r="I72" s="22">
        <f t="shared" si="29"/>
        <v>526588.13313559385</v>
      </c>
      <c r="J72" s="22">
        <f t="shared" si="29"/>
        <v>537119.89579830586</v>
      </c>
      <c r="K72" s="23">
        <f t="shared" si="29"/>
        <v>547862.29371427186</v>
      </c>
      <c r="M72" s="1481"/>
      <c r="N72" s="1482"/>
    </row>
    <row r="73" spans="1:14" ht="13.15" customHeight="1">
      <c r="A73" s="24" t="s">
        <v>1418</v>
      </c>
      <c r="B73" s="25">
        <f t="shared" ref="B73:K73" si="30">$B$15*(1+$B$5)^(B71-1)</f>
        <v>9168.5331847698017</v>
      </c>
      <c r="C73" s="25">
        <f t="shared" si="30"/>
        <v>9351.9038484651974</v>
      </c>
      <c r="D73" s="25">
        <f t="shared" si="30"/>
        <v>9538.9419254345012</v>
      </c>
      <c r="E73" s="25">
        <f t="shared" si="30"/>
        <v>9729.7207639431908</v>
      </c>
      <c r="F73" s="25">
        <f t="shared" si="30"/>
        <v>9924.3151792220542</v>
      </c>
      <c r="G73" s="25">
        <f t="shared" si="30"/>
        <v>10122.801482806495</v>
      </c>
      <c r="H73" s="25">
        <f t="shared" si="30"/>
        <v>10325.257512462627</v>
      </c>
      <c r="I73" s="25">
        <f t="shared" si="30"/>
        <v>10531.762662711877</v>
      </c>
      <c r="J73" s="25">
        <f t="shared" si="30"/>
        <v>10742.397915966118</v>
      </c>
      <c r="K73" s="26">
        <f t="shared" si="30"/>
        <v>10957.245874285438</v>
      </c>
      <c r="M73" s="1483"/>
      <c r="N73" s="1484"/>
    </row>
    <row r="74" spans="1:14" ht="13.15" customHeight="1">
      <c r="A74" s="24" t="s">
        <v>3169</v>
      </c>
      <c r="B74" s="25">
        <f t="shared" ref="B74:K74" si="31">-(B72+B73)*$B$8</f>
        <v>-32731.663469628194</v>
      </c>
      <c r="C74" s="25">
        <f t="shared" si="31"/>
        <v>-33386.296739020756</v>
      </c>
      <c r="D74" s="25">
        <f t="shared" si="31"/>
        <v>-34054.022673801177</v>
      </c>
      <c r="E74" s="25">
        <f t="shared" si="31"/>
        <v>-34735.103127277194</v>
      </c>
      <c r="F74" s="25">
        <f t="shared" si="31"/>
        <v>-35429.805189822735</v>
      </c>
      <c r="G74" s="25">
        <f t="shared" si="31"/>
        <v>-36138.401293619194</v>
      </c>
      <c r="H74" s="25">
        <f t="shared" si="31"/>
        <v>-36861.169319491579</v>
      </c>
      <c r="I74" s="25">
        <f t="shared" si="31"/>
        <v>-37598.392705881408</v>
      </c>
      <c r="J74" s="25">
        <f t="shared" si="31"/>
        <v>-38350.360559999041</v>
      </c>
      <c r="K74" s="26">
        <f t="shared" si="31"/>
        <v>-39117.367771199017</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2">$B$19*(1+$B$6)^(B71-1)</f>
        <v>-332035.61580941139</v>
      </c>
      <c r="C77" s="25">
        <f t="shared" si="32"/>
        <v>-341996.68428369367</v>
      </c>
      <c r="D77" s="25">
        <f t="shared" si="32"/>
        <v>-352256.58481220453</v>
      </c>
      <c r="E77" s="25">
        <f t="shared" si="32"/>
        <v>-362824.28235657065</v>
      </c>
      <c r="F77" s="25">
        <f t="shared" si="32"/>
        <v>-373709.01082726772</v>
      </c>
      <c r="G77" s="25">
        <f t="shared" si="32"/>
        <v>-384920.28115208575</v>
      </c>
      <c r="H77" s="25">
        <f t="shared" si="32"/>
        <v>-396467.88958664838</v>
      </c>
      <c r="I77" s="25">
        <f t="shared" si="32"/>
        <v>-408361.92627424782</v>
      </c>
      <c r="J77" s="25">
        <f t="shared" si="32"/>
        <v>-420612.78406247526</v>
      </c>
      <c r="K77" s="26">
        <f t="shared" si="32"/>
        <v>-433231.16758434946</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-36411</v>
      </c>
      <c r="C78" s="25">
        <f>IF(AND('Part VII-Pro Forma'!$G$8="Yes",'Part VII-Pro Forma'!$G$9="Yes"),"Choose One!",IF('Part VII-Pro Forma'!$G$8="Yes",ROUND((-$K$8*(1+'Part VII-Pro Forma'!$B$6)^('Part VII-Pro Forma'!C71-1)),),IF('Part VII-Pro Forma'!$G$9="Yes",ROUND((-(SUM(C72:C75)*'Part VII-Pro Forma'!$K$9)),),"Choose mgt fee")))</f>
        <v>-37504</v>
      </c>
      <c r="D78" s="25">
        <f>IF(AND('Part VII-Pro Forma'!$G$8="Yes",'Part VII-Pro Forma'!$G$9="Yes"),"Choose One!",IF('Part VII-Pro Forma'!$G$8="Yes",ROUND((-$K$8*(1+'Part VII-Pro Forma'!$B$6)^('Part VII-Pro Forma'!D71-1)),),IF('Part VII-Pro Forma'!$G$9="Yes",ROUND((-(SUM(D72:D75)*'Part VII-Pro Forma'!$K$9)),),"Choose mgt fee")))</f>
        <v>-38629</v>
      </c>
      <c r="E78" s="25">
        <f>IF(AND('Part VII-Pro Forma'!$G$8="Yes",'Part VII-Pro Forma'!$G$9="Yes"),"Choose One!",IF('Part VII-Pro Forma'!$G$8="Yes",ROUND((-$K$8*(1+'Part VII-Pro Forma'!$B$6)^('Part VII-Pro Forma'!E71-1)),),IF('Part VII-Pro Forma'!$G$9="Yes",ROUND((-(SUM(E72:E75)*'Part VII-Pro Forma'!$K$9)),),"Choose mgt fee")))</f>
        <v>-39788</v>
      </c>
      <c r="F78" s="25">
        <f>IF(AND('Part VII-Pro Forma'!$G$8="Yes",'Part VII-Pro Forma'!$G$9="Yes"),"Choose One!",IF('Part VII-Pro Forma'!$G$8="Yes",ROUND((-$K$8*(1+'Part VII-Pro Forma'!$B$6)^('Part VII-Pro Forma'!F71-1)),),IF('Part VII-Pro Forma'!$G$9="Yes",ROUND((-(SUM(F72:F75)*'Part VII-Pro Forma'!$K$9)),),"Choose mgt fee")))</f>
        <v>-40981</v>
      </c>
      <c r="G78" s="25">
        <f>IF(AND('Part VII-Pro Forma'!$G$8="Yes",'Part VII-Pro Forma'!$G$9="Yes"),"Choose One!",IF('Part VII-Pro Forma'!$G$8="Yes",ROUND((-$K$8*(1+'Part VII-Pro Forma'!$B$6)^('Part VII-Pro Forma'!G71-1)),),IF('Part VII-Pro Forma'!$G$9="Yes",ROUND((-(SUM(G72:G75)*'Part VII-Pro Forma'!$K$9)),),"Choose mgt fee")))</f>
        <v>-42211</v>
      </c>
      <c r="H78" s="25">
        <f>IF(AND('Part VII-Pro Forma'!$G$8="Yes",'Part VII-Pro Forma'!$G$9="Yes"),"Choose One!",IF('Part VII-Pro Forma'!$G$8="Yes",ROUND((-$K$8*(1+'Part VII-Pro Forma'!$B$6)^('Part VII-Pro Forma'!H71-1)),),IF('Part VII-Pro Forma'!$G$9="Yes",ROUND((-(SUM(H72:H75)*'Part VII-Pro Forma'!$K$9)),),"Choose mgt fee")))</f>
        <v>-43477</v>
      </c>
      <c r="I78" s="25">
        <f>IF(AND('Part VII-Pro Forma'!$G$8="Yes",'Part VII-Pro Forma'!$G$9="Yes"),"Choose One!",IF('Part VII-Pro Forma'!$G$8="Yes",ROUND((-$K$8*(1+'Part VII-Pro Forma'!$B$6)^('Part VII-Pro Forma'!I71-1)),),IF('Part VII-Pro Forma'!$G$9="Yes",ROUND((-(SUM(I72:I75)*'Part VII-Pro Forma'!$K$9)),),"Choose mgt fee")))</f>
        <v>-44781</v>
      </c>
      <c r="J78" s="25">
        <f>IF(AND('Part VII-Pro Forma'!$G$8="Yes",'Part VII-Pro Forma'!$G$9="Yes"),"Choose One!",IF('Part VII-Pro Forma'!$G$8="Yes",ROUND((-$K$8*(1+'Part VII-Pro Forma'!$B$6)^('Part VII-Pro Forma'!J71-1)),),IF('Part VII-Pro Forma'!$G$9="Yes",ROUND((-(SUM(J72:J75)*'Part VII-Pro Forma'!$K$9)),),"Choose mgt fee")))</f>
        <v>-46125</v>
      </c>
      <c r="K78" s="25">
        <f>IF(AND('Part VII-Pro Forma'!$G$8="Yes",'Part VII-Pro Forma'!$G$9="Yes"),"Choose One!",IF('Part VII-Pro Forma'!$G$8="Yes",ROUND((-$K$8*(1+'Part VII-Pro Forma'!$B$6)^('Part VII-Pro Forma'!K71-1)),),IF('Part VII-Pro Forma'!$G$9="Yes",ROUND((-(SUM(K72:K75)*'Part VII-Pro Forma'!$K$9)),),"Choose mgt fee")))</f>
        <v>-47508</v>
      </c>
      <c r="M78" s="1483"/>
      <c r="N78" s="1484"/>
    </row>
    <row r="79" spans="1:14" ht="13.15" customHeight="1">
      <c r="A79" s="24" t="s">
        <v>1622</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483"/>
      <c r="N79" s="1484"/>
    </row>
    <row r="80" spans="1:14" ht="13.15" customHeight="1">
      <c r="A80" s="24" t="s">
        <v>1623</v>
      </c>
      <c r="B80" s="25">
        <f t="shared" ref="B80:K80" si="34">SUM(B72:B79)</f>
        <v>44743.578328187345</v>
      </c>
      <c r="C80" s="25">
        <f t="shared" si="34"/>
        <v>41736.580388496732</v>
      </c>
      <c r="D80" s="25">
        <f t="shared" si="34"/>
        <v>38553.189804824528</v>
      </c>
      <c r="E80" s="25">
        <f t="shared" si="34"/>
        <v>35185.335343735685</v>
      </c>
      <c r="F80" s="25">
        <f t="shared" si="34"/>
        <v>31626.728845709498</v>
      </c>
      <c r="G80" s="25">
        <f t="shared" si="34"/>
        <v>27867.858021575783</v>
      </c>
      <c r="H80" s="25">
        <f t="shared" si="34"/>
        <v>23902.979018927894</v>
      </c>
      <c r="I80" s="25">
        <f t="shared" si="34"/>
        <v>19723.108751334679</v>
      </c>
      <c r="J80" s="25">
        <f t="shared" si="34"/>
        <v>15319.016982950583</v>
      </c>
      <c r="K80" s="26">
        <f t="shared" si="34"/>
        <v>10684.2181608963</v>
      </c>
      <c r="M80" s="1483"/>
      <c r="N80" s="1484"/>
    </row>
    <row r="81" spans="1:14" ht="13.15" customHeight="1">
      <c r="A81" s="24" t="str">
        <f>$A52</f>
        <v>Mortgage A</v>
      </c>
      <c r="B81" s="1589">
        <f>IF('Part III-Sources of Funds'!$M$32="", 0,-'Part III-Sources of Funds'!$M$32)</f>
        <v>-47306.225539888634</v>
      </c>
      <c r="C81" s="1589">
        <f>IF('Part III-Sources of Funds'!$M$32="", 0,-'Part III-Sources of Funds'!$M$32)</f>
        <v>-47306.225539888634</v>
      </c>
      <c r="D81" s="1589">
        <f>IF('Part III-Sources of Funds'!$M$32="", 0,-'Part III-Sources of Funds'!$M$32)</f>
        <v>-47306.225539888634</v>
      </c>
      <c r="E81" s="1589">
        <f>IF('Part III-Sources of Funds'!$M$32="", 0,-'Part III-Sources of Funds'!$M$32)</f>
        <v>-47306.225539888634</v>
      </c>
      <c r="F81" s="1589">
        <f>IF('Part III-Sources of Funds'!$M$32="", 0,-'Part III-Sources of Funds'!$M$32)</f>
        <v>-47306.225539888634</v>
      </c>
      <c r="G81" s="1589">
        <f>IF('Part III-Sources of Funds'!$M$32="", 0,-'Part III-Sources of Funds'!$M$32)</f>
        <v>-47306.225539888634</v>
      </c>
      <c r="H81" s="1589">
        <f>IF('Part III-Sources of Funds'!$M$32="", 0,-'Part III-Sources of Funds'!$M$32)</f>
        <v>-47306.225539888634</v>
      </c>
      <c r="I81" s="1589">
        <f>IF('Part III-Sources of Funds'!$M$32="", 0,-'Part III-Sources of Funds'!$M$32)</f>
        <v>-47306.225539888634</v>
      </c>
      <c r="J81" s="1589">
        <f>IF('Part III-Sources of Funds'!$M$32="", 0,-'Part III-Sources of Funds'!$M$32)</f>
        <v>-47306.225539888634</v>
      </c>
      <c r="K81" s="1589">
        <f>IF('Part III-Sources of Funds'!$M$32="", 0,-'Part III-Sources of Funds'!$M$32)</f>
        <v>-47306.225539888634</v>
      </c>
      <c r="M81" s="1483"/>
      <c r="N81" s="1484"/>
    </row>
    <row r="82" spans="1:14" ht="13.15" customHeight="1">
      <c r="A82" s="24" t="str">
        <f>$A53</f>
        <v>Mortgage B</v>
      </c>
      <c r="B82" s="1590">
        <f>IF('Part III-Sources of Funds'!$M$33="", 0,-'Part III-Sources of Funds'!$M$33)</f>
        <v>0</v>
      </c>
      <c r="C82" s="1590">
        <f>IF('Part III-Sources of Funds'!$M$33="", 0,-'Part III-Sources of Funds'!$M$33)</f>
        <v>0</v>
      </c>
      <c r="D82" s="1590">
        <f>IF('Part III-Sources of Funds'!$M$33="", 0,-'Part III-Sources of Funds'!$M$33)</f>
        <v>0</v>
      </c>
      <c r="E82" s="1590">
        <f>IF('Part III-Sources of Funds'!$M$33="", 0,-'Part III-Sources of Funds'!$M$33)</f>
        <v>0</v>
      </c>
      <c r="F82" s="1590">
        <f>IF('Part III-Sources of Funds'!$M$33="", 0,-'Part III-Sources of Funds'!$M$33)</f>
        <v>0</v>
      </c>
      <c r="G82" s="1590">
        <f>IF('Part III-Sources of Funds'!$M$33="", 0,-'Part III-Sources of Funds'!$M$33)</f>
        <v>0</v>
      </c>
      <c r="H82" s="1590">
        <f>IF('Part III-Sources of Funds'!$M$33="", 0,-'Part III-Sources of Funds'!$M$33)</f>
        <v>0</v>
      </c>
      <c r="I82" s="1590">
        <f>IF('Part III-Sources of Funds'!$M$33="", 0,-'Part III-Sources of Funds'!$M$33)</f>
        <v>0</v>
      </c>
      <c r="J82" s="1590">
        <f>IF('Part III-Sources of Funds'!$M$33="", 0,-'Part III-Sources of Funds'!$M$33)</f>
        <v>0</v>
      </c>
      <c r="K82" s="1590">
        <f>IF('Part III-Sources of Funds'!$M$33="", 0,-'Part III-Sources of Funds'!$M$33)</f>
        <v>0</v>
      </c>
      <c r="M82" s="1483"/>
      <c r="N82" s="1484"/>
    </row>
    <row r="83" spans="1:14" ht="13.15" customHeight="1">
      <c r="A83" s="24" t="str">
        <f>$A54</f>
        <v>Mortgage C</v>
      </c>
      <c r="B83" s="1590">
        <f>IF('Part III-Sources of Funds'!$M$34="", 0,-'Part III-Sources of Funds'!$M$34)</f>
        <v>0</v>
      </c>
      <c r="C83" s="1590">
        <f>IF('Part III-Sources of Funds'!$M$34="", 0,-'Part III-Sources of Funds'!$M$34)</f>
        <v>0</v>
      </c>
      <c r="D83" s="1590">
        <f>IF('Part III-Sources of Funds'!$M$34="", 0,-'Part III-Sources of Funds'!$M$34)</f>
        <v>0</v>
      </c>
      <c r="E83" s="1590">
        <f>IF('Part III-Sources of Funds'!$M$34="", 0,-'Part III-Sources of Funds'!$M$34)</f>
        <v>0</v>
      </c>
      <c r="F83" s="1590">
        <f>IF('Part III-Sources of Funds'!$M$34="", 0,-'Part III-Sources of Funds'!$M$34)</f>
        <v>0</v>
      </c>
      <c r="G83" s="1590">
        <f>IF('Part III-Sources of Funds'!$M$34="", 0,-'Part III-Sources of Funds'!$M$34)</f>
        <v>0</v>
      </c>
      <c r="H83" s="1590">
        <f>IF('Part III-Sources of Funds'!$M$34="", 0,-'Part III-Sources of Funds'!$M$34)</f>
        <v>0</v>
      </c>
      <c r="I83" s="1590">
        <f>IF('Part III-Sources of Funds'!$M$34="", 0,-'Part III-Sources of Funds'!$M$34)</f>
        <v>0</v>
      </c>
      <c r="J83" s="1590">
        <f>IF('Part III-Sources of Funds'!$M$34="", 0,-'Part III-Sources of Funds'!$M$34)</f>
        <v>0</v>
      </c>
      <c r="K83" s="1590">
        <f>IF('Part III-Sources of Funds'!$M$34="", 0,-'Part III-Sources of Funds'!$M$34)</f>
        <v>0</v>
      </c>
      <c r="M83" s="1483"/>
      <c r="N83" s="1484"/>
    </row>
    <row r="84" spans="1:14" ht="13.15" customHeight="1">
      <c r="A84" s="24" t="str">
        <f>$A55</f>
        <v>D/S Other Source</v>
      </c>
      <c r="B84" s="1590">
        <f>IF('Part III-Sources of Funds'!$M$35="", 0,-'Part III-Sources of Funds'!$M$35)</f>
        <v>0</v>
      </c>
      <c r="C84" s="1590">
        <f>IF('Part III-Sources of Funds'!$M$35="", 0,-'Part III-Sources of Funds'!$M$35)</f>
        <v>0</v>
      </c>
      <c r="D84" s="1590">
        <f>IF('Part III-Sources of Funds'!$M$35="", 0,-'Part III-Sources of Funds'!$M$35)</f>
        <v>0</v>
      </c>
      <c r="E84" s="1590">
        <f>IF('Part III-Sources of Funds'!$M$35="", 0,-'Part III-Sources of Funds'!$M$35)</f>
        <v>0</v>
      </c>
      <c r="F84" s="1590">
        <f>IF('Part III-Sources of Funds'!$M$35="", 0,-'Part III-Sources of Funds'!$M$35)</f>
        <v>0</v>
      </c>
      <c r="G84" s="1590">
        <f>IF('Part III-Sources of Funds'!$M$35="", 0,-'Part III-Sources of Funds'!$M$35)</f>
        <v>0</v>
      </c>
      <c r="H84" s="1590">
        <f>IF('Part III-Sources of Funds'!$M$35="", 0,-'Part III-Sources of Funds'!$M$35)</f>
        <v>0</v>
      </c>
      <c r="I84" s="1590">
        <f>IF('Part III-Sources of Funds'!$M$35="", 0,-'Part III-Sources of Funds'!$M$35)</f>
        <v>0</v>
      </c>
      <c r="J84" s="1590">
        <f>IF('Part III-Sources of Funds'!$M$35="", 0,-'Part III-Sources of Funds'!$M$35)</f>
        <v>0</v>
      </c>
      <c r="K84" s="1590">
        <f>IF('Part III-Sources of Funds'!$M$35="", 0,-'Part III-Sources of Funds'!$M$35)</f>
        <v>0</v>
      </c>
      <c r="M84" s="1483"/>
      <c r="N84" s="1484"/>
    </row>
    <row r="85" spans="1:14" ht="13.15" customHeight="1">
      <c r="A85" s="24" t="s">
        <v>1150</v>
      </c>
      <c r="B85" s="1591"/>
      <c r="C85" s="1591"/>
      <c r="D85" s="1591"/>
      <c r="E85" s="1591"/>
      <c r="F85" s="1591"/>
      <c r="G85" s="1591"/>
      <c r="H85" s="1591"/>
      <c r="I85" s="1591"/>
      <c r="J85" s="1591"/>
      <c r="K85" s="1591"/>
      <c r="M85" s="1483"/>
      <c r="N85" s="1484"/>
    </row>
    <row r="86" spans="1:14" ht="13.15" customHeight="1">
      <c r="A86" s="24" t="s">
        <v>1578</v>
      </c>
      <c r="B86" s="1590">
        <f>+K57</f>
        <v>-5000</v>
      </c>
      <c r="C86" s="1590">
        <f t="shared" ref="C86:K86" si="35">+B86</f>
        <v>-5000</v>
      </c>
      <c r="D86" s="1590">
        <f t="shared" si="35"/>
        <v>-5000</v>
      </c>
      <c r="E86" s="1590">
        <f t="shared" si="35"/>
        <v>-5000</v>
      </c>
      <c r="F86" s="1590">
        <f t="shared" si="35"/>
        <v>-5000</v>
      </c>
      <c r="G86" s="1590">
        <f t="shared" si="35"/>
        <v>-5000</v>
      </c>
      <c r="H86" s="1590">
        <f t="shared" si="35"/>
        <v>-5000</v>
      </c>
      <c r="I86" s="1590">
        <f t="shared" si="35"/>
        <v>-5000</v>
      </c>
      <c r="J86" s="1590">
        <f t="shared" si="35"/>
        <v>-5000</v>
      </c>
      <c r="K86" s="1590">
        <f t="shared" si="35"/>
        <v>-5000</v>
      </c>
      <c r="M86" s="1483"/>
      <c r="N86" s="1484"/>
    </row>
    <row r="87" spans="1:14" ht="13.15" customHeight="1">
      <c r="A87" s="24" t="s">
        <v>1624</v>
      </c>
      <c r="B87" s="1592">
        <f>IF('Part III-Sources of Funds'!$M$37="", 0,-'Part III-Sources of Funds'!$M$37)</f>
        <v>0</v>
      </c>
      <c r="C87" s="1592">
        <f>IF('Part III-Sources of Funds'!$M$37="", 0,-'Part III-Sources of Funds'!$M$37)</f>
        <v>0</v>
      </c>
      <c r="D87" s="1592">
        <f>IF('Part III-Sources of Funds'!$M$37="", 0,-'Part III-Sources of Funds'!$M$37)</f>
        <v>0</v>
      </c>
      <c r="E87" s="1592">
        <f>IF('Part III-Sources of Funds'!$M$37="", 0,-'Part III-Sources of Funds'!$M$37)</f>
        <v>0</v>
      </c>
      <c r="F87" s="1592">
        <f>IF('Part III-Sources of Funds'!$M$37="", 0,-'Part III-Sources of Funds'!$M$37)</f>
        <v>0</v>
      </c>
      <c r="G87" s="1592">
        <f>IF('Part III-Sources of Funds'!$M$37="", 0,-'Part III-Sources of Funds'!$M$37)</f>
        <v>0</v>
      </c>
      <c r="H87" s="1592">
        <f>IF('Part III-Sources of Funds'!$M$37="", 0,-'Part III-Sources of Funds'!$M$37)</f>
        <v>0</v>
      </c>
      <c r="I87" s="1592">
        <f>IF('Part III-Sources of Funds'!$M$37="", 0,-'Part III-Sources of Funds'!$M$37)</f>
        <v>0</v>
      </c>
      <c r="J87" s="1592">
        <f>IF('Part III-Sources of Funds'!$M$37="", 0,-'Part III-Sources of Funds'!$M$37)</f>
        <v>0</v>
      </c>
      <c r="K87" s="1590">
        <f>IF('Part III-Sources of Funds'!$M$37="", 0,-'Part III-Sources of Funds'!$M$37)</f>
        <v>0</v>
      </c>
      <c r="M87" s="1483"/>
      <c r="N87" s="1484"/>
    </row>
    <row r="88" spans="1:14" ht="13.15" customHeight="1">
      <c r="A88" s="24" t="s">
        <v>1579</v>
      </c>
      <c r="B88" s="25">
        <f t="shared" ref="B88:K88" si="36">SUM(B80:B87)</f>
        <v>-7562.6472117012891</v>
      </c>
      <c r="C88" s="25">
        <f t="shared" si="36"/>
        <v>-10569.645151391902</v>
      </c>
      <c r="D88" s="25">
        <f t="shared" si="36"/>
        <v>-13753.035735064106</v>
      </c>
      <c r="E88" s="25">
        <f t="shared" si="36"/>
        <v>-17120.890196152948</v>
      </c>
      <c r="F88" s="25">
        <f t="shared" si="36"/>
        <v>-20679.496694179135</v>
      </c>
      <c r="G88" s="25">
        <f t="shared" si="36"/>
        <v>-24438.367518312851</v>
      </c>
      <c r="H88" s="25">
        <f t="shared" si="36"/>
        <v>-28403.24652096074</v>
      </c>
      <c r="I88" s="25">
        <f t="shared" si="36"/>
        <v>-32583.116788553954</v>
      </c>
      <c r="J88" s="25">
        <f t="shared" si="36"/>
        <v>-36987.208556938051</v>
      </c>
      <c r="K88" s="23">
        <f t="shared" si="36"/>
        <v>-41622.007378992334</v>
      </c>
      <c r="M88" s="1483"/>
      <c r="N88" s="1484"/>
    </row>
    <row r="89" spans="1:14" ht="13.15" customHeight="1">
      <c r="A89" s="24" t="str">
        <f>$A60</f>
        <v>DCR Mortgage A</v>
      </c>
      <c r="B89" s="27">
        <f>IF(B81=0,"",-B80/B81)</f>
        <v>0.94582854196345756</v>
      </c>
      <c r="C89" s="27">
        <f t="shared" ref="C89:K89" si="37">IF(C81=0,"",-C80/C81)</f>
        <v>0.8822640130801479</v>
      </c>
      <c r="D89" s="27">
        <f t="shared" si="37"/>
        <v>0.8149707435930702</v>
      </c>
      <c r="E89" s="27">
        <f t="shared" si="37"/>
        <v>0.74377811677381434</v>
      </c>
      <c r="F89" s="27">
        <f t="shared" si="37"/>
        <v>0.66855320805592122</v>
      </c>
      <c r="G89" s="27">
        <f t="shared" si="37"/>
        <v>0.58909493842575944</v>
      </c>
      <c r="H89" s="27">
        <f t="shared" si="37"/>
        <v>0.50528188935244667</v>
      </c>
      <c r="I89" s="27">
        <f t="shared" si="37"/>
        <v>0.41692416856855646</v>
      </c>
      <c r="J89" s="27">
        <f t="shared" si="37"/>
        <v>0.32382665934811433</v>
      </c>
      <c r="K89" s="28">
        <f t="shared" si="37"/>
        <v>0.22585226445274864</v>
      </c>
      <c r="M89" s="1483"/>
      <c r="N89" s="14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3"/>
      <c r="N90" s="14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3"/>
      <c r="N91" s="14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3"/>
      <c r="N92" s="1484"/>
    </row>
    <row r="93" spans="1:14" ht="13.15" customHeight="1">
      <c r="A93" s="24" t="s">
        <v>1158</v>
      </c>
      <c r="B93" s="341">
        <f>IF(OR(B78="Choose mgt fee",B78="Choose One!"),"",(B72+B73+B74+B75+B76) / -(B77+B78+B79))</f>
        <v>1.1146918486389994</v>
      </c>
      <c r="C93" s="341">
        <f t="shared" ref="C93:K93" si="41">IF(OR(C78="Choose mgt fee",C78="Choose One!"),"",(C72+C73+C74+C75+C76) / -(C77+C78+C79))</f>
        <v>1.1038677570938507</v>
      </c>
      <c r="D93" s="341">
        <f t="shared" si="41"/>
        <v>1.0931509113516316</v>
      </c>
      <c r="E93" s="341">
        <f t="shared" si="41"/>
        <v>1.0825374655843862</v>
      </c>
      <c r="F93" s="341">
        <f t="shared" si="41"/>
        <v>1.0720289556701701</v>
      </c>
      <c r="G93" s="341">
        <f t="shared" si="41"/>
        <v>1.0616195695467745</v>
      </c>
      <c r="H93" s="341">
        <f t="shared" si="41"/>
        <v>1.0513133282077254</v>
      </c>
      <c r="I93" s="341">
        <f t="shared" si="41"/>
        <v>1.0411070753548906</v>
      </c>
      <c r="J93" s="341">
        <f t="shared" si="41"/>
        <v>1.0309980505217113</v>
      </c>
      <c r="K93" s="342">
        <f t="shared" si="41"/>
        <v>1.0209898650610407</v>
      </c>
      <c r="M93" s="1483"/>
      <c r="N93" s="1484"/>
    </row>
    <row r="94" spans="1:14" ht="13.15" customHeight="1">
      <c r="A94" s="564" t="s">
        <v>3419</v>
      </c>
      <c r="B94" s="1593">
        <f>IF('Part III-Sources of Funds'!$H$32="","",-FV('Part III-Sources of Funds'!$J$32/12,12,B81/12,K65))</f>
        <v>-549825.77093037928</v>
      </c>
      <c r="C94" s="1593">
        <f>IF('Part III-Sources of Funds'!$H$32="","",-FV('Part III-Sources of Funds'!$J$32/12,12,C81/12,B94))</f>
        <v>-602872.94826929609</v>
      </c>
      <c r="D94" s="1593">
        <f>IF('Part III-Sources of Funds'!$H$32="","",-FV('Part III-Sources of Funds'!$J$32/12,12,D81/12,C94))</f>
        <v>-656453.03547693498</v>
      </c>
      <c r="E94" s="1593">
        <f>IF('Part III-Sources of Funds'!$H$32="","",-FV('Part III-Sources of Funds'!$J$32/12,12,E81/12,D94))</f>
        <v>-710571.38614499359</v>
      </c>
      <c r="F94" s="1593">
        <f>IF('Part III-Sources of Funds'!$H$32="","",-FV('Part III-Sources of Funds'!$J$32/12,12,F81/12,E94))</f>
        <v>-765233.40764714219</v>
      </c>
      <c r="G94" s="1593">
        <f>IF('Part III-Sources of Funds'!$H$32="","",-FV('Part III-Sources of Funds'!$J$32/12,12,G81/12,F94))</f>
        <v>-820444.56167931564</v>
      </c>
      <c r="H94" s="1593">
        <f>IF('Part III-Sources of Funds'!$H$32="","",-FV('Part III-Sources of Funds'!$J$32/12,12,H81/12,G94))</f>
        <v>-876210.36480543239</v>
      </c>
      <c r="I94" s="1593">
        <f>IF('Part III-Sources of Funds'!$H$32="","",-FV('Part III-Sources of Funds'!$J$32/12,12,I81/12,H94))</f>
        <v>-932536.38900859631</v>
      </c>
      <c r="J94" s="1593">
        <f>IF('Part III-Sources of Funds'!$H$32="","",-FV('Part III-Sources of Funds'!$J$32/12,12,J81/12,I94))</f>
        <v>-989428.26224783564</v>
      </c>
      <c r="K94" s="1593">
        <f>IF('Part III-Sources of Funds'!$H$32="","",-FV('Part III-Sources of Funds'!$J$32/12,12,K81/12,J94))</f>
        <v>-1046891.6690204347</v>
      </c>
      <c r="M94" s="1483"/>
      <c r="N94" s="1484"/>
    </row>
    <row r="95" spans="1:14" ht="13.15" customHeight="1">
      <c r="A95" s="564" t="s">
        <v>3420</v>
      </c>
      <c r="B95" s="1590" t="str">
        <f>IF('Part III-Sources of Funds'!$H$33="","",-FV('Part III-Sources of Funds'!$J$33/12,12,B82/12,K66))</f>
        <v/>
      </c>
      <c r="C95" s="1590" t="str">
        <f>IF('Part III-Sources of Funds'!$H$33="","",-FV('Part III-Sources of Funds'!$J$33/12,12,C82/12,B95))</f>
        <v/>
      </c>
      <c r="D95" s="1590" t="str">
        <f>IF('Part III-Sources of Funds'!$H$33="","",-FV('Part III-Sources of Funds'!$J$33/12,12,D82/12,C95))</f>
        <v/>
      </c>
      <c r="E95" s="1590" t="str">
        <f>IF('Part III-Sources of Funds'!$H$33="","",-FV('Part III-Sources of Funds'!$J$33/12,12,E82/12,D95))</f>
        <v/>
      </c>
      <c r="F95" s="1590" t="str">
        <f>IF('Part III-Sources of Funds'!$H$33="","",-FV('Part III-Sources of Funds'!$J$33/12,12,F82/12,E95))</f>
        <v/>
      </c>
      <c r="G95" s="1590" t="str">
        <f>IF('Part III-Sources of Funds'!$H$33="","",-FV('Part III-Sources of Funds'!$J$33/12,12,G82/12,F95))</f>
        <v/>
      </c>
      <c r="H95" s="1590" t="str">
        <f>IF('Part III-Sources of Funds'!$H$33="","",-FV('Part III-Sources of Funds'!$J$33/12,12,H82/12,G95))</f>
        <v/>
      </c>
      <c r="I95" s="1590" t="str">
        <f>IF('Part III-Sources of Funds'!$H$33="","",-FV('Part III-Sources of Funds'!$J$33/12,12,I82/12,H95))</f>
        <v/>
      </c>
      <c r="J95" s="1590" t="str">
        <f>IF('Part III-Sources of Funds'!$H$33="","",-FV('Part III-Sources of Funds'!$J$33/12,12,J82/12,I95))</f>
        <v/>
      </c>
      <c r="K95" s="1590" t="str">
        <f>IF('Part III-Sources of Funds'!$H$33="","",-FV('Part III-Sources of Funds'!$J$33/12,12,K82/12,J95))</f>
        <v/>
      </c>
      <c r="M95" s="1483"/>
      <c r="N95" s="1484"/>
    </row>
    <row r="96" spans="1:14" ht="13.15" customHeight="1">
      <c r="A96" s="564" t="s">
        <v>3421</v>
      </c>
      <c r="B96" s="1590" t="str">
        <f>IF('Part III-Sources of Funds'!$H$34="","",-FV('Part III-Sources of Funds'!$J$34/12,12,B83/12,K67))</f>
        <v/>
      </c>
      <c r="C96" s="1590" t="str">
        <f>IF('Part III-Sources of Funds'!$H$34="","",-FV('Part III-Sources of Funds'!$J$34/12,12,C83/12,B96))</f>
        <v/>
      </c>
      <c r="D96" s="1590" t="str">
        <f>IF('Part III-Sources of Funds'!$H$34="","",-FV('Part III-Sources of Funds'!$J$34/12,12,D83/12,C96))</f>
        <v/>
      </c>
      <c r="E96" s="1590" t="str">
        <f>IF('Part III-Sources of Funds'!$H$34="","",-FV('Part III-Sources of Funds'!$J$34/12,12,E83/12,D96))</f>
        <v/>
      </c>
      <c r="F96" s="1590" t="str">
        <f>IF('Part III-Sources of Funds'!$H$34="","",-FV('Part III-Sources of Funds'!$J$34/12,12,F83/12,E96))</f>
        <v/>
      </c>
      <c r="G96" s="1590" t="str">
        <f>IF('Part III-Sources of Funds'!$H$34="","",-FV('Part III-Sources of Funds'!$J$34/12,12,G83/12,F96))</f>
        <v/>
      </c>
      <c r="H96" s="1590" t="str">
        <f>IF('Part III-Sources of Funds'!$H$34="","",-FV('Part III-Sources of Funds'!$J$34/12,12,H83/12,G96))</f>
        <v/>
      </c>
      <c r="I96" s="1590" t="str">
        <f>IF('Part III-Sources of Funds'!$H$34="","",-FV('Part III-Sources of Funds'!$J$34/12,12,I83/12,H96))</f>
        <v/>
      </c>
      <c r="J96" s="1590" t="str">
        <f>IF('Part III-Sources of Funds'!$H$34="","",-FV('Part III-Sources of Funds'!$J$34/12,12,J83/12,I96))</f>
        <v/>
      </c>
      <c r="K96" s="1590" t="str">
        <f>IF('Part III-Sources of Funds'!$H$34="","",-FV('Part III-Sources of Funds'!$J$34/12,12,K83/12,J96))</f>
        <v/>
      </c>
      <c r="M96" s="1483"/>
      <c r="N96" s="1484"/>
    </row>
    <row r="97" spans="1:14" ht="13.15" customHeight="1">
      <c r="A97" s="24" t="s">
        <v>1176</v>
      </c>
      <c r="B97" s="1590" t="str">
        <f>IF('Part III-Sources of Funds'!$H$35="","",-FV('Part III-Sources of Funds'!$J$35/12,12,B84/12,K68))</f>
        <v/>
      </c>
      <c r="C97" s="1590" t="str">
        <f>IF('Part III-Sources of Funds'!$H$35="","",-FV('Part III-Sources of Funds'!$J$35/12,12,C84/12,B97))</f>
        <v/>
      </c>
      <c r="D97" s="1590" t="str">
        <f>IF('Part III-Sources of Funds'!$H$35="","",-FV('Part III-Sources of Funds'!$J$35/12,12,D84/12,C97))</f>
        <v/>
      </c>
      <c r="E97" s="1590" t="str">
        <f>IF('Part III-Sources of Funds'!$H$35="","",-FV('Part III-Sources of Funds'!$J$35/12,12,E84/12,D97))</f>
        <v/>
      </c>
      <c r="F97" s="1590" t="str">
        <f>IF('Part III-Sources of Funds'!$H$35="","",-FV('Part III-Sources of Funds'!$J$35/12,12,F84/12,E97))</f>
        <v/>
      </c>
      <c r="G97" s="1590" t="str">
        <f>IF('Part III-Sources of Funds'!$H$35="","",-FV('Part III-Sources of Funds'!$J$35/12,12,G84/12,F97))</f>
        <v/>
      </c>
      <c r="H97" s="1590" t="str">
        <f>IF('Part III-Sources of Funds'!$H$35="","",-FV('Part III-Sources of Funds'!$J$35/12,12,H84/12,G97))</f>
        <v/>
      </c>
      <c r="I97" s="1590" t="str">
        <f>IF('Part III-Sources of Funds'!$H$35="","",-FV('Part III-Sources of Funds'!$J$35/12,12,I84/12,H97))</f>
        <v/>
      </c>
      <c r="J97" s="1590" t="str">
        <f>IF('Part III-Sources of Funds'!$H$35="","",-FV('Part III-Sources of Funds'!$J$35/12,12,J84/12,I97))</f>
        <v/>
      </c>
      <c r="K97" s="1590" t="str">
        <f>IF('Part III-Sources of Funds'!$H$35="","",-FV('Part III-Sources of Funds'!$J$35/12,12,K84/12,J97))</f>
        <v/>
      </c>
      <c r="M97" s="1483"/>
      <c r="N97" s="1484"/>
    </row>
    <row r="98" spans="1:14" ht="13.15" customHeight="1">
      <c r="A98" s="29" t="s">
        <v>1659</v>
      </c>
      <c r="B98" s="1592">
        <f>IF('Part III-Sources of Funds'!$H$37="","",-FV('Part III-Sources of Funds'!$J$37/12,12,B87/12,K69))</f>
        <v>-0.5</v>
      </c>
      <c r="C98" s="1592">
        <f>IF('Part III-Sources of Funds'!$H$37="","",-FV('Part III-Sources of Funds'!$J$37/12,12,C87/12,B98))</f>
        <v>-0.5</v>
      </c>
      <c r="D98" s="1592">
        <f>IF('Part III-Sources of Funds'!$H$37="","",-FV('Part III-Sources of Funds'!$J$37/12,12,D87/12,C98))</f>
        <v>-0.5</v>
      </c>
      <c r="E98" s="1592">
        <f>IF('Part III-Sources of Funds'!$H$37="","",-FV('Part III-Sources of Funds'!$J$37/12,12,E87/12,D98))</f>
        <v>-0.5</v>
      </c>
      <c r="F98" s="1592">
        <f>IF('Part III-Sources of Funds'!$H$37="","",-FV('Part III-Sources of Funds'!$J$37/12,12,F87/12,E98))</f>
        <v>-0.5</v>
      </c>
      <c r="G98" s="1592">
        <f>IF('Part III-Sources of Funds'!$H$37="","",-FV('Part III-Sources of Funds'!$J$37/12,12,G87/12,F98))</f>
        <v>-0.5</v>
      </c>
      <c r="H98" s="1592">
        <f>IF('Part III-Sources of Funds'!$H$37="","",-FV('Part III-Sources of Funds'!$J$37/12,12,H87/12,G98))</f>
        <v>-0.5</v>
      </c>
      <c r="I98" s="1592">
        <f>IF('Part III-Sources of Funds'!$H$37="","",-FV('Part III-Sources of Funds'!$J$37/12,12,I87/12,H98))</f>
        <v>-0.5</v>
      </c>
      <c r="J98" s="1592">
        <f>IF('Part III-Sources of Funds'!$H$37="","",-FV('Part III-Sources of Funds'!$J$37/12,12,J87/12,I98))</f>
        <v>-0.5</v>
      </c>
      <c r="K98" s="1592">
        <f>IF('Part III-Sources of Funds'!$H$37="","",-FV('Part III-Sources of Funds'!$J$37/12,12,K87/12,J98))</f>
        <v>-0.5</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4"/>
      <c r="C103" s="1594"/>
      <c r="D103" s="1594"/>
      <c r="E103" s="1594"/>
      <c r="F103" s="1595"/>
      <c r="G103" s="1377"/>
      <c r="H103" s="1594"/>
      <c r="I103" s="1594"/>
      <c r="J103" s="1594"/>
      <c r="K103" s="1595"/>
      <c r="M103" s="881" t="s">
        <v>3598</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2013-036 Davidson Senior Manor, Augusta, Richmond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2744</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2731</v>
      </c>
      <c r="B15" s="1050"/>
      <c r="C15" s="1050"/>
      <c r="D15" s="1050"/>
      <c r="E15" s="1050"/>
      <c r="F15" s="1050"/>
      <c r="G15" s="1050"/>
      <c r="H15" s="1050"/>
      <c r="I15" s="1050"/>
      <c r="J15" s="1050"/>
      <c r="K15" s="1050"/>
      <c r="L15" s="1050"/>
      <c r="M15" s="1050"/>
      <c r="N15" s="1050"/>
      <c r="O15" s="1050"/>
      <c r="P15" s="1050"/>
      <c r="Q15" s="1051"/>
      <c r="R15" s="816" t="s">
        <v>2744</v>
      </c>
      <c r="S15" s="816"/>
    </row>
    <row r="16" spans="1:32" ht="24.6" customHeight="1">
      <c r="A16" s="1049" t="s">
        <v>2732</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2733</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2734</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2735</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2736</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2737</v>
      </c>
      <c r="B21" s="1050"/>
      <c r="C21" s="1050"/>
      <c r="D21" s="1050"/>
      <c r="E21" s="1050"/>
      <c r="F21" s="1050"/>
      <c r="G21" s="1050"/>
      <c r="H21" s="1050"/>
      <c r="I21" s="1050"/>
      <c r="J21" s="1050"/>
      <c r="K21" s="1050"/>
      <c r="L21" s="1050"/>
      <c r="M21" s="1050"/>
      <c r="N21" s="1050"/>
      <c r="O21" s="1050"/>
      <c r="P21" s="1050"/>
      <c r="Q21" s="1051"/>
    </row>
    <row r="22" spans="1:19" ht="24.6" customHeight="1">
      <c r="A22" s="1049" t="s">
        <v>2738</v>
      </c>
      <c r="B22" s="1050"/>
      <c r="C22" s="1050"/>
      <c r="D22" s="1050"/>
      <c r="E22" s="1050"/>
      <c r="F22" s="1050"/>
      <c r="G22" s="1050"/>
      <c r="H22" s="1050"/>
      <c r="I22" s="1050"/>
      <c r="J22" s="1050"/>
      <c r="K22" s="1050"/>
      <c r="L22" s="1050"/>
      <c r="M22" s="1050"/>
      <c r="N22" s="1050"/>
      <c r="O22" s="1050"/>
      <c r="P22" s="1050"/>
      <c r="Q22" s="1051"/>
      <c r="R22" s="816" t="s">
        <v>2744</v>
      </c>
      <c r="S22" s="816"/>
    </row>
    <row r="23" spans="1:19" ht="24.6" customHeight="1">
      <c r="A23" s="1049" t="s">
        <v>2739</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2740</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2741</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2742</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2743</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3488</v>
      </c>
      <c r="C29" s="161"/>
      <c r="D29" s="104"/>
      <c r="E29" s="104"/>
      <c r="F29" s="104"/>
      <c r="G29" s="104"/>
      <c r="I29" s="162"/>
      <c r="J29" s="162"/>
      <c r="K29" s="162"/>
      <c r="L29" s="804"/>
      <c r="M29" s="804"/>
      <c r="O29" s="163" t="s">
        <v>2573</v>
      </c>
      <c r="P29" s="1045"/>
      <c r="Q29" s="1046"/>
    </row>
    <row r="30" spans="1:19" ht="3" customHeight="1"/>
    <row r="31" spans="1:19" ht="12" customHeight="1">
      <c r="B31" s="174" t="s">
        <v>2695</v>
      </c>
      <c r="C31" s="61" t="s">
        <v>3932</v>
      </c>
      <c r="E31" s="38"/>
      <c r="F31" s="38"/>
      <c r="G31" s="38"/>
      <c r="H31" s="38"/>
      <c r="I31" s="49"/>
      <c r="J31" s="40"/>
      <c r="K31" s="49"/>
      <c r="L31" s="40"/>
      <c r="M31" s="40"/>
      <c r="O31" s="78" t="s">
        <v>773</v>
      </c>
      <c r="P31" s="1596" t="s">
        <v>4088</v>
      </c>
      <c r="Q31" s="210"/>
    </row>
    <row r="32" spans="1:19" ht="12" customHeight="1">
      <c r="B32" s="54" t="s">
        <v>2698</v>
      </c>
      <c r="C32" s="61" t="s">
        <v>907</v>
      </c>
      <c r="E32" s="38"/>
      <c r="F32" s="38"/>
      <c r="G32" s="38"/>
      <c r="H32" s="38"/>
      <c r="J32" s="1597" t="s">
        <v>2876</v>
      </c>
      <c r="K32" s="1598"/>
      <c r="L32" s="1598"/>
      <c r="M32" s="1598"/>
      <c r="N32" s="1599"/>
      <c r="O32" s="78"/>
      <c r="P32" s="78"/>
      <c r="Q32" s="78"/>
    </row>
    <row r="33" spans="1:31" ht="11.25" customHeight="1">
      <c r="B33" s="79" t="s">
        <v>2571</v>
      </c>
      <c r="C33" s="79"/>
      <c r="D33" s="79"/>
      <c r="E33" s="79"/>
      <c r="F33" s="79"/>
      <c r="G33" s="162"/>
      <c r="H33" s="162"/>
      <c r="I33" s="162"/>
      <c r="J33" s="162"/>
      <c r="K33" s="804"/>
      <c r="L33" s="804"/>
      <c r="M33" s="804"/>
      <c r="N33" s="804"/>
      <c r="O33" s="804"/>
      <c r="P33" s="59"/>
      <c r="S33" s="195"/>
      <c r="T33" s="195"/>
    </row>
    <row r="34" spans="1:31" ht="12" customHeight="1">
      <c r="A34" s="1600"/>
      <c r="B34" s="1601"/>
      <c r="C34" s="1601"/>
      <c r="D34" s="1601"/>
      <c r="E34" s="1601"/>
      <c r="F34" s="1601"/>
      <c r="G34" s="1601"/>
      <c r="H34" s="1601"/>
      <c r="I34" s="1601"/>
      <c r="J34" s="1601"/>
      <c r="K34" s="1601"/>
      <c r="L34" s="1601"/>
      <c r="M34" s="1601"/>
      <c r="N34" s="1601"/>
      <c r="O34" s="1601"/>
      <c r="P34" s="1601"/>
      <c r="Q34" s="1602"/>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3645</v>
      </c>
      <c r="C41" s="5"/>
      <c r="D41" s="5"/>
      <c r="E41" s="808"/>
      <c r="F41" s="808"/>
      <c r="G41" s="808"/>
      <c r="H41" s="808"/>
      <c r="K41" s="808"/>
      <c r="L41" s="808"/>
      <c r="M41" s="808"/>
      <c r="O41" s="163" t="s">
        <v>2573</v>
      </c>
      <c r="P41" s="1045"/>
      <c r="Q41" s="1046"/>
    </row>
    <row r="42" spans="1:31" ht="3" customHeight="1">
      <c r="K42" s="808"/>
      <c r="L42" s="808"/>
    </row>
    <row r="43" spans="1:31" ht="12.75" customHeight="1">
      <c r="A43" s="1111" t="s">
        <v>3930</v>
      </c>
      <c r="B43" s="1111"/>
      <c r="C43" s="1111"/>
      <c r="D43" s="1111"/>
      <c r="E43" s="1111"/>
      <c r="F43" s="1603" t="s">
        <v>3652</v>
      </c>
      <c r="G43" s="1604"/>
      <c r="H43" s="1604"/>
      <c r="I43" s="1605"/>
      <c r="K43" s="1603" t="s">
        <v>3654</v>
      </c>
      <c r="L43" s="1604"/>
      <c r="M43" s="1604"/>
      <c r="N43" s="1605"/>
      <c r="P43" s="719" t="s">
        <v>3753</v>
      </c>
    </row>
    <row r="44" spans="1:31" ht="12.75" customHeight="1">
      <c r="A44" s="1111"/>
      <c r="B44" s="1111"/>
      <c r="C44" s="1111"/>
      <c r="D44" s="1111"/>
      <c r="E44" s="1111"/>
      <c r="F44" s="1606" t="s">
        <v>3653</v>
      </c>
      <c r="G44" s="1607"/>
      <c r="H44" s="1607"/>
      <c r="I44" s="1608"/>
      <c r="K44" s="1606" t="s">
        <v>3655</v>
      </c>
      <c r="L44" s="1607"/>
      <c r="M44" s="1607"/>
      <c r="N44" s="1608"/>
      <c r="P44" s="1596" t="s">
        <v>4088</v>
      </c>
    </row>
    <row r="45" spans="1:31" ht="10.5" customHeight="1">
      <c r="A45" s="1111"/>
      <c r="B45" s="1111"/>
      <c r="C45" s="1111"/>
      <c r="D45" s="1111"/>
      <c r="E45" s="1111"/>
      <c r="F45" s="1071" t="s">
        <v>3649</v>
      </c>
      <c r="G45" s="1072"/>
      <c r="H45" s="1072"/>
      <c r="I45" s="1073"/>
      <c r="K45" s="1609" t="s">
        <v>3651</v>
      </c>
      <c r="L45" s="1610"/>
      <c r="M45" s="1610"/>
      <c r="N45" s="1611"/>
      <c r="P45" s="1069" t="s">
        <v>3659</v>
      </c>
      <c r="Q45" s="1069"/>
    </row>
    <row r="46" spans="1:31" ht="22.5" customHeight="1">
      <c r="A46" s="1111"/>
      <c r="B46" s="1111"/>
      <c r="C46" s="1111"/>
      <c r="D46" s="1111"/>
      <c r="E46" s="1111"/>
      <c r="F46" s="1612" t="s">
        <v>3669</v>
      </c>
      <c r="G46" s="172"/>
      <c r="I46" s="1062" t="s">
        <v>3668</v>
      </c>
      <c r="K46" s="1612" t="s">
        <v>3669</v>
      </c>
      <c r="M46" s="808"/>
      <c r="N46" s="1062" t="s">
        <v>3668</v>
      </c>
      <c r="O46" s="808"/>
      <c r="P46" s="1069"/>
      <c r="Q46" s="1069"/>
    </row>
    <row r="47" spans="1:31" ht="12.75" customHeight="1">
      <c r="A47" s="171"/>
      <c r="D47" s="1613" t="s">
        <v>3648</v>
      </c>
      <c r="F47" s="1614"/>
      <c r="G47" s="1615" t="s">
        <v>3650</v>
      </c>
      <c r="I47" s="1063"/>
      <c r="K47" s="1614"/>
      <c r="L47" s="1615" t="s">
        <v>3650</v>
      </c>
      <c r="N47" s="1063"/>
      <c r="O47" s="808"/>
      <c r="P47" s="1070"/>
      <c r="Q47" s="1070"/>
    </row>
    <row r="48" spans="1:31" ht="11.45" customHeight="1">
      <c r="A48" s="171"/>
      <c r="D48" s="1616" t="s">
        <v>736</v>
      </c>
      <c r="F48" s="536">
        <f>'Part VI-Revenues &amp; Expenses'!H62-'Part VI-Revenues &amp; Expenses'!H82</f>
        <v>0</v>
      </c>
      <c r="G48" s="1617">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7">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6872380</v>
      </c>
      <c r="Q48" s="1068"/>
    </row>
    <row r="49" spans="1:31" ht="11.45" customHeight="1">
      <c r="A49" s="171"/>
      <c r="D49" s="1616" t="s">
        <v>3646</v>
      </c>
      <c r="F49" s="536">
        <f>'Part VI-Revenues &amp; Expenses'!I62-'Part VI-Revenues &amp; Expenses'!I82</f>
        <v>19</v>
      </c>
      <c r="G49" s="1617">
        <f>'DCA Underwriting Assumptions'!$K$11</f>
        <v>126647</v>
      </c>
      <c r="H49" s="575" t="str">
        <f>CONCATENATE("x ", F49," units = ")</f>
        <v xml:space="preserve">x 19 units = </v>
      </c>
      <c r="I49" s="678">
        <f>F49*G49</f>
        <v>2406293</v>
      </c>
      <c r="K49" s="536">
        <f>IF(AND('Part IV-Uses of Funds'!$T$162 = "Yes", 'Part IX A-Scoring Criteria'!$O$240 &gt; 0),'Part VI-Revenues &amp; Expenses'!I$82,0)</f>
        <v>0</v>
      </c>
      <c r="L49" s="1617">
        <f>'DCA Underwriting Assumptions'!$K$12</f>
        <v>139312</v>
      </c>
      <c r="M49" s="575" t="str">
        <f>CONCATENATE("x ", K49," units = ")</f>
        <v xml:space="preserve">x 0 units = </v>
      </c>
      <c r="N49" s="678">
        <f>K49*L49</f>
        <v>0</v>
      </c>
      <c r="O49" s="808"/>
      <c r="P49" s="1114" t="s">
        <v>3736</v>
      </c>
      <c r="Q49" s="1114"/>
    </row>
    <row r="50" spans="1:31" ht="11.45" customHeight="1">
      <c r="A50" s="171"/>
      <c r="D50" s="1616" t="s">
        <v>3647</v>
      </c>
      <c r="F50" s="536">
        <f>'Part VI-Revenues &amp; Expenses'!J62-'Part VI-Revenues &amp; Expenses'!J82</f>
        <v>29</v>
      </c>
      <c r="G50" s="1617">
        <f>'DCA Underwriting Assumptions'!$L$11</f>
        <v>154003</v>
      </c>
      <c r="H50" s="575" t="str">
        <f>CONCATENATE("x ", F50," units = ")</f>
        <v xml:space="preserve">x 29 units = </v>
      </c>
      <c r="I50" s="678">
        <f>F50*G50</f>
        <v>4466087</v>
      </c>
      <c r="K50" s="536">
        <f>IF(AND('Part IV-Uses of Funds'!$T$162 = "Yes", 'Part IX A-Scoring Criteria'!$O$240 &gt; 0),'Part VI-Revenues &amp; Expenses'!J$82,0)</f>
        <v>0</v>
      </c>
      <c r="L50" s="1617">
        <f>'DCA Underwriting Assumptions'!$L$12</f>
        <v>169403</v>
      </c>
      <c r="M50" s="575" t="str">
        <f>CONCATENATE("x ", K50," units = ")</f>
        <v xml:space="preserve">x 0 units = </v>
      </c>
      <c r="N50" s="678">
        <f>K50*L50</f>
        <v>0</v>
      </c>
      <c r="O50" s="808"/>
      <c r="P50" s="1115"/>
      <c r="Q50" s="1115"/>
    </row>
    <row r="51" spans="1:31" ht="11.45" customHeight="1">
      <c r="A51" s="171"/>
      <c r="D51" s="1616" t="s">
        <v>3656</v>
      </c>
      <c r="F51" s="536">
        <f>'Part VI-Revenues &amp; Expenses'!K62-'Part VI-Revenues &amp; Expenses'!K82</f>
        <v>0</v>
      </c>
      <c r="G51" s="1617">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7">
        <f>'DCA Underwriting Assumptions'!$M$12</f>
        <v>219152</v>
      </c>
      <c r="M51" s="575" t="str">
        <f>CONCATENATE("x ", K51," units = ")</f>
        <v xml:space="preserve">x 0 units = </v>
      </c>
      <c r="N51" s="678">
        <f>K51*L51</f>
        <v>0</v>
      </c>
      <c r="O51" s="808"/>
      <c r="P51" s="1115"/>
      <c r="Q51" s="1115"/>
    </row>
    <row r="52" spans="1:31" ht="11.45" customHeight="1">
      <c r="A52" s="171"/>
      <c r="D52" s="1618" t="s">
        <v>3657</v>
      </c>
      <c r="F52" s="536">
        <f>'Part VI-Revenues &amp; Expenses'!L62-'Part VI-Revenues &amp; Expenses'!L82</f>
        <v>0</v>
      </c>
      <c r="G52" s="1617">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7">
        <f>'DCA Underwriting Assumptions'!$N$12</f>
        <v>219152</v>
      </c>
      <c r="M52" s="575" t="str">
        <f>CONCATENATE("x ", K52," units = ")</f>
        <v xml:space="preserve">x 0 units = </v>
      </c>
      <c r="N52" s="678">
        <f>K52*L52</f>
        <v>0</v>
      </c>
      <c r="O52" s="808"/>
      <c r="P52" s="1115"/>
      <c r="Q52" s="1115"/>
    </row>
    <row r="53" spans="1:31" ht="11.45" customHeight="1">
      <c r="A53" s="171"/>
      <c r="C53" s="172"/>
      <c r="D53" s="676" t="s">
        <v>3658</v>
      </c>
      <c r="F53" s="675">
        <f>SUM(F48:F52)</f>
        <v>48</v>
      </c>
      <c r="G53" s="1619"/>
      <c r="H53" s="536"/>
      <c r="I53" s="677">
        <f>SUM(I48:I52)</f>
        <v>6872380</v>
      </c>
      <c r="K53" s="675">
        <f>SUM(K48:K52)</f>
        <v>0</v>
      </c>
      <c r="M53" s="536"/>
      <c r="N53" s="677">
        <f>SUM(N48:N52)</f>
        <v>0</v>
      </c>
      <c r="O53" s="808"/>
      <c r="P53" s="1115"/>
      <c r="Q53" s="1115"/>
    </row>
    <row r="54" spans="1:31" ht="3.75" customHeight="1">
      <c r="A54" s="171"/>
      <c r="C54" s="172"/>
      <c r="E54" s="64"/>
      <c r="F54" s="1619"/>
      <c r="G54" s="64"/>
      <c r="I54" s="64"/>
      <c r="J54" s="64"/>
      <c r="K54" s="808"/>
      <c r="L54" s="1620"/>
      <c r="M54" s="808"/>
      <c r="N54" s="808"/>
      <c r="O54" s="808"/>
      <c r="P54" s="808"/>
      <c r="Q54" s="808"/>
    </row>
    <row r="55" spans="1:31" ht="11.25" customHeight="1">
      <c r="B55" s="116" t="s">
        <v>2571</v>
      </c>
      <c r="D55" s="116"/>
      <c r="E55" s="116"/>
      <c r="F55" s="116"/>
      <c r="G55" s="116"/>
      <c r="H55" s="813"/>
      <c r="I55" s="162"/>
      <c r="J55" s="162"/>
      <c r="K55" s="169" t="s">
        <v>2572</v>
      </c>
      <c r="L55" s="804"/>
      <c r="M55" s="804"/>
      <c r="N55" s="804"/>
      <c r="O55" s="804"/>
      <c r="P55" s="804"/>
      <c r="Q55" s="59"/>
    </row>
    <row r="56" spans="1:31" ht="11.45" customHeight="1">
      <c r="A56" s="1600"/>
      <c r="B56" s="1601"/>
      <c r="C56" s="1601"/>
      <c r="D56" s="1601"/>
      <c r="E56" s="1601"/>
      <c r="F56" s="1601"/>
      <c r="G56" s="1601"/>
      <c r="H56" s="1601"/>
      <c r="I56" s="1601"/>
      <c r="J56" s="1602"/>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2573</v>
      </c>
      <c r="P58" s="1045"/>
      <c r="Q58" s="1046"/>
    </row>
    <row r="59" spans="1:31" ht="3" customHeight="1"/>
    <row r="60" spans="1:31" ht="11.45" customHeight="1">
      <c r="A60" s="171"/>
      <c r="C60" s="172" t="s">
        <v>105</v>
      </c>
      <c r="D60" s="172"/>
      <c r="E60" s="172"/>
      <c r="F60" s="172"/>
      <c r="G60" s="172"/>
      <c r="H60" s="172"/>
      <c r="K60" s="1621" t="str">
        <f>'Part I-Project Information'!$H$65</f>
        <v>HFOP</v>
      </c>
      <c r="L60" s="1622"/>
      <c r="M60" s="1623"/>
      <c r="N60" s="808"/>
    </row>
    <row r="61" spans="1:31" ht="11.25" customHeight="1">
      <c r="B61" s="116" t="s">
        <v>2571</v>
      </c>
      <c r="D61" s="116"/>
      <c r="E61" s="116"/>
      <c r="F61" s="116"/>
      <c r="G61" s="116"/>
      <c r="H61" s="813"/>
      <c r="I61" s="162"/>
      <c r="J61" s="162"/>
      <c r="K61" s="169" t="s">
        <v>2572</v>
      </c>
      <c r="L61" s="804"/>
      <c r="M61" s="804"/>
      <c r="N61" s="804"/>
      <c r="O61" s="804"/>
      <c r="P61" s="804"/>
      <c r="Q61" s="59"/>
    </row>
    <row r="62" spans="1:31" ht="11.45" customHeight="1">
      <c r="A62" s="1600"/>
      <c r="B62" s="1601"/>
      <c r="C62" s="1601"/>
      <c r="D62" s="1601"/>
      <c r="E62" s="1601"/>
      <c r="F62" s="1601"/>
      <c r="G62" s="1601"/>
      <c r="H62" s="1601"/>
      <c r="I62" s="1601"/>
      <c r="J62" s="1602"/>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3489</v>
      </c>
      <c r="C64" s="136"/>
      <c r="D64" s="808"/>
      <c r="E64" s="808"/>
      <c r="F64" s="808"/>
      <c r="G64" s="808"/>
      <c r="H64" s="808"/>
      <c r="I64" s="808"/>
      <c r="J64" s="808"/>
      <c r="K64" s="808"/>
      <c r="L64" s="808"/>
      <c r="M64" s="808"/>
      <c r="O64" s="163" t="s">
        <v>2573</v>
      </c>
      <c r="P64" s="1045"/>
      <c r="Q64" s="1046"/>
    </row>
    <row r="65" spans="1:31" ht="3" customHeight="1"/>
    <row r="66" spans="1:31" ht="12.6" customHeight="1">
      <c r="B66" s="174" t="s">
        <v>2695</v>
      </c>
      <c r="C66" s="1090" t="s">
        <v>336</v>
      </c>
      <c r="D66" s="1091"/>
      <c r="E66" s="1091"/>
      <c r="F66" s="1091"/>
      <c r="G66" s="1091"/>
      <c r="H66" s="1091"/>
      <c r="I66" s="1091"/>
      <c r="J66" s="1091"/>
      <c r="K66" s="1091"/>
      <c r="L66" s="1091"/>
      <c r="M66" s="1091"/>
      <c r="O66" s="175"/>
      <c r="P66" s="1596" t="s">
        <v>4118</v>
      </c>
    </row>
    <row r="67" spans="1:31" ht="12" customHeight="1">
      <c r="B67" s="54" t="s">
        <v>2698</v>
      </c>
      <c r="C67" s="38" t="s">
        <v>3670</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3624</v>
      </c>
      <c r="K68" s="1624" t="s">
        <v>4128</v>
      </c>
      <c r="L68" s="1625"/>
      <c r="M68" s="1625"/>
      <c r="N68" s="1625"/>
      <c r="O68" s="1625"/>
      <c r="P68" s="1626"/>
      <c r="Q68" s="38"/>
    </row>
    <row r="69" spans="1:31" ht="10.9" customHeight="1">
      <c r="A69" s="176"/>
      <c r="B69" s="49"/>
      <c r="C69" s="78" t="s">
        <v>2431</v>
      </c>
      <c r="D69" s="38" t="s">
        <v>2507</v>
      </c>
      <c r="E69" s="803"/>
      <c r="F69" s="803"/>
      <c r="G69" s="803"/>
      <c r="H69" s="40"/>
      <c r="I69" s="49"/>
      <c r="J69" s="44" t="s">
        <v>3624</v>
      </c>
      <c r="K69" s="1627" t="s">
        <v>4129</v>
      </c>
      <c r="L69" s="1628"/>
      <c r="M69" s="1628"/>
      <c r="N69" s="1628"/>
      <c r="O69" s="1628"/>
      <c r="P69" s="1629"/>
      <c r="Q69" s="38"/>
    </row>
    <row r="70" spans="1:31" ht="10.9" customHeight="1">
      <c r="A70" s="176"/>
      <c r="B70" s="49"/>
      <c r="C70" s="78" t="s">
        <v>2432</v>
      </c>
      <c r="D70" s="38" t="s">
        <v>337</v>
      </c>
      <c r="E70" s="803"/>
      <c r="J70" s="44" t="s">
        <v>3624</v>
      </c>
      <c r="K70" s="1630"/>
      <c r="L70" s="1631"/>
      <c r="M70" s="1631"/>
      <c r="N70" s="1631"/>
      <c r="O70" s="1631"/>
      <c r="P70" s="1632"/>
      <c r="Q70" s="38"/>
    </row>
    <row r="71" spans="1:31" ht="11.25" customHeight="1">
      <c r="B71" s="116" t="s">
        <v>2571</v>
      </c>
      <c r="D71" s="116"/>
      <c r="E71" s="116"/>
      <c r="F71" s="116"/>
      <c r="G71" s="116"/>
      <c r="H71" s="813"/>
      <c r="I71" s="162"/>
      <c r="J71" s="162"/>
      <c r="K71" s="162"/>
      <c r="L71" s="804"/>
      <c r="M71" s="804"/>
      <c r="N71" s="804"/>
      <c r="O71" s="804"/>
      <c r="P71" s="804"/>
      <c r="Q71" s="59"/>
    </row>
    <row r="72" spans="1:31" ht="12" customHeight="1">
      <c r="A72" s="1600"/>
      <c r="B72" s="1601"/>
      <c r="C72" s="1601"/>
      <c r="D72" s="1601"/>
      <c r="E72" s="1601"/>
      <c r="F72" s="1601"/>
      <c r="G72" s="1601"/>
      <c r="H72" s="1601"/>
      <c r="I72" s="1601"/>
      <c r="J72" s="1601"/>
      <c r="K72" s="1601"/>
      <c r="L72" s="1601"/>
      <c r="M72" s="1601"/>
      <c r="N72" s="1601"/>
      <c r="O72" s="1601"/>
      <c r="P72" s="1601"/>
      <c r="Q72" s="1602"/>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3490</v>
      </c>
      <c r="C76" s="810"/>
      <c r="D76" s="808"/>
      <c r="E76" s="808"/>
      <c r="F76" s="808"/>
      <c r="G76" s="808"/>
      <c r="H76" s="808"/>
      <c r="I76" s="808"/>
      <c r="J76" s="808"/>
      <c r="K76" s="808"/>
      <c r="O76" s="163" t="s">
        <v>2573</v>
      </c>
      <c r="P76" s="1045"/>
      <c r="Q76" s="1046"/>
    </row>
    <row r="77" spans="1:31" ht="3" customHeight="1"/>
    <row r="78" spans="1:31" ht="12" customHeight="1">
      <c r="B78" s="54" t="s">
        <v>2695</v>
      </c>
      <c r="C78" s="177" t="s">
        <v>3240</v>
      </c>
      <c r="D78" s="165"/>
      <c r="E78" s="165"/>
      <c r="F78" s="165"/>
      <c r="G78" s="165"/>
      <c r="H78" s="165"/>
      <c r="I78" s="49"/>
      <c r="J78" s="49"/>
      <c r="K78" s="49"/>
      <c r="L78" s="654" t="s">
        <v>2695</v>
      </c>
      <c r="M78" s="1624" t="s">
        <v>4157</v>
      </c>
      <c r="N78" s="1625"/>
      <c r="O78" s="1625"/>
      <c r="P78" s="1633"/>
      <c r="Q78" s="210"/>
    </row>
    <row r="79" spans="1:31" ht="12" customHeight="1">
      <c r="B79" s="54" t="s">
        <v>2698</v>
      </c>
      <c r="C79" s="61" t="s">
        <v>2750</v>
      </c>
      <c r="D79" s="165"/>
      <c r="E79" s="165"/>
      <c r="F79" s="165"/>
      <c r="L79" s="654" t="s">
        <v>2698</v>
      </c>
      <c r="M79" s="1627" t="s">
        <v>4158</v>
      </c>
      <c r="N79" s="1628"/>
      <c r="O79" s="1628"/>
      <c r="P79" s="1634"/>
      <c r="Q79" s="210"/>
    </row>
    <row r="80" spans="1:31" ht="12" customHeight="1">
      <c r="B80" s="54" t="s">
        <v>1054</v>
      </c>
      <c r="C80" s="61" t="s">
        <v>3241</v>
      </c>
      <c r="D80" s="165"/>
      <c r="E80" s="165"/>
      <c r="F80" s="165"/>
      <c r="L80" s="654" t="s">
        <v>1054</v>
      </c>
      <c r="M80" s="1627" t="s">
        <v>4158</v>
      </c>
      <c r="N80" s="1628"/>
      <c r="O80" s="1628"/>
      <c r="P80" s="1634"/>
      <c r="Q80" s="321"/>
    </row>
    <row r="81" spans="1:31" ht="12" customHeight="1">
      <c r="B81" s="54" t="s">
        <v>2831</v>
      </c>
      <c r="C81" s="61" t="s">
        <v>3242</v>
      </c>
      <c r="D81" s="165"/>
      <c r="E81" s="165"/>
      <c r="F81" s="165"/>
      <c r="L81" s="654" t="s">
        <v>2831</v>
      </c>
      <c r="M81" s="1635">
        <v>0.20100000000000001</v>
      </c>
      <c r="N81" s="1631"/>
      <c r="O81" s="1631"/>
      <c r="P81" s="1636"/>
      <c r="Q81" s="210"/>
    </row>
    <row r="82" spans="1:31" ht="22.15" customHeight="1">
      <c r="B82" s="174" t="s">
        <v>2428</v>
      </c>
      <c r="C82" s="1047" t="s">
        <v>3638</v>
      </c>
      <c r="D82" s="1047"/>
      <c r="E82" s="1047"/>
      <c r="F82" s="1047"/>
      <c r="G82" s="1047"/>
      <c r="H82" s="1047"/>
      <c r="I82" s="1047"/>
      <c r="J82" s="1047"/>
      <c r="K82" s="1047"/>
      <c r="L82" s="1047"/>
      <c r="M82" s="1047"/>
      <c r="N82" s="1047"/>
      <c r="O82" s="1047"/>
      <c r="P82" s="1047"/>
      <c r="Q82" s="1047"/>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37"/>
      <c r="E84" s="1638"/>
      <c r="F84" s="1638"/>
      <c r="G84" s="1638"/>
      <c r="H84" s="61">
        <v>3</v>
      </c>
      <c r="I84" s="1637"/>
      <c r="J84" s="1638"/>
      <c r="K84" s="1638"/>
      <c r="L84" s="1638"/>
      <c r="M84" s="61">
        <v>5</v>
      </c>
      <c r="N84" s="1637"/>
      <c r="O84" s="1638"/>
      <c r="P84" s="1638"/>
      <c r="Q84" s="1638"/>
    </row>
    <row r="85" spans="1:31" ht="12" customHeight="1">
      <c r="B85" s="54"/>
      <c r="C85" s="61">
        <v>2</v>
      </c>
      <c r="D85" s="1639"/>
      <c r="E85" s="1640"/>
      <c r="F85" s="1640"/>
      <c r="G85" s="1640"/>
      <c r="H85" s="61">
        <v>4</v>
      </c>
      <c r="I85" s="1639"/>
      <c r="J85" s="1640"/>
      <c r="K85" s="1640"/>
      <c r="L85" s="1640"/>
      <c r="M85" s="61">
        <v>6</v>
      </c>
      <c r="N85" s="1639"/>
      <c r="O85" s="1640"/>
      <c r="P85" s="1640"/>
      <c r="Q85" s="1640"/>
    </row>
    <row r="86" spans="1:31" ht="12" customHeight="1">
      <c r="B86" s="54" t="s">
        <v>2429</v>
      </c>
      <c r="C86" s="61" t="s">
        <v>0</v>
      </c>
      <c r="D86" s="165"/>
      <c r="E86" s="165"/>
      <c r="F86" s="165"/>
      <c r="G86" s="165"/>
      <c r="H86" s="165"/>
      <c r="I86" s="49"/>
      <c r="J86" s="49"/>
      <c r="K86" s="165"/>
      <c r="L86" s="803"/>
      <c r="M86" s="803"/>
      <c r="O86" s="654" t="s">
        <v>2429</v>
      </c>
      <c r="P86" s="1641"/>
      <c r="Q86" s="321"/>
    </row>
    <row r="87" spans="1:31" ht="11.25" customHeight="1">
      <c r="B87" s="173" t="s">
        <v>2571</v>
      </c>
      <c r="D87" s="173"/>
      <c r="E87" s="173"/>
      <c r="F87" s="173"/>
      <c r="G87" s="173"/>
      <c r="H87" s="813"/>
      <c r="I87" s="162"/>
      <c r="J87" s="162"/>
      <c r="K87" s="162"/>
      <c r="L87" s="804"/>
      <c r="M87" s="804"/>
      <c r="N87" s="804"/>
      <c r="O87" s="804"/>
      <c r="P87" s="804"/>
      <c r="Q87" s="59"/>
    </row>
    <row r="88" spans="1:31" ht="22.9" customHeight="1">
      <c r="A88" s="1600" t="s">
        <v>4159</v>
      </c>
      <c r="B88" s="1601"/>
      <c r="C88" s="1601"/>
      <c r="D88" s="1601"/>
      <c r="E88" s="1601"/>
      <c r="F88" s="1601"/>
      <c r="G88" s="1601"/>
      <c r="H88" s="1601"/>
      <c r="I88" s="1601"/>
      <c r="J88" s="1601"/>
      <c r="K88" s="1601"/>
      <c r="L88" s="1601"/>
      <c r="M88" s="1601"/>
      <c r="N88" s="1601"/>
      <c r="O88" s="1601"/>
      <c r="P88" s="1601"/>
      <c r="Q88" s="1602"/>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3491</v>
      </c>
      <c r="C91" s="810"/>
      <c r="D91" s="808"/>
      <c r="E91" s="808"/>
      <c r="F91" s="808"/>
      <c r="G91" s="808"/>
      <c r="H91" s="808"/>
      <c r="I91" s="808"/>
      <c r="J91" s="808"/>
      <c r="K91" s="808"/>
      <c r="L91" s="808"/>
      <c r="M91" s="808"/>
      <c r="O91" s="163" t="s">
        <v>2573</v>
      </c>
      <c r="P91" s="1045"/>
      <c r="Q91" s="1046"/>
    </row>
    <row r="92" spans="1:31" ht="3" customHeight="1"/>
    <row r="93" spans="1:31" ht="12" customHeight="1">
      <c r="B93" s="54" t="s">
        <v>2695</v>
      </c>
      <c r="C93" s="61" t="s">
        <v>628</v>
      </c>
      <c r="D93" s="61"/>
      <c r="E93" s="61"/>
      <c r="F93" s="61"/>
      <c r="G93" s="61"/>
      <c r="H93" s="61"/>
      <c r="I93" s="61"/>
      <c r="J93" s="61"/>
      <c r="K93" s="61"/>
      <c r="L93" s="61"/>
      <c r="M93" s="61"/>
      <c r="O93" s="654" t="s">
        <v>2695</v>
      </c>
      <c r="P93" s="1596" t="s">
        <v>4087</v>
      </c>
      <c r="Q93" s="210"/>
    </row>
    <row r="94" spans="1:31" ht="12" customHeight="1">
      <c r="B94" s="54" t="s">
        <v>2698</v>
      </c>
      <c r="C94" s="61" t="s">
        <v>1738</v>
      </c>
      <c r="D94" s="61"/>
      <c r="E94" s="61"/>
      <c r="F94" s="61"/>
      <c r="G94" s="61"/>
      <c r="H94" s="61"/>
      <c r="I94" s="61"/>
      <c r="J94" s="61"/>
      <c r="K94" s="61"/>
      <c r="L94" s="38"/>
      <c r="M94" s="38"/>
      <c r="O94" s="654" t="s">
        <v>2698</v>
      </c>
      <c r="P94" s="1596" t="s">
        <v>4087</v>
      </c>
      <c r="Q94" s="210"/>
    </row>
    <row r="95" spans="1:31" ht="12" customHeight="1">
      <c r="A95" s="164"/>
      <c r="B95" s="44"/>
      <c r="D95" s="47" t="s">
        <v>721</v>
      </c>
      <c r="E95" s="49"/>
      <c r="F95" s="49"/>
      <c r="G95" s="49"/>
      <c r="H95" s="49"/>
      <c r="I95" s="49"/>
      <c r="L95" s="78" t="s">
        <v>722</v>
      </c>
      <c r="M95" s="1642"/>
      <c r="N95" s="1643"/>
      <c r="O95" s="1643"/>
      <c r="P95" s="1644"/>
      <c r="Q95" s="210"/>
    </row>
    <row r="96" spans="1:31" ht="22.9" customHeight="1">
      <c r="A96" s="176"/>
      <c r="B96" s="162"/>
      <c r="C96" s="183" t="s">
        <v>2430</v>
      </c>
      <c r="D96" s="1028" t="s">
        <v>591</v>
      </c>
      <c r="E96" s="1645"/>
      <c r="F96" s="1645"/>
      <c r="G96" s="1645"/>
      <c r="H96" s="1645"/>
      <c r="I96" s="1645"/>
      <c r="J96" s="1645"/>
      <c r="K96" s="1645"/>
      <c r="L96" s="1645"/>
      <c r="M96" s="1645"/>
      <c r="N96" s="1645"/>
      <c r="O96" s="183" t="s">
        <v>2430</v>
      </c>
      <c r="P96" s="1596"/>
      <c r="Q96" s="210"/>
    </row>
    <row r="97" spans="1:32" ht="12" customHeight="1">
      <c r="A97" s="176"/>
      <c r="B97" s="162"/>
      <c r="C97" s="78" t="s">
        <v>2431</v>
      </c>
      <c r="D97" s="61" t="s">
        <v>153</v>
      </c>
      <c r="E97" s="61"/>
      <c r="F97" s="61"/>
      <c r="G97" s="61"/>
      <c r="H97" s="61"/>
      <c r="I97" s="61"/>
      <c r="J97" s="61"/>
      <c r="K97" s="61"/>
      <c r="L97" s="61"/>
      <c r="M97" s="61"/>
      <c r="O97" s="78" t="s">
        <v>2431</v>
      </c>
      <c r="P97" s="1596"/>
      <c r="Q97" s="210"/>
    </row>
    <row r="98" spans="1:32" s="164" customFormat="1" ht="24.75" customHeight="1">
      <c r="A98" s="176"/>
      <c r="B98" s="592"/>
      <c r="C98" s="183" t="s">
        <v>2432</v>
      </c>
      <c r="D98" s="1047" t="s">
        <v>3586</v>
      </c>
      <c r="E98" s="1047"/>
      <c r="F98" s="1047"/>
      <c r="G98" s="1047"/>
      <c r="H98" s="1047"/>
      <c r="I98" s="1047"/>
      <c r="J98" s="1047"/>
      <c r="K98" s="1047"/>
      <c r="L98" s="1047"/>
      <c r="M98" s="1047"/>
      <c r="N98" s="1047"/>
      <c r="O98" s="183" t="s">
        <v>2432</v>
      </c>
      <c r="P98" s="1646"/>
      <c r="Q98" s="323"/>
      <c r="AE98" s="657"/>
      <c r="AF98" s="657"/>
    </row>
    <row r="99" spans="1:32" ht="12" customHeight="1">
      <c r="B99" s="54" t="s">
        <v>1054</v>
      </c>
      <c r="C99" s="61" t="s">
        <v>154</v>
      </c>
      <c r="D99" s="61"/>
      <c r="E99" s="61"/>
      <c r="F99" s="61"/>
      <c r="G99" s="61"/>
      <c r="H99" s="61"/>
      <c r="I99" s="61"/>
      <c r="J99" s="61"/>
      <c r="K99" s="61"/>
      <c r="L99" s="61"/>
      <c r="M99" s="61"/>
      <c r="O99" s="654" t="s">
        <v>1054</v>
      </c>
      <c r="P99" s="1596"/>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6"/>
      <c r="Q101" s="210"/>
    </row>
    <row r="102" spans="1:32" ht="12" customHeight="1">
      <c r="B102" s="54"/>
      <c r="C102" s="78" t="s">
        <v>2431</v>
      </c>
      <c r="D102" s="61" t="s">
        <v>1873</v>
      </c>
      <c r="E102" s="61"/>
      <c r="F102" s="61"/>
      <c r="G102" s="61"/>
      <c r="H102" s="61"/>
      <c r="I102" s="61"/>
      <c r="J102" s="61"/>
      <c r="K102" s="61"/>
      <c r="L102" s="38"/>
      <c r="M102" s="38"/>
      <c r="O102" s="78" t="s">
        <v>2431</v>
      </c>
      <c r="P102" s="1596"/>
      <c r="Q102" s="210"/>
    </row>
    <row r="103" spans="1:32" ht="12" customHeight="1">
      <c r="B103" s="54"/>
      <c r="C103" s="78" t="s">
        <v>2432</v>
      </c>
      <c r="D103" s="61" t="s">
        <v>1874</v>
      </c>
      <c r="E103" s="61"/>
      <c r="F103" s="61"/>
      <c r="G103" s="61"/>
      <c r="H103" s="61"/>
      <c r="I103" s="61"/>
      <c r="J103" s="61"/>
      <c r="K103" s="61"/>
      <c r="L103" s="38"/>
      <c r="M103" s="38"/>
      <c r="O103" s="78" t="s">
        <v>2432</v>
      </c>
      <c r="P103" s="1596"/>
      <c r="Q103" s="210"/>
    </row>
    <row r="104" spans="1:32" ht="11.25" customHeight="1">
      <c r="B104" s="173" t="s">
        <v>2571</v>
      </c>
      <c r="D104" s="173"/>
      <c r="E104" s="173"/>
      <c r="F104" s="173"/>
      <c r="G104" s="173"/>
      <c r="H104" s="813"/>
      <c r="I104" s="162"/>
      <c r="J104" s="162"/>
      <c r="K104" s="162"/>
      <c r="L104" s="804"/>
      <c r="M104" s="804"/>
      <c r="N104" s="804"/>
      <c r="O104" s="804"/>
      <c r="P104" s="804"/>
      <c r="Q104" s="59"/>
    </row>
    <row r="105" spans="1:32" ht="13.15" customHeight="1">
      <c r="A105" s="1600"/>
      <c r="B105" s="1601"/>
      <c r="C105" s="1601"/>
      <c r="D105" s="1601"/>
      <c r="E105" s="1601"/>
      <c r="F105" s="1601"/>
      <c r="G105" s="1601"/>
      <c r="H105" s="1601"/>
      <c r="I105" s="1601"/>
      <c r="J105" s="1601"/>
      <c r="K105" s="1601"/>
      <c r="L105" s="1601"/>
      <c r="M105" s="1601"/>
      <c r="N105" s="1601"/>
      <c r="O105" s="1601"/>
      <c r="P105" s="1601"/>
      <c r="Q105" s="1602"/>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3492</v>
      </c>
      <c r="C109" s="813"/>
      <c r="D109" s="808"/>
      <c r="E109" s="808"/>
      <c r="F109" s="808"/>
      <c r="G109" s="808"/>
      <c r="H109" s="808"/>
      <c r="I109" s="808"/>
      <c r="J109" s="808"/>
      <c r="K109" s="808"/>
      <c r="L109" s="808"/>
      <c r="M109" s="808"/>
      <c r="O109" s="163" t="s">
        <v>2573</v>
      </c>
      <c r="P109" s="1045"/>
      <c r="Q109" s="1046"/>
    </row>
    <row r="110" spans="1:32" ht="6.6" customHeight="1"/>
    <row r="111" spans="1:32" ht="12" customHeight="1">
      <c r="B111" s="54" t="s">
        <v>2695</v>
      </c>
      <c r="C111" s="61" t="s">
        <v>3583</v>
      </c>
      <c r="D111" s="165"/>
      <c r="E111" s="165"/>
      <c r="F111" s="165"/>
      <c r="G111" s="165"/>
      <c r="H111" s="165"/>
      <c r="I111" s="49"/>
      <c r="J111" s="49"/>
      <c r="K111" s="49"/>
      <c r="L111" s="654" t="s">
        <v>2695</v>
      </c>
      <c r="M111" s="1647" t="s">
        <v>4154</v>
      </c>
      <c r="N111" s="1648"/>
      <c r="O111" s="1648"/>
      <c r="P111" s="1649"/>
      <c r="Q111" s="210"/>
    </row>
    <row r="112" spans="1:32" ht="12" customHeight="1">
      <c r="B112" s="54" t="s">
        <v>2698</v>
      </c>
      <c r="C112" s="61" t="s">
        <v>1997</v>
      </c>
      <c r="D112" s="165"/>
      <c r="E112" s="165"/>
      <c r="F112" s="165"/>
      <c r="G112" s="165"/>
      <c r="H112" s="165"/>
      <c r="I112" s="49"/>
      <c r="J112" s="49"/>
      <c r="K112" s="165"/>
      <c r="L112" s="165"/>
      <c r="M112" s="803"/>
      <c r="O112" s="654" t="s">
        <v>2698</v>
      </c>
      <c r="P112" s="1596" t="s">
        <v>4087</v>
      </c>
      <c r="Q112" s="321"/>
    </row>
    <row r="113" spans="2:17" ht="12" customHeight="1">
      <c r="B113" s="54" t="s">
        <v>1054</v>
      </c>
      <c r="C113" s="61" t="s">
        <v>165</v>
      </c>
      <c r="D113" s="165"/>
      <c r="E113" s="165"/>
      <c r="F113" s="165"/>
      <c r="G113" s="165"/>
      <c r="H113" s="165"/>
      <c r="I113" s="49"/>
      <c r="J113" s="49"/>
      <c r="K113" s="165"/>
      <c r="L113" s="803"/>
      <c r="M113" s="803"/>
      <c r="O113" s="654" t="s">
        <v>1054</v>
      </c>
      <c r="P113" s="1596" t="s">
        <v>4088</v>
      </c>
      <c r="Q113" s="210"/>
    </row>
    <row r="114" spans="2:17" ht="12" customHeight="1">
      <c r="B114" s="54"/>
      <c r="C114" s="77" t="s">
        <v>2430</v>
      </c>
      <c r="D114" s="61" t="s">
        <v>3584</v>
      </c>
      <c r="E114" s="165"/>
      <c r="F114" s="165"/>
      <c r="G114" s="165"/>
      <c r="H114" s="165"/>
      <c r="I114" s="49"/>
      <c r="J114" s="49"/>
      <c r="K114" s="165"/>
      <c r="L114" s="78" t="s">
        <v>2430</v>
      </c>
      <c r="M114" s="1647" t="s">
        <v>4154</v>
      </c>
      <c r="N114" s="1648"/>
      <c r="O114" s="1648"/>
      <c r="P114" s="1649"/>
      <c r="Q114" s="321"/>
    </row>
    <row r="115" spans="2:17" ht="12" customHeight="1">
      <c r="B115" s="171"/>
      <c r="C115" s="78" t="s">
        <v>2431</v>
      </c>
      <c r="D115" s="44" t="s">
        <v>3403</v>
      </c>
      <c r="E115" s="49"/>
      <c r="F115" s="49"/>
      <c r="G115" s="49"/>
      <c r="H115" s="61"/>
      <c r="I115" s="49"/>
      <c r="J115" s="49"/>
      <c r="K115" s="165"/>
      <c r="L115" s="803"/>
      <c r="M115" s="803"/>
      <c r="O115" s="654" t="s">
        <v>2431</v>
      </c>
      <c r="P115" s="1641">
        <v>69.5</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0" t="s">
        <v>4155</v>
      </c>
      <c r="E117" s="1651"/>
      <c r="F117" s="1651"/>
      <c r="G117" s="1651"/>
      <c r="H117" s="1651"/>
      <c r="I117" s="1651"/>
      <c r="J117" s="1651"/>
      <c r="K117" s="1651"/>
      <c r="L117" s="1651"/>
      <c r="M117" s="1651"/>
      <c r="N117" s="1651"/>
      <c r="O117" s="1651"/>
      <c r="P117" s="1651"/>
      <c r="Q117" s="1652"/>
    </row>
    <row r="118" spans="2:17" ht="12" customHeight="1">
      <c r="B118" s="54" t="s">
        <v>2831</v>
      </c>
      <c r="C118" s="61" t="s">
        <v>1685</v>
      </c>
      <c r="D118" s="165"/>
      <c r="E118" s="165"/>
      <c r="F118" s="165"/>
      <c r="G118" s="165"/>
      <c r="H118" s="165"/>
      <c r="I118" s="49"/>
      <c r="J118" s="49"/>
      <c r="K118" s="165"/>
      <c r="L118" s="803"/>
      <c r="M118" s="803"/>
      <c r="N118" s="803"/>
      <c r="O118" s="654" t="s">
        <v>2831</v>
      </c>
    </row>
    <row r="119" spans="2:17" ht="12" customHeight="1">
      <c r="B119" s="54"/>
      <c r="C119" s="78" t="s">
        <v>2430</v>
      </c>
      <c r="D119" s="61" t="s">
        <v>163</v>
      </c>
      <c r="E119" s="165"/>
      <c r="F119" s="165"/>
      <c r="G119" s="165"/>
      <c r="H119" s="165"/>
      <c r="I119" s="49"/>
      <c r="J119" s="49"/>
      <c r="K119" s="165"/>
      <c r="L119" s="803"/>
      <c r="M119" s="803"/>
      <c r="O119" s="78" t="s">
        <v>2430</v>
      </c>
      <c r="P119" s="1596" t="s">
        <v>4087</v>
      </c>
      <c r="Q119" s="210"/>
    </row>
    <row r="120" spans="2:17" ht="12" customHeight="1">
      <c r="B120" s="54"/>
      <c r="C120" s="78" t="s">
        <v>2431</v>
      </c>
      <c r="D120" s="61" t="s">
        <v>1686</v>
      </c>
      <c r="E120" s="165"/>
      <c r="F120" s="165"/>
      <c r="G120" s="165"/>
      <c r="H120" s="49"/>
      <c r="I120" s="49"/>
      <c r="J120" s="49"/>
      <c r="K120" s="165"/>
      <c r="L120" s="803"/>
      <c r="M120" s="803"/>
      <c r="O120" s="78" t="s">
        <v>2431</v>
      </c>
      <c r="P120" s="1641" t="s">
        <v>4087</v>
      </c>
      <c r="Q120" s="321"/>
    </row>
    <row r="121" spans="2:17" ht="12" customHeight="1">
      <c r="B121" s="54"/>
      <c r="C121" s="78"/>
      <c r="D121" s="61" t="s">
        <v>3467</v>
      </c>
      <c r="E121" s="608" t="s">
        <v>3203</v>
      </c>
      <c r="F121" s="61" t="s">
        <v>3468</v>
      </c>
      <c r="G121" s="49"/>
      <c r="H121" s="61"/>
      <c r="I121" s="49"/>
      <c r="J121" s="49"/>
      <c r="K121" s="165"/>
      <c r="L121" s="803"/>
      <c r="M121" s="803"/>
      <c r="O121" s="608" t="s">
        <v>3203</v>
      </c>
      <c r="P121" s="1653"/>
      <c r="Q121" s="385"/>
    </row>
    <row r="122" spans="2:17" ht="12" customHeight="1">
      <c r="B122" s="54"/>
      <c r="C122" s="78"/>
      <c r="E122" s="608" t="s">
        <v>3204</v>
      </c>
      <c r="F122" s="61" t="s">
        <v>3469</v>
      </c>
      <c r="G122" s="49"/>
      <c r="H122" s="61"/>
      <c r="I122" s="49"/>
      <c r="J122" s="49"/>
      <c r="K122" s="165"/>
      <c r="L122" s="803"/>
      <c r="M122" s="803"/>
      <c r="O122" s="608" t="s">
        <v>3204</v>
      </c>
      <c r="P122" s="1641"/>
      <c r="Q122" s="321"/>
    </row>
    <row r="123" spans="2:17" ht="12" customHeight="1">
      <c r="B123" s="54"/>
      <c r="C123" s="78"/>
      <c r="E123" s="608" t="s">
        <v>3205</v>
      </c>
      <c r="F123" s="61" t="s">
        <v>3470</v>
      </c>
      <c r="G123" s="49"/>
      <c r="H123" s="61"/>
      <c r="I123" s="49"/>
      <c r="J123" s="49"/>
      <c r="K123" s="165"/>
      <c r="L123" s="803"/>
      <c r="M123" s="803"/>
      <c r="O123" s="608" t="s">
        <v>3205</v>
      </c>
      <c r="P123" s="1641"/>
      <c r="Q123" s="321"/>
    </row>
    <row r="124" spans="2:17" ht="12" customHeight="1">
      <c r="B124" s="54"/>
      <c r="C124" s="78" t="s">
        <v>2432</v>
      </c>
      <c r="D124" s="61" t="s">
        <v>1687</v>
      </c>
      <c r="E124" s="165"/>
      <c r="F124" s="165"/>
      <c r="G124" s="165"/>
      <c r="H124" s="61"/>
      <c r="I124" s="49"/>
      <c r="J124" s="49"/>
      <c r="K124" s="165"/>
      <c r="L124" s="803"/>
      <c r="M124" s="803"/>
      <c r="O124" s="78" t="s">
        <v>2432</v>
      </c>
      <c r="P124" s="1596" t="s">
        <v>4087</v>
      </c>
      <c r="Q124" s="210"/>
    </row>
    <row r="125" spans="2:17" ht="12" customHeight="1">
      <c r="B125" s="54"/>
      <c r="C125" s="78"/>
      <c r="D125" s="61" t="s">
        <v>3467</v>
      </c>
      <c r="E125" s="608" t="s">
        <v>3203</v>
      </c>
      <c r="F125" s="61" t="s">
        <v>3471</v>
      </c>
      <c r="G125" s="49"/>
      <c r="H125" s="61"/>
      <c r="I125" s="49"/>
      <c r="J125" s="49"/>
      <c r="K125" s="165"/>
      <c r="L125" s="803"/>
      <c r="O125" s="608" t="s">
        <v>3203</v>
      </c>
      <c r="P125" s="1653"/>
      <c r="Q125" s="322"/>
    </row>
    <row r="126" spans="2:17" ht="12" customHeight="1">
      <c r="B126" s="54"/>
      <c r="C126" s="78"/>
      <c r="E126" s="608" t="s">
        <v>3204</v>
      </c>
      <c r="F126" s="61" t="s">
        <v>3472</v>
      </c>
      <c r="G126" s="49"/>
      <c r="H126" s="61"/>
      <c r="I126" s="49"/>
      <c r="J126" s="49"/>
      <c r="K126" s="165"/>
      <c r="L126" s="803"/>
      <c r="O126" s="608" t="s">
        <v>3204</v>
      </c>
      <c r="P126" s="1641"/>
      <c r="Q126" s="321"/>
    </row>
    <row r="127" spans="2:17" ht="12" customHeight="1">
      <c r="B127" s="54"/>
      <c r="C127" s="78"/>
      <c r="E127" s="608" t="s">
        <v>3205</v>
      </c>
      <c r="F127" s="61" t="s">
        <v>3470</v>
      </c>
      <c r="G127" s="49"/>
      <c r="H127" s="61"/>
      <c r="I127" s="49"/>
      <c r="J127" s="49"/>
      <c r="K127" s="165"/>
      <c r="L127" s="803"/>
      <c r="O127" s="608" t="s">
        <v>3205</v>
      </c>
      <c r="P127" s="1641"/>
      <c r="Q127" s="321"/>
    </row>
    <row r="128" spans="2:17" ht="12" customHeight="1">
      <c r="B128" s="44"/>
      <c r="C128" s="78" t="s">
        <v>3121</v>
      </c>
      <c r="D128" s="61" t="s">
        <v>3473</v>
      </c>
      <c r="E128" s="165"/>
      <c r="F128" s="165"/>
      <c r="G128" s="165"/>
      <c r="H128" s="165"/>
      <c r="I128" s="49"/>
      <c r="J128" s="49"/>
      <c r="K128" s="165"/>
      <c r="L128" s="803"/>
      <c r="M128" s="803"/>
      <c r="O128" s="78" t="s">
        <v>3121</v>
      </c>
      <c r="P128" s="1596" t="s">
        <v>4088</v>
      </c>
      <c r="Q128" s="210"/>
    </row>
    <row r="129" spans="1:31" ht="12" customHeight="1">
      <c r="B129" s="54" t="s">
        <v>2428</v>
      </c>
      <c r="C129" s="178" t="s">
        <v>3180</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3181</v>
      </c>
      <c r="E130" s="165"/>
      <c r="F130" s="1654" t="s">
        <v>4088</v>
      </c>
      <c r="G130" s="324"/>
      <c r="H130" s="78" t="s">
        <v>3121</v>
      </c>
      <c r="I130" s="61" t="s">
        <v>2012</v>
      </c>
      <c r="J130" s="1654" t="s">
        <v>4087</v>
      </c>
      <c r="K130" s="324"/>
      <c r="L130" s="654" t="s">
        <v>104</v>
      </c>
      <c r="M130" s="61" t="s">
        <v>2013</v>
      </c>
      <c r="O130" s="1654" t="s">
        <v>4087</v>
      </c>
      <c r="P130" s="324"/>
    </row>
    <row r="131" spans="1:31" ht="12" customHeight="1">
      <c r="B131" s="44"/>
      <c r="C131" s="78" t="s">
        <v>2431</v>
      </c>
      <c r="D131" s="61" t="s">
        <v>3278</v>
      </c>
      <c r="E131" s="165"/>
      <c r="F131" s="1655" t="s">
        <v>4088</v>
      </c>
      <c r="G131" s="473"/>
      <c r="H131" s="78" t="s">
        <v>2009</v>
      </c>
      <c r="I131" s="61" t="s">
        <v>3671</v>
      </c>
      <c r="J131" s="1655" t="s">
        <v>4087</v>
      </c>
      <c r="K131" s="473"/>
      <c r="L131" s="654" t="s">
        <v>678</v>
      </c>
      <c r="M131" s="64" t="s">
        <v>3475</v>
      </c>
      <c r="O131" s="1655" t="s">
        <v>4087</v>
      </c>
      <c r="P131" s="473"/>
    </row>
    <row r="132" spans="1:31" ht="12" customHeight="1">
      <c r="B132" s="44"/>
      <c r="C132" s="78" t="s">
        <v>2432</v>
      </c>
      <c r="D132" s="61" t="s">
        <v>3474</v>
      </c>
      <c r="E132" s="165"/>
      <c r="F132" s="1656" t="s">
        <v>4087</v>
      </c>
      <c r="G132" s="325"/>
      <c r="H132" s="78" t="s">
        <v>2010</v>
      </c>
      <c r="I132" s="61" t="s">
        <v>2011</v>
      </c>
      <c r="J132" s="1656" t="s">
        <v>4087</v>
      </c>
      <c r="K132" s="325"/>
      <c r="L132" s="654" t="s">
        <v>679</v>
      </c>
      <c r="M132" s="64" t="s">
        <v>3476</v>
      </c>
      <c r="O132" s="1656" t="s">
        <v>4087</v>
      </c>
      <c r="P132" s="325"/>
    </row>
    <row r="133" spans="1:31" ht="12" customHeight="1">
      <c r="B133" s="44"/>
      <c r="C133" s="654" t="s">
        <v>680</v>
      </c>
      <c r="D133" s="61" t="s">
        <v>3965</v>
      </c>
      <c r="E133" s="165"/>
      <c r="F133" s="165"/>
      <c r="G133" s="165"/>
      <c r="H133" s="165"/>
      <c r="J133" s="1647"/>
      <c r="K133" s="1648"/>
      <c r="L133" s="1648"/>
      <c r="M133" s="1648"/>
      <c r="N133" s="1648"/>
      <c r="O133" s="1648"/>
      <c r="P133" s="1649"/>
      <c r="Q133" s="210"/>
    </row>
    <row r="134" spans="1:31" ht="12" customHeight="1">
      <c r="B134" s="54" t="s">
        <v>2429</v>
      </c>
      <c r="C134" s="61" t="s">
        <v>1718</v>
      </c>
      <c r="D134" s="165"/>
      <c r="E134" s="165"/>
      <c r="F134" s="165"/>
      <c r="G134" s="165"/>
      <c r="H134" s="165"/>
      <c r="I134" s="49"/>
      <c r="J134" s="49"/>
      <c r="K134" s="165"/>
      <c r="L134" s="165"/>
      <c r="M134" s="803"/>
      <c r="O134" s="654" t="s">
        <v>2429</v>
      </c>
      <c r="P134" s="1596" t="s">
        <v>1369</v>
      </c>
      <c r="Q134" s="210"/>
    </row>
    <row r="135" spans="1:31" ht="12" customHeight="1">
      <c r="A135" s="176"/>
      <c r="B135" s="49"/>
      <c r="C135" s="78" t="s">
        <v>2430</v>
      </c>
      <c r="D135" s="61" t="s">
        <v>908</v>
      </c>
      <c r="E135" s="165"/>
      <c r="F135" s="165"/>
      <c r="G135" s="165"/>
      <c r="H135" s="165"/>
      <c r="O135" s="78" t="s">
        <v>2430</v>
      </c>
      <c r="P135" s="1596"/>
      <c r="Q135" s="210"/>
    </row>
    <row r="136" spans="1:31" ht="12" customHeight="1">
      <c r="A136" s="176"/>
      <c r="B136" s="162"/>
      <c r="C136" s="78" t="s">
        <v>2431</v>
      </c>
      <c r="D136" s="61" t="s">
        <v>625</v>
      </c>
      <c r="E136" s="61"/>
      <c r="F136" s="61"/>
      <c r="G136" s="61"/>
      <c r="H136" s="61"/>
      <c r="I136" s="49"/>
      <c r="J136" s="49"/>
      <c r="K136" s="61"/>
      <c r="L136" s="61"/>
      <c r="M136" s="61"/>
      <c r="O136" s="78" t="s">
        <v>2431</v>
      </c>
      <c r="P136" s="1596"/>
      <c r="Q136" s="210"/>
    </row>
    <row r="137" spans="1:31" ht="12" customHeight="1">
      <c r="A137" s="176"/>
      <c r="B137" s="162"/>
      <c r="C137" s="78" t="s">
        <v>2432</v>
      </c>
      <c r="D137" s="61" t="s">
        <v>867</v>
      </c>
      <c r="E137" s="61"/>
      <c r="F137" s="61"/>
      <c r="G137" s="61"/>
      <c r="H137" s="61"/>
      <c r="I137" s="49"/>
      <c r="J137" s="49"/>
      <c r="K137" s="61"/>
      <c r="L137" s="61"/>
      <c r="M137" s="61"/>
      <c r="O137" s="78" t="s">
        <v>2432</v>
      </c>
      <c r="P137" s="1596"/>
      <c r="Q137" s="210"/>
    </row>
    <row r="138" spans="1:31" ht="12" customHeight="1">
      <c r="B138" s="54" t="s">
        <v>2658</v>
      </c>
      <c r="C138" s="61" t="s">
        <v>2447</v>
      </c>
      <c r="D138" s="165"/>
      <c r="E138" s="165"/>
      <c r="F138" s="165"/>
      <c r="G138" s="165"/>
      <c r="H138" s="165"/>
      <c r="I138" s="49"/>
      <c r="J138" s="49"/>
      <c r="K138" s="165"/>
      <c r="L138" s="165"/>
      <c r="M138" s="803"/>
      <c r="O138" s="654" t="s">
        <v>2658</v>
      </c>
      <c r="P138" s="1596" t="s">
        <v>1369</v>
      </c>
      <c r="Q138" s="210"/>
    </row>
    <row r="139" spans="1:31" ht="4.9000000000000004" customHeight="1"/>
    <row r="140" spans="1:31" ht="11.25" customHeight="1">
      <c r="B140" s="173" t="s">
        <v>2571</v>
      </c>
      <c r="D140" s="173"/>
      <c r="E140" s="173"/>
      <c r="F140" s="173"/>
      <c r="G140" s="173"/>
      <c r="H140" s="813"/>
      <c r="I140" s="162"/>
      <c r="J140" s="162"/>
      <c r="K140" s="162"/>
      <c r="L140" s="804"/>
      <c r="M140" s="804"/>
      <c r="N140" s="804"/>
      <c r="O140" s="804"/>
      <c r="P140" s="804"/>
      <c r="Q140" s="59"/>
    </row>
    <row r="141" spans="1:31" ht="23.25" customHeight="1">
      <c r="A141" s="1600" t="s">
        <v>4156</v>
      </c>
      <c r="B141" s="1601"/>
      <c r="C141" s="1601"/>
      <c r="D141" s="1601"/>
      <c r="E141" s="1601"/>
      <c r="F141" s="1601"/>
      <c r="G141" s="1601"/>
      <c r="H141" s="1601"/>
      <c r="I141" s="1601"/>
      <c r="J141" s="1601"/>
      <c r="K141" s="1601"/>
      <c r="L141" s="1601"/>
      <c r="M141" s="1601"/>
      <c r="N141" s="1601"/>
      <c r="O141" s="1601"/>
      <c r="P141" s="1601"/>
      <c r="Q141" s="1602"/>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3493</v>
      </c>
      <c r="C145" s="810"/>
      <c r="D145" s="808"/>
      <c r="E145" s="808"/>
      <c r="F145" s="808"/>
      <c r="G145" s="808"/>
      <c r="H145" s="808"/>
      <c r="I145" s="808"/>
      <c r="J145" s="808"/>
      <c r="K145" s="808"/>
      <c r="O145" s="163" t="s">
        <v>2573</v>
      </c>
      <c r="P145" s="1045"/>
      <c r="Q145" s="1046"/>
    </row>
    <row r="146" spans="1:31" ht="12" customHeight="1">
      <c r="B146" s="54" t="s">
        <v>2695</v>
      </c>
      <c r="C146" s="61" t="s">
        <v>3636</v>
      </c>
      <c r="D146" s="61"/>
      <c r="E146" s="61"/>
      <c r="F146" s="61"/>
      <c r="G146" s="61"/>
      <c r="I146" s="61" t="s">
        <v>3635</v>
      </c>
      <c r="K146" s="1657">
        <v>41639</v>
      </c>
      <c r="L146" s="1658"/>
      <c r="N146" s="61"/>
      <c r="O146" s="654" t="s">
        <v>2695</v>
      </c>
      <c r="P146" s="1596" t="s">
        <v>4088</v>
      </c>
      <c r="Q146" s="210"/>
    </row>
    <row r="147" spans="1:31" ht="12" customHeight="1">
      <c r="A147" s="171"/>
      <c r="B147" s="54" t="s">
        <v>2698</v>
      </c>
      <c r="C147" s="172" t="s">
        <v>164</v>
      </c>
      <c r="D147" s="172"/>
      <c r="E147" s="172"/>
      <c r="F147" s="172"/>
      <c r="G147" s="172"/>
      <c r="H147" s="172"/>
      <c r="M147" s="654" t="s">
        <v>2698</v>
      </c>
      <c r="N147" s="1659" t="s">
        <v>4130</v>
      </c>
      <c r="O147" s="1660"/>
      <c r="P147" s="1077"/>
      <c r="Q147" s="1078"/>
    </row>
    <row r="148" spans="1:31" ht="12" customHeight="1">
      <c r="A148" s="171"/>
      <c r="B148" s="54" t="s">
        <v>1054</v>
      </c>
      <c r="C148" s="172" t="s">
        <v>868</v>
      </c>
      <c r="D148" s="172"/>
      <c r="E148" s="172"/>
      <c r="F148" s="172"/>
      <c r="G148" s="172"/>
      <c r="H148" s="172"/>
      <c r="J148" s="654" t="s">
        <v>1054</v>
      </c>
      <c r="K148" s="1661" t="s">
        <v>4095</v>
      </c>
      <c r="L148" s="1662"/>
      <c r="M148" s="1662"/>
      <c r="N148" s="1662"/>
      <c r="O148" s="1662"/>
      <c r="P148" s="1663"/>
      <c r="Q148" s="210"/>
    </row>
    <row r="149" spans="1:31" ht="12" customHeight="1">
      <c r="B149" s="173" t="s">
        <v>2571</v>
      </c>
      <c r="D149" s="173"/>
      <c r="E149" s="173"/>
      <c r="F149" s="173"/>
      <c r="G149" s="173"/>
      <c r="H149" s="813"/>
      <c r="I149" s="162"/>
      <c r="J149" s="162"/>
      <c r="K149" s="162"/>
      <c r="L149" s="804"/>
      <c r="M149" s="804"/>
      <c r="N149" s="804"/>
      <c r="O149" s="804"/>
      <c r="P149" s="804"/>
      <c r="Q149" s="59"/>
    </row>
    <row r="150" spans="1:31" ht="11.45" customHeight="1">
      <c r="A150" s="1600"/>
      <c r="B150" s="1601"/>
      <c r="C150" s="1601"/>
      <c r="D150" s="1601"/>
      <c r="E150" s="1601"/>
      <c r="F150" s="1601"/>
      <c r="G150" s="1601"/>
      <c r="H150" s="1601"/>
      <c r="I150" s="1601"/>
      <c r="J150" s="1601"/>
      <c r="K150" s="1601"/>
      <c r="L150" s="1601"/>
      <c r="M150" s="1601"/>
      <c r="N150" s="1601"/>
      <c r="O150" s="1601"/>
      <c r="P150" s="1601"/>
      <c r="Q150" s="1602"/>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3494</v>
      </c>
      <c r="C154" s="810"/>
      <c r="D154" s="808"/>
      <c r="E154" s="808"/>
      <c r="F154" s="808"/>
      <c r="G154" s="808"/>
      <c r="H154" s="808"/>
      <c r="I154" s="808"/>
      <c r="J154" s="808"/>
      <c r="K154" s="808"/>
      <c r="L154" s="808"/>
      <c r="M154" s="808"/>
      <c r="O154" s="163" t="s">
        <v>2573</v>
      </c>
      <c r="P154" s="1045"/>
      <c r="Q154" s="1046"/>
    </row>
    <row r="155" spans="1:31" ht="12" customHeight="1">
      <c r="B155" s="174" t="s">
        <v>2695</v>
      </c>
      <c r="C155" s="172" t="s">
        <v>102</v>
      </c>
      <c r="D155" s="172"/>
      <c r="E155" s="172"/>
      <c r="F155" s="172"/>
      <c r="G155" s="172"/>
      <c r="H155" s="172"/>
      <c r="I155" s="172"/>
      <c r="J155" s="172"/>
      <c r="K155" s="172"/>
      <c r="L155" s="179"/>
      <c r="M155" s="179"/>
      <c r="N155" s="179"/>
      <c r="O155" s="199" t="s">
        <v>2695</v>
      </c>
      <c r="P155" s="1596" t="s">
        <v>4088</v>
      </c>
      <c r="Q155" s="210"/>
    </row>
    <row r="156" spans="1:31" ht="22.15" customHeight="1">
      <c r="B156" s="174" t="s">
        <v>2698</v>
      </c>
      <c r="C156" s="1047" t="s">
        <v>3294</v>
      </c>
      <c r="D156" s="1047"/>
      <c r="E156" s="1047"/>
      <c r="F156" s="1047"/>
      <c r="G156" s="1047"/>
      <c r="H156" s="1047"/>
      <c r="I156" s="1047"/>
      <c r="J156" s="1047"/>
      <c r="K156" s="1047"/>
      <c r="L156" s="1047"/>
      <c r="M156" s="1047"/>
      <c r="N156" s="1047"/>
      <c r="O156" s="199" t="s">
        <v>2698</v>
      </c>
      <c r="P156" s="1596"/>
      <c r="Q156" s="210"/>
    </row>
    <row r="157" spans="1:31" ht="21.75" customHeight="1">
      <c r="B157" s="174" t="s">
        <v>1054</v>
      </c>
      <c r="C157" s="1047" t="s">
        <v>3477</v>
      </c>
      <c r="D157" s="1047"/>
      <c r="E157" s="1047"/>
      <c r="F157" s="1047"/>
      <c r="G157" s="1047"/>
      <c r="H157" s="1047"/>
      <c r="I157" s="1047"/>
      <c r="J157" s="1047"/>
      <c r="K157" s="1047"/>
      <c r="L157" s="1047"/>
      <c r="M157" s="1047"/>
      <c r="N157" s="1047"/>
      <c r="O157" s="199" t="s">
        <v>1054</v>
      </c>
      <c r="P157" s="1596"/>
      <c r="Q157" s="210"/>
    </row>
    <row r="158" spans="1:31" ht="12" customHeight="1">
      <c r="B158" s="173" t="s">
        <v>2571</v>
      </c>
      <c r="D158" s="173"/>
      <c r="E158" s="173"/>
      <c r="F158" s="173"/>
      <c r="G158" s="173"/>
      <c r="H158" s="813"/>
      <c r="I158" s="162"/>
      <c r="J158" s="162"/>
      <c r="K158" s="162"/>
      <c r="L158" s="804"/>
      <c r="M158" s="804"/>
      <c r="N158" s="804"/>
      <c r="O158" s="804"/>
      <c r="P158" s="804"/>
      <c r="Q158" s="59"/>
    </row>
    <row r="159" spans="1:31" ht="11.45" customHeight="1">
      <c r="A159" s="1600"/>
      <c r="B159" s="1601"/>
      <c r="C159" s="1601"/>
      <c r="D159" s="1601"/>
      <c r="E159" s="1601"/>
      <c r="F159" s="1601"/>
      <c r="G159" s="1601"/>
      <c r="H159" s="1601"/>
      <c r="I159" s="1601"/>
      <c r="J159" s="1601"/>
      <c r="K159" s="1601"/>
      <c r="L159" s="1601"/>
      <c r="M159" s="1601"/>
      <c r="N159" s="1601"/>
      <c r="O159" s="1601"/>
      <c r="P159" s="1601"/>
      <c r="Q159" s="1602"/>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3495</v>
      </c>
      <c r="C163" s="1092"/>
      <c r="D163" s="1092"/>
      <c r="O163" s="163" t="s">
        <v>2573</v>
      </c>
      <c r="P163" s="1045"/>
      <c r="Q163" s="1046"/>
    </row>
    <row r="164" spans="1:32" ht="12" customHeight="1">
      <c r="B164" s="174" t="s">
        <v>2695</v>
      </c>
      <c r="C164" s="179" t="s">
        <v>600</v>
      </c>
      <c r="D164" s="179"/>
      <c r="E164" s="179"/>
      <c r="F164" s="179"/>
      <c r="G164" s="179"/>
      <c r="H164" s="179"/>
      <c r="I164" s="179"/>
      <c r="J164" s="179"/>
      <c r="K164" s="179"/>
      <c r="L164" s="179"/>
      <c r="M164" s="179"/>
      <c r="O164" s="199" t="s">
        <v>2695</v>
      </c>
      <c r="P164" s="1596" t="s">
        <v>4088</v>
      </c>
      <c r="Q164" s="210"/>
    </row>
    <row r="165" spans="1:32" ht="12" customHeight="1">
      <c r="B165" s="174" t="s">
        <v>2698</v>
      </c>
      <c r="C165" s="179" t="s">
        <v>3478</v>
      </c>
      <c r="D165" s="179"/>
      <c r="E165" s="179"/>
      <c r="F165" s="179"/>
      <c r="G165" s="179"/>
      <c r="H165" s="179"/>
      <c r="I165" s="179"/>
      <c r="J165" s="179"/>
      <c r="K165" s="179"/>
      <c r="L165" s="179"/>
      <c r="M165" s="179"/>
      <c r="O165" s="199" t="s">
        <v>2698</v>
      </c>
      <c r="P165" s="1596" t="s">
        <v>4088</v>
      </c>
      <c r="Q165" s="210"/>
    </row>
    <row r="166" spans="1:32" ht="12" customHeight="1">
      <c r="B166" s="174" t="s">
        <v>1054</v>
      </c>
      <c r="C166" s="179" t="s">
        <v>3479</v>
      </c>
      <c r="D166" s="179"/>
      <c r="E166" s="179"/>
      <c r="F166" s="179"/>
      <c r="G166" s="179"/>
      <c r="H166" s="179"/>
      <c r="I166" s="179"/>
      <c r="J166" s="179"/>
      <c r="K166" s="179"/>
      <c r="L166" s="179"/>
      <c r="M166" s="179"/>
      <c r="O166" s="199" t="s">
        <v>1054</v>
      </c>
      <c r="P166" s="1596" t="s">
        <v>4088</v>
      </c>
      <c r="Q166" s="210"/>
    </row>
    <row r="167" spans="1:32" ht="12" customHeight="1">
      <c r="B167" s="174"/>
      <c r="C167" s="179" t="s">
        <v>3467</v>
      </c>
      <c r="D167" s="179"/>
      <c r="E167" s="608" t="s">
        <v>2430</v>
      </c>
      <c r="F167" s="179" t="s">
        <v>3480</v>
      </c>
      <c r="G167" s="179"/>
      <c r="H167" s="179"/>
      <c r="I167" s="179"/>
      <c r="J167" s="179"/>
      <c r="K167" s="179"/>
      <c r="L167" s="179"/>
      <c r="M167" s="179"/>
      <c r="O167" s="608" t="s">
        <v>2430</v>
      </c>
      <c r="P167" s="1596" t="s">
        <v>4088</v>
      </c>
      <c r="Q167" s="210"/>
    </row>
    <row r="168" spans="1:32" ht="12" customHeight="1">
      <c r="B168" s="174"/>
      <c r="C168" s="179"/>
      <c r="D168" s="179"/>
      <c r="E168" s="608" t="s">
        <v>2431</v>
      </c>
      <c r="F168" s="179" t="s">
        <v>3481</v>
      </c>
      <c r="G168" s="179"/>
      <c r="H168" s="179"/>
      <c r="I168" s="179"/>
      <c r="J168" s="179"/>
      <c r="K168" s="179"/>
      <c r="L168" s="179"/>
      <c r="M168" s="179"/>
      <c r="O168" s="608" t="s">
        <v>2431</v>
      </c>
      <c r="P168" s="1596" t="s">
        <v>4088</v>
      </c>
      <c r="Q168" s="210"/>
    </row>
    <row r="169" spans="1:32" s="164" customFormat="1" ht="21.75" customHeight="1">
      <c r="B169" s="174"/>
      <c r="C169" s="179"/>
      <c r="D169" s="179"/>
      <c r="E169" s="199" t="s">
        <v>2432</v>
      </c>
      <c r="F169" s="1047" t="s">
        <v>3482</v>
      </c>
      <c r="G169" s="1047"/>
      <c r="H169" s="1047"/>
      <c r="I169" s="1047"/>
      <c r="J169" s="1047"/>
      <c r="K169" s="1047"/>
      <c r="L169" s="1047"/>
      <c r="M169" s="1047"/>
      <c r="N169" s="1047"/>
      <c r="O169" s="199" t="s">
        <v>2432</v>
      </c>
      <c r="P169" s="1646" t="s">
        <v>4088</v>
      </c>
      <c r="Q169" s="323"/>
      <c r="AE169" s="657"/>
      <c r="AF169" s="657"/>
    </row>
    <row r="170" spans="1:32" ht="12" customHeight="1">
      <c r="B170" s="174"/>
      <c r="C170" s="179"/>
      <c r="D170" s="179"/>
      <c r="E170" s="608" t="s">
        <v>3121</v>
      </c>
      <c r="F170" s="179" t="s">
        <v>3483</v>
      </c>
      <c r="G170" s="179"/>
      <c r="H170" s="179"/>
      <c r="I170" s="179"/>
      <c r="J170" s="179"/>
      <c r="K170" s="179"/>
      <c r="L170" s="179"/>
      <c r="M170" s="179"/>
      <c r="O170" s="608" t="s">
        <v>3121</v>
      </c>
      <c r="P170" s="1596" t="s">
        <v>4088</v>
      </c>
      <c r="Q170" s="210"/>
    </row>
    <row r="171" spans="1:32" s="164" customFormat="1" ht="21.75" customHeight="1">
      <c r="B171" s="174"/>
      <c r="C171" s="179"/>
      <c r="D171" s="179"/>
      <c r="E171" s="199" t="s">
        <v>2009</v>
      </c>
      <c r="F171" s="1047" t="s">
        <v>3484</v>
      </c>
      <c r="G171" s="1047"/>
      <c r="H171" s="1047"/>
      <c r="I171" s="1047"/>
      <c r="J171" s="1047"/>
      <c r="K171" s="1047"/>
      <c r="L171" s="1047"/>
      <c r="M171" s="1047"/>
      <c r="N171" s="1047"/>
      <c r="O171" s="199" t="s">
        <v>2009</v>
      </c>
      <c r="P171" s="1646"/>
      <c r="Q171" s="323"/>
      <c r="AE171" s="657"/>
      <c r="AF171" s="657"/>
    </row>
    <row r="172" spans="1:32" ht="21.75" customHeight="1">
      <c r="B172" s="174" t="s">
        <v>2831</v>
      </c>
      <c r="C172" s="1047" t="s">
        <v>3485</v>
      </c>
      <c r="D172" s="1047"/>
      <c r="E172" s="1047"/>
      <c r="F172" s="1047"/>
      <c r="G172" s="1047"/>
      <c r="H172" s="1047"/>
      <c r="I172" s="1047"/>
      <c r="J172" s="1047"/>
      <c r="K172" s="1047"/>
      <c r="L172" s="1047"/>
      <c r="M172" s="1047"/>
      <c r="N172" s="1047"/>
      <c r="O172" s="199" t="s">
        <v>2831</v>
      </c>
      <c r="P172" s="1596" t="s">
        <v>4088</v>
      </c>
      <c r="Q172" s="210"/>
    </row>
    <row r="173" spans="1:32" ht="12" customHeight="1">
      <c r="B173" s="174" t="s">
        <v>2428</v>
      </c>
      <c r="C173" s="179" t="s">
        <v>3137</v>
      </c>
      <c r="D173" s="179"/>
      <c r="E173" s="179"/>
      <c r="F173" s="179"/>
      <c r="G173" s="179"/>
      <c r="H173" s="179"/>
      <c r="I173" s="179"/>
      <c r="J173" s="179"/>
      <c r="K173" s="179"/>
      <c r="L173" s="179"/>
      <c r="M173" s="179"/>
      <c r="O173" s="199" t="s">
        <v>2428</v>
      </c>
      <c r="P173" s="1596" t="s">
        <v>4088</v>
      </c>
      <c r="Q173" s="210"/>
    </row>
    <row r="174" spans="1:32" ht="12" customHeight="1">
      <c r="B174" s="173" t="s">
        <v>2571</v>
      </c>
      <c r="D174" s="173"/>
      <c r="E174" s="173"/>
      <c r="F174" s="173"/>
      <c r="G174" s="173"/>
      <c r="H174" s="813"/>
      <c r="I174" s="162"/>
      <c r="J174" s="162"/>
      <c r="K174" s="162"/>
      <c r="L174" s="804"/>
      <c r="M174" s="804"/>
      <c r="N174" s="804"/>
      <c r="O174" s="804"/>
      <c r="P174" s="804"/>
      <c r="Q174" s="59"/>
    </row>
    <row r="175" spans="1:32" ht="11.45" customHeight="1">
      <c r="A175" s="1600"/>
      <c r="B175" s="1601"/>
      <c r="C175" s="1601"/>
      <c r="D175" s="1601"/>
      <c r="E175" s="1601"/>
      <c r="F175" s="1601"/>
      <c r="G175" s="1601"/>
      <c r="H175" s="1601"/>
      <c r="I175" s="1601"/>
      <c r="J175" s="1601"/>
      <c r="K175" s="1601"/>
      <c r="L175" s="1601"/>
      <c r="M175" s="1601"/>
      <c r="N175" s="1601"/>
      <c r="O175" s="1601"/>
      <c r="P175" s="1601"/>
      <c r="Q175" s="1602"/>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3496</v>
      </c>
      <c r="C179" s="810"/>
      <c r="D179" s="808"/>
      <c r="E179" s="180"/>
      <c r="F179" s="180"/>
      <c r="G179" s="808"/>
      <c r="J179" s="607"/>
      <c r="K179" s="750"/>
      <c r="L179" s="750"/>
      <c r="M179" s="750"/>
      <c r="N179" s="750"/>
      <c r="O179" s="163" t="s">
        <v>2573</v>
      </c>
      <c r="P179" s="1045"/>
      <c r="Q179" s="1046"/>
    </row>
    <row r="180" spans="1:31" ht="12" customHeight="1">
      <c r="A180" s="171"/>
      <c r="B180" s="54" t="s">
        <v>2695</v>
      </c>
      <c r="C180" s="1047" t="s">
        <v>103</v>
      </c>
      <c r="D180" s="1047"/>
      <c r="E180" s="1047"/>
      <c r="F180" s="1047"/>
      <c r="G180" s="1047"/>
      <c r="H180" s="78" t="s">
        <v>2430</v>
      </c>
      <c r="I180" s="61" t="s">
        <v>166</v>
      </c>
      <c r="K180" s="1624" t="s">
        <v>2544</v>
      </c>
      <c r="L180" s="1625"/>
      <c r="M180" s="1625"/>
      <c r="N180" s="1626"/>
      <c r="O180" s="78" t="s">
        <v>2430</v>
      </c>
      <c r="P180" s="1596" t="s">
        <v>4087</v>
      </c>
      <c r="Q180" s="210"/>
    </row>
    <row r="181" spans="1:31" ht="12" customHeight="1">
      <c r="A181" s="171"/>
      <c r="B181" s="162"/>
      <c r="C181" s="125"/>
      <c r="D181" s="125"/>
      <c r="E181" s="125"/>
      <c r="F181" s="125"/>
      <c r="H181" s="78" t="s">
        <v>2431</v>
      </c>
      <c r="I181" s="61" t="s">
        <v>2060</v>
      </c>
      <c r="K181" s="1630" t="s">
        <v>4131</v>
      </c>
      <c r="L181" s="1631"/>
      <c r="M181" s="1631"/>
      <c r="N181" s="1632"/>
      <c r="O181" s="78" t="s">
        <v>2431</v>
      </c>
      <c r="P181" s="1596" t="s">
        <v>4088</v>
      </c>
      <c r="Q181" s="210"/>
    </row>
    <row r="182" spans="1:31" ht="12" customHeight="1">
      <c r="B182" s="173" t="s">
        <v>2571</v>
      </c>
      <c r="D182" s="173"/>
      <c r="E182" s="173"/>
      <c r="F182" s="173"/>
      <c r="G182" s="173"/>
      <c r="J182" s="162"/>
      <c r="K182" s="162"/>
      <c r="L182" s="804"/>
      <c r="M182" s="804"/>
      <c r="N182" s="804"/>
      <c r="O182" s="804"/>
      <c r="P182" s="804"/>
      <c r="Q182" s="59"/>
    </row>
    <row r="183" spans="1:31" ht="11.45" customHeight="1">
      <c r="A183" s="1600"/>
      <c r="B183" s="1601"/>
      <c r="C183" s="1601"/>
      <c r="D183" s="1601"/>
      <c r="E183" s="1601"/>
      <c r="F183" s="1601"/>
      <c r="G183" s="1601"/>
      <c r="H183" s="1601"/>
      <c r="I183" s="1601"/>
      <c r="J183" s="1601"/>
      <c r="K183" s="1601"/>
      <c r="L183" s="1601"/>
      <c r="M183" s="1601"/>
      <c r="N183" s="1601"/>
      <c r="O183" s="1601"/>
      <c r="P183" s="1601"/>
      <c r="Q183" s="1602"/>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3497</v>
      </c>
      <c r="C187" s="5"/>
      <c r="D187" s="104"/>
      <c r="E187" s="104"/>
      <c r="F187" s="104"/>
      <c r="G187" s="808"/>
      <c r="H187" s="808"/>
      <c r="I187" s="808"/>
      <c r="J187" s="808"/>
      <c r="K187" s="808"/>
      <c r="L187" s="808"/>
      <c r="M187" s="808"/>
      <c r="O187" s="163" t="s">
        <v>2573</v>
      </c>
      <c r="P187" s="1045"/>
      <c r="Q187" s="1046"/>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596" t="s">
        <v>4087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6"/>
      <c r="Q190" s="210"/>
    </row>
    <row r="191" spans="1:31" ht="11.45" customHeight="1">
      <c r="A191" s="171"/>
      <c r="B191" s="174" t="s">
        <v>2698</v>
      </c>
      <c r="C191" s="1047" t="s">
        <v>2554</v>
      </c>
      <c r="D191" s="1047"/>
      <c r="E191" s="1047"/>
      <c r="F191" s="1047"/>
      <c r="G191" s="1047"/>
      <c r="H191" s="78" t="s">
        <v>2430</v>
      </c>
      <c r="I191" s="61" t="s">
        <v>815</v>
      </c>
      <c r="K191" s="1624" t="s">
        <v>4107</v>
      </c>
      <c r="L191" s="1625"/>
      <c r="M191" s="1625"/>
      <c r="N191" s="1626"/>
      <c r="O191" s="78" t="s">
        <v>1891</v>
      </c>
      <c r="P191" s="1596" t="s">
        <v>4088</v>
      </c>
      <c r="Q191" s="210"/>
    </row>
    <row r="192" spans="1:31" ht="11.45" customHeight="1">
      <c r="A192" s="171"/>
      <c r="B192" s="814"/>
      <c r="C192" s="1047"/>
      <c r="D192" s="1047"/>
      <c r="E192" s="1047"/>
      <c r="F192" s="1047"/>
      <c r="G192" s="1047"/>
      <c r="H192" s="78" t="s">
        <v>2431</v>
      </c>
      <c r="I192" s="61" t="s">
        <v>122</v>
      </c>
      <c r="K192" s="1630" t="s">
        <v>4107</v>
      </c>
      <c r="L192" s="1631"/>
      <c r="M192" s="1631"/>
      <c r="N192" s="1632"/>
      <c r="O192" s="78" t="s">
        <v>2431</v>
      </c>
      <c r="P192" s="1596" t="s">
        <v>4088</v>
      </c>
      <c r="Q192" s="210"/>
    </row>
    <row r="193" spans="1:32" ht="11.25" customHeight="1">
      <c r="B193" s="173" t="s">
        <v>2571</v>
      </c>
      <c r="D193" s="173"/>
      <c r="E193" s="173"/>
      <c r="F193" s="173"/>
      <c r="G193" s="173"/>
      <c r="H193" s="813"/>
      <c r="I193" s="162"/>
      <c r="J193" s="162"/>
      <c r="K193" s="162"/>
      <c r="L193" s="804"/>
      <c r="M193" s="804"/>
      <c r="N193" s="804"/>
      <c r="O193" s="804"/>
      <c r="P193" s="804"/>
      <c r="Q193" s="59"/>
    </row>
    <row r="194" spans="1:32" ht="11.45" customHeight="1">
      <c r="A194" s="1600"/>
      <c r="B194" s="1601"/>
      <c r="C194" s="1601"/>
      <c r="D194" s="1601"/>
      <c r="E194" s="1601"/>
      <c r="F194" s="1601"/>
      <c r="G194" s="1601"/>
      <c r="H194" s="1601"/>
      <c r="I194" s="1601"/>
      <c r="J194" s="1601"/>
      <c r="K194" s="1601"/>
      <c r="L194" s="1601"/>
      <c r="M194" s="1601"/>
      <c r="N194" s="1601"/>
      <c r="O194" s="1601"/>
      <c r="P194" s="1601"/>
      <c r="Q194" s="1602"/>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3498</v>
      </c>
      <c r="C198" s="5"/>
      <c r="D198" s="104"/>
      <c r="E198" s="104"/>
      <c r="F198" s="104"/>
      <c r="G198" s="104"/>
      <c r="H198" s="808"/>
      <c r="I198" s="808"/>
      <c r="J198" s="808"/>
      <c r="K198" s="808"/>
      <c r="L198" s="808"/>
      <c r="M198" s="808"/>
      <c r="O198" s="163" t="s">
        <v>2573</v>
      </c>
      <c r="P198" s="1045"/>
      <c r="Q198" s="1046"/>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596" t="s">
        <v>4088</v>
      </c>
      <c r="Q200" s="210"/>
    </row>
    <row r="201" spans="1:32" ht="11.45" customHeight="1">
      <c r="B201" s="54" t="s">
        <v>2698</v>
      </c>
      <c r="C201" s="61" t="s">
        <v>156</v>
      </c>
      <c r="D201" s="61"/>
      <c r="E201" s="61"/>
      <c r="F201" s="61"/>
      <c r="G201" s="61"/>
      <c r="H201" s="61"/>
      <c r="I201" s="49"/>
      <c r="J201" s="49"/>
      <c r="K201" s="49"/>
      <c r="L201" s="172"/>
      <c r="M201" s="172"/>
      <c r="O201" s="199" t="s">
        <v>2698</v>
      </c>
      <c r="P201" s="1596" t="s">
        <v>4088</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6" t="s">
        <v>4088</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596" t="s">
        <v>4088</v>
      </c>
      <c r="Q203" s="210"/>
      <c r="AE203" s="658"/>
      <c r="AF203" s="658"/>
    </row>
    <row r="204" spans="1:32" ht="11.25" customHeight="1">
      <c r="B204" s="173" t="s">
        <v>2571</v>
      </c>
      <c r="D204" s="173"/>
      <c r="E204" s="173"/>
      <c r="F204" s="173"/>
      <c r="G204" s="173"/>
      <c r="H204" s="813"/>
      <c r="I204" s="162"/>
      <c r="J204" s="162"/>
      <c r="K204" s="162"/>
      <c r="L204" s="804"/>
      <c r="M204" s="804"/>
      <c r="N204" s="804"/>
      <c r="O204" s="804"/>
      <c r="P204" s="804"/>
      <c r="Q204" s="59"/>
    </row>
    <row r="205" spans="1:32" ht="13.15" customHeight="1">
      <c r="A205" s="1600" t="s">
        <v>4132</v>
      </c>
      <c r="B205" s="1601"/>
      <c r="C205" s="1601"/>
      <c r="D205" s="1601"/>
      <c r="E205" s="1601"/>
      <c r="F205" s="1601"/>
      <c r="G205" s="1601"/>
      <c r="H205" s="1601"/>
      <c r="I205" s="1601"/>
      <c r="J205" s="1601"/>
      <c r="K205" s="1601"/>
      <c r="L205" s="1601"/>
      <c r="M205" s="1601"/>
      <c r="N205" s="1601"/>
      <c r="O205" s="1601"/>
      <c r="P205" s="1601"/>
      <c r="Q205" s="1602"/>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3499</v>
      </c>
      <c r="C210" s="136"/>
      <c r="D210" s="808"/>
      <c r="E210" s="808"/>
      <c r="F210" s="808"/>
      <c r="G210" s="808"/>
      <c r="H210" s="808"/>
      <c r="I210" s="808"/>
      <c r="J210" s="808"/>
      <c r="K210" s="808"/>
      <c r="L210" s="808"/>
      <c r="M210" s="808"/>
      <c r="O210" s="163" t="s">
        <v>2573</v>
      </c>
      <c r="P210" s="1045"/>
      <c r="Q210" s="1046"/>
    </row>
    <row r="211" spans="1:32" s="31" customFormat="1" ht="11.45" customHeight="1">
      <c r="B211" s="177" t="s">
        <v>1608</v>
      </c>
      <c r="N211" s="148"/>
      <c r="P211" s="1596" t="s">
        <v>4088</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61" t="s">
        <v>4133</v>
      </c>
      <c r="M213" s="1663"/>
      <c r="Q213" s="210"/>
    </row>
    <row r="214" spans="1:32" ht="11.45" customHeight="1">
      <c r="B214" s="54"/>
      <c r="C214" s="78" t="s">
        <v>2431</v>
      </c>
      <c r="D214" s="38" t="s">
        <v>3676</v>
      </c>
      <c r="E214" s="38"/>
      <c r="F214" s="38"/>
      <c r="G214" s="38"/>
      <c r="H214" s="38"/>
      <c r="I214" s="49"/>
      <c r="K214" s="78" t="s">
        <v>1939</v>
      </c>
      <c r="L214" s="1664" t="s">
        <v>4134</v>
      </c>
      <c r="M214" s="1665"/>
      <c r="N214" s="1666" t="s">
        <v>3677</v>
      </c>
      <c r="O214" s="1667"/>
      <c r="P214" s="1668"/>
      <c r="Q214" s="210"/>
    </row>
    <row r="215" spans="1:32" ht="11.45" customHeight="1">
      <c r="B215" s="54"/>
      <c r="C215" s="78" t="s">
        <v>2432</v>
      </c>
      <c r="D215" s="38" t="s">
        <v>726</v>
      </c>
      <c r="E215" s="38"/>
      <c r="F215" s="38"/>
      <c r="G215" s="38"/>
      <c r="H215" s="38"/>
      <c r="I215" s="49"/>
      <c r="K215" s="78" t="s">
        <v>1940</v>
      </c>
      <c r="L215" s="1661" t="s">
        <v>4135</v>
      </c>
      <c r="M215" s="1662"/>
      <c r="N215" s="1669"/>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596" t="s">
        <v>4118</v>
      </c>
      <c r="Q217" s="210"/>
    </row>
    <row r="218" spans="1:32" ht="10.9" customHeight="1">
      <c r="B218" s="54"/>
      <c r="C218" s="61" t="s">
        <v>3295</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3678</v>
      </c>
      <c r="M219" s="49"/>
      <c r="N219" s="49"/>
      <c r="O219" s="381"/>
      <c r="P219" s="383" t="s">
        <v>1162</v>
      </c>
      <c r="Q219" s="382" t="s">
        <v>1163</v>
      </c>
    </row>
    <row r="220" spans="1:32" s="50" customFormat="1" ht="11.45" customHeight="1">
      <c r="A220" s="115"/>
      <c r="B220" s="60"/>
      <c r="C220" s="78" t="s">
        <v>2430</v>
      </c>
      <c r="D220" s="1670" t="s">
        <v>4136</v>
      </c>
      <c r="E220" s="1671"/>
      <c r="F220" s="1671"/>
      <c r="G220" s="1671"/>
      <c r="H220" s="1672"/>
      <c r="I220" s="384"/>
      <c r="J220" s="267"/>
      <c r="K220" s="78" t="s">
        <v>2432</v>
      </c>
      <c r="L220" s="1670"/>
      <c r="M220" s="1671"/>
      <c r="N220" s="1671"/>
      <c r="O220" s="1672"/>
      <c r="P220" s="324"/>
      <c r="Q220" s="267"/>
      <c r="AE220" s="63"/>
      <c r="AF220" s="63"/>
    </row>
    <row r="221" spans="1:32" s="50" customFormat="1" ht="11.45" customHeight="1">
      <c r="A221" s="115"/>
      <c r="B221" s="60"/>
      <c r="C221" s="78" t="s">
        <v>2431</v>
      </c>
      <c r="D221" s="1673" t="s">
        <v>4137</v>
      </c>
      <c r="E221" s="1674"/>
      <c r="F221" s="1674"/>
      <c r="G221" s="1674"/>
      <c r="H221" s="1675"/>
      <c r="I221" s="541"/>
      <c r="J221" s="268"/>
      <c r="K221" s="78" t="s">
        <v>3121</v>
      </c>
      <c r="L221" s="1673"/>
      <c r="M221" s="1674"/>
      <c r="N221" s="1674"/>
      <c r="O221" s="167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6" t="s">
        <v>4118</v>
      </c>
      <c r="Q223" s="210"/>
    </row>
    <row r="224" spans="1:32" ht="11.45" customHeight="1">
      <c r="B224" s="54"/>
      <c r="C224" s="78" t="s">
        <v>2430</v>
      </c>
      <c r="D224" s="61" t="s">
        <v>167</v>
      </c>
      <c r="E224" s="61"/>
      <c r="F224" s="61"/>
      <c r="G224" s="61"/>
      <c r="H224" s="61"/>
      <c r="I224" s="49"/>
      <c r="J224" s="40"/>
      <c r="K224" s="49"/>
      <c r="L224" s="40"/>
      <c r="M224" s="40"/>
      <c r="O224" s="78" t="s">
        <v>2430</v>
      </c>
      <c r="P224" s="1596" t="s">
        <v>4088</v>
      </c>
      <c r="Q224" s="210"/>
    </row>
    <row r="225" spans="1:31" ht="11.45" customHeight="1">
      <c r="C225" s="78" t="s">
        <v>2431</v>
      </c>
      <c r="D225" s="38" t="s">
        <v>2341</v>
      </c>
      <c r="E225" s="38"/>
      <c r="F225" s="38"/>
      <c r="G225" s="38"/>
      <c r="H225" s="38"/>
      <c r="I225" s="49"/>
      <c r="J225" s="40"/>
      <c r="K225" s="49"/>
      <c r="L225" s="40"/>
      <c r="M225" s="40"/>
      <c r="O225" s="78" t="s">
        <v>2431</v>
      </c>
      <c r="P225" s="1596" t="s">
        <v>4088</v>
      </c>
      <c r="Q225" s="210"/>
    </row>
    <row r="226" spans="1:31" ht="11.45" customHeight="1">
      <c r="C226" s="78" t="s">
        <v>2432</v>
      </c>
      <c r="D226" s="38" t="s">
        <v>1963</v>
      </c>
      <c r="E226" s="38"/>
      <c r="F226" s="38"/>
      <c r="G226" s="38"/>
      <c r="H226" s="38"/>
      <c r="I226" s="49"/>
      <c r="J226" s="40"/>
      <c r="K226" s="49"/>
      <c r="L226" s="40"/>
      <c r="M226" s="40"/>
      <c r="O226" s="78" t="s">
        <v>2432</v>
      </c>
      <c r="P226" s="1596" t="s">
        <v>4088</v>
      </c>
      <c r="Q226" s="210"/>
    </row>
    <row r="227" spans="1:31" ht="11.45" customHeight="1">
      <c r="B227" s="54"/>
      <c r="C227" s="78" t="s">
        <v>3121</v>
      </c>
      <c r="D227" s="38" t="s">
        <v>168</v>
      </c>
      <c r="E227" s="38"/>
      <c r="F227" s="38"/>
      <c r="G227" s="38"/>
      <c r="H227" s="38"/>
      <c r="I227" s="49"/>
      <c r="J227" s="40"/>
      <c r="K227" s="49"/>
      <c r="L227" s="40"/>
      <c r="M227" s="40"/>
      <c r="O227" s="78" t="s">
        <v>3121</v>
      </c>
      <c r="P227" s="1596" t="s">
        <v>4088</v>
      </c>
      <c r="Q227" s="210"/>
    </row>
    <row r="228" spans="1:31" ht="11.45" customHeight="1">
      <c r="B228" s="54"/>
      <c r="C228" s="78" t="s">
        <v>2009</v>
      </c>
      <c r="D228" s="61" t="s">
        <v>1164</v>
      </c>
      <c r="E228" s="61"/>
      <c r="F228" s="61"/>
      <c r="G228" s="61"/>
      <c r="H228" s="61"/>
      <c r="I228" s="49"/>
      <c r="J228" s="40"/>
      <c r="K228" s="49"/>
      <c r="L228" s="40"/>
      <c r="M228" s="40"/>
      <c r="O228" s="78" t="s">
        <v>1165</v>
      </c>
      <c r="P228" s="1596" t="s">
        <v>4088</v>
      </c>
      <c r="Q228" s="210"/>
    </row>
    <row r="229" spans="1:31" ht="11.45" customHeight="1">
      <c r="B229" s="54"/>
      <c r="C229" s="78"/>
      <c r="D229" s="61" t="s">
        <v>1941</v>
      </c>
      <c r="E229" s="61"/>
      <c r="F229" s="61"/>
      <c r="G229" s="61"/>
      <c r="H229" s="61"/>
      <c r="I229" s="49"/>
      <c r="J229" s="40"/>
      <c r="K229" s="49"/>
      <c r="L229" s="40"/>
      <c r="M229" s="40"/>
      <c r="O229" s="78" t="s">
        <v>1166</v>
      </c>
      <c r="P229" s="1596"/>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3552</v>
      </c>
      <c r="D231" s="61"/>
      <c r="E231" s="61"/>
      <c r="F231" s="61"/>
      <c r="G231" s="61"/>
      <c r="H231" s="61"/>
      <c r="I231" s="61"/>
      <c r="J231" s="61"/>
      <c r="K231" s="49"/>
      <c r="L231" s="61"/>
      <c r="M231" s="61"/>
      <c r="O231" s="654" t="s">
        <v>2831</v>
      </c>
      <c r="P231" s="1596" t="s">
        <v>4118</v>
      </c>
      <c r="Q231" s="210"/>
    </row>
    <row r="232" spans="1:31" ht="11.45" customHeight="1">
      <c r="B232" s="54"/>
      <c r="C232" s="78" t="s">
        <v>2430</v>
      </c>
      <c r="D232" s="47" t="s">
        <v>1678</v>
      </c>
      <c r="E232" s="49"/>
      <c r="F232" s="49"/>
      <c r="G232" s="47"/>
      <c r="H232" s="38"/>
      <c r="I232" s="49"/>
      <c r="J232" s="38"/>
      <c r="K232" s="49"/>
      <c r="L232" s="38"/>
      <c r="M232" s="38"/>
      <c r="O232" s="78" t="s">
        <v>2430</v>
      </c>
      <c r="P232" s="1596" t="s">
        <v>4088</v>
      </c>
      <c r="Q232" s="210"/>
    </row>
    <row r="233" spans="1:31" ht="11.45" customHeight="1">
      <c r="B233" s="54"/>
      <c r="C233" s="78" t="s">
        <v>2431</v>
      </c>
      <c r="D233" s="47" t="s">
        <v>160</v>
      </c>
      <c r="E233" s="49"/>
      <c r="F233" s="49"/>
      <c r="G233" s="38"/>
      <c r="H233" s="38"/>
      <c r="I233" s="49"/>
      <c r="J233" s="38"/>
      <c r="K233" s="49"/>
      <c r="L233" s="38"/>
      <c r="M233" s="38"/>
      <c r="O233" s="78" t="s">
        <v>2431</v>
      </c>
      <c r="P233" s="1596" t="s">
        <v>4088</v>
      </c>
      <c r="Q233" s="210"/>
    </row>
    <row r="234" spans="1:31" ht="11.45" customHeight="1">
      <c r="B234" s="54"/>
      <c r="C234" s="78" t="s">
        <v>2432</v>
      </c>
      <c r="D234" s="38" t="s">
        <v>2319</v>
      </c>
      <c r="E234" s="49"/>
      <c r="F234" s="49"/>
      <c r="G234" s="38"/>
      <c r="H234" s="38"/>
      <c r="I234" s="49"/>
      <c r="J234" s="38"/>
      <c r="K234" s="49"/>
      <c r="L234" s="38"/>
      <c r="M234" s="38"/>
      <c r="O234" s="78" t="s">
        <v>3127</v>
      </c>
      <c r="P234" s="1596" t="s">
        <v>4088</v>
      </c>
      <c r="Q234" s="210"/>
    </row>
    <row r="235" spans="1:31" ht="11.45" customHeight="1">
      <c r="B235" s="44"/>
      <c r="C235" s="49"/>
      <c r="D235" s="38" t="s">
        <v>1719</v>
      </c>
      <c r="E235" s="49"/>
      <c r="F235" s="49"/>
      <c r="G235" s="38"/>
      <c r="H235" s="38"/>
      <c r="I235" s="49"/>
      <c r="J235" s="38"/>
      <c r="K235" s="49"/>
      <c r="L235" s="38"/>
      <c r="M235" s="38"/>
      <c r="O235" s="78" t="s">
        <v>3128</v>
      </c>
      <c r="P235" s="1596"/>
      <c r="Q235" s="210"/>
    </row>
    <row r="236" spans="1:31" ht="11.25" customHeight="1">
      <c r="B236" s="173" t="s">
        <v>2571</v>
      </c>
      <c r="D236" s="173"/>
      <c r="E236" s="173"/>
      <c r="F236" s="173"/>
      <c r="G236" s="173"/>
      <c r="H236" s="813"/>
      <c r="I236" s="162"/>
      <c r="J236" s="162"/>
      <c r="K236" s="162"/>
      <c r="L236" s="804"/>
      <c r="M236" s="804"/>
      <c r="N236" s="804"/>
      <c r="O236" s="804"/>
      <c r="P236" s="804"/>
      <c r="Q236" s="59"/>
    </row>
    <row r="237" spans="1:31" ht="11.45" customHeight="1">
      <c r="A237" s="1600"/>
      <c r="B237" s="1601"/>
      <c r="C237" s="1601"/>
      <c r="D237" s="1601"/>
      <c r="E237" s="1601"/>
      <c r="F237" s="1601"/>
      <c r="G237" s="1601"/>
      <c r="H237" s="1601"/>
      <c r="I237" s="1601"/>
      <c r="J237" s="1601"/>
      <c r="K237" s="1601"/>
      <c r="L237" s="1601"/>
      <c r="M237" s="1601"/>
      <c r="N237" s="1601"/>
      <c r="O237" s="1601"/>
      <c r="P237" s="1601"/>
      <c r="Q237" s="1602"/>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3500</v>
      </c>
      <c r="C241" s="5"/>
      <c r="D241" s="104"/>
      <c r="E241" s="104"/>
      <c r="F241" s="104"/>
      <c r="G241" s="104"/>
      <c r="H241" s="808"/>
      <c r="I241" s="808"/>
      <c r="J241" s="808"/>
      <c r="K241" s="808"/>
      <c r="L241" s="808"/>
      <c r="M241" s="808"/>
      <c r="O241" s="163" t="s">
        <v>2573</v>
      </c>
      <c r="P241" s="1045"/>
      <c r="Q241" s="1046"/>
    </row>
    <row r="242" spans="1:32" ht="4.9000000000000004" customHeight="1"/>
    <row r="243" spans="1:32" ht="11.45" customHeight="1">
      <c r="B243" s="54" t="s">
        <v>2695</v>
      </c>
      <c r="C243" s="61" t="s">
        <v>1693</v>
      </c>
      <c r="D243" s="49"/>
      <c r="E243" s="61"/>
      <c r="F243" s="61"/>
      <c r="G243" s="61"/>
      <c r="H243" s="61"/>
      <c r="I243" s="49"/>
      <c r="J243" s="49"/>
      <c r="K243" s="49"/>
      <c r="L243" s="654" t="s">
        <v>2695</v>
      </c>
      <c r="M243" s="1647" t="s">
        <v>2466</v>
      </c>
      <c r="N243" s="1648"/>
      <c r="O243" s="1649"/>
      <c r="P243" s="1079" t="s">
        <v>2466</v>
      </c>
      <c r="Q243" s="1080"/>
    </row>
    <row r="244" spans="1:32" ht="11.45" customHeight="1">
      <c r="B244" s="54" t="s">
        <v>2698</v>
      </c>
      <c r="C244" s="61" t="s">
        <v>1666</v>
      </c>
      <c r="D244" s="61"/>
      <c r="E244" s="61"/>
      <c r="F244" s="61"/>
      <c r="G244" s="61"/>
      <c r="H244" s="61"/>
      <c r="I244" s="49"/>
      <c r="J244" s="49"/>
      <c r="K244" s="49"/>
      <c r="L244" s="654" t="s">
        <v>2698</v>
      </c>
      <c r="M244" s="1676"/>
      <c r="N244" s="1677"/>
      <c r="O244" s="1678"/>
      <c r="P244" s="1099"/>
      <c r="Q244" s="1100"/>
    </row>
    <row r="245" spans="1:32" s="181" customFormat="1" ht="11.45" customHeight="1">
      <c r="B245" s="54" t="s">
        <v>1054</v>
      </c>
      <c r="C245" s="61" t="s">
        <v>2656</v>
      </c>
      <c r="D245" s="61"/>
      <c r="E245" s="61"/>
      <c r="F245" s="61"/>
      <c r="G245" s="61"/>
      <c r="H245" s="61"/>
      <c r="I245" s="115"/>
      <c r="J245" s="115"/>
      <c r="K245" s="115"/>
      <c r="L245" s="654" t="s">
        <v>1054</v>
      </c>
      <c r="M245" s="1647"/>
      <c r="N245" s="1648"/>
      <c r="O245" s="1649"/>
      <c r="P245" s="1079"/>
      <c r="Q245" s="1080"/>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596"/>
      <c r="Q246" s="210"/>
      <c r="AE246" s="658"/>
      <c r="AF246" s="658"/>
    </row>
    <row r="247" spans="1:32" s="181" customFormat="1" ht="22.15" customHeight="1">
      <c r="B247" s="174" t="s">
        <v>2428</v>
      </c>
      <c r="C247" s="1047" t="s">
        <v>3764</v>
      </c>
      <c r="D247" s="1047"/>
      <c r="E247" s="1047"/>
      <c r="F247" s="1047"/>
      <c r="G247" s="1047"/>
      <c r="H247" s="1047"/>
      <c r="I247" s="1047"/>
      <c r="J247" s="1047"/>
      <c r="K247" s="1047"/>
      <c r="L247" s="1047"/>
      <c r="M247" s="1047"/>
      <c r="N247" s="1047"/>
      <c r="O247" s="199" t="s">
        <v>2428</v>
      </c>
      <c r="P247" s="1596"/>
      <c r="Q247" s="210"/>
      <c r="AE247" s="658"/>
      <c r="AF247" s="658"/>
    </row>
    <row r="248" spans="1:32" ht="11.25" customHeight="1">
      <c r="B248" s="173" t="s">
        <v>2571</v>
      </c>
      <c r="D248" s="173"/>
      <c r="E248" s="173"/>
      <c r="F248" s="173"/>
      <c r="G248" s="173"/>
      <c r="H248" s="813"/>
      <c r="I248" s="162"/>
      <c r="J248" s="162"/>
      <c r="K248" s="162"/>
      <c r="L248" s="804"/>
      <c r="M248" s="804"/>
      <c r="N248" s="804"/>
      <c r="O248" s="804"/>
      <c r="P248" s="804"/>
      <c r="Q248" s="59"/>
    </row>
    <row r="249" spans="1:32" ht="13.15" customHeight="1">
      <c r="A249" s="1600"/>
      <c r="B249" s="1601"/>
      <c r="C249" s="1601"/>
      <c r="D249" s="1601"/>
      <c r="E249" s="1601"/>
      <c r="F249" s="1601"/>
      <c r="G249" s="1601"/>
      <c r="H249" s="1601"/>
      <c r="I249" s="1601"/>
      <c r="J249" s="1601"/>
      <c r="K249" s="1601"/>
      <c r="L249" s="1601"/>
      <c r="M249" s="1601"/>
      <c r="N249" s="1601"/>
      <c r="O249" s="1601"/>
      <c r="P249" s="1601"/>
      <c r="Q249" s="1602"/>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3501</v>
      </c>
      <c r="C253" s="5"/>
      <c r="D253" s="104"/>
      <c r="E253" s="104"/>
      <c r="F253" s="104"/>
      <c r="G253" s="104"/>
      <c r="H253" s="808"/>
      <c r="I253" s="808"/>
      <c r="J253" s="808"/>
      <c r="K253" s="808"/>
      <c r="L253" s="808"/>
      <c r="M253" s="808"/>
      <c r="O253" s="163" t="s">
        <v>2573</v>
      </c>
      <c r="P253" s="1045"/>
      <c r="Q253" s="1046"/>
    </row>
    <row r="254" spans="1:32" ht="3" customHeight="1"/>
    <row r="255" spans="1:32" s="550" customFormat="1" ht="11.25" customHeight="1">
      <c r="B255" s="174" t="s">
        <v>2695</v>
      </c>
      <c r="C255" s="1047" t="s">
        <v>3534</v>
      </c>
      <c r="D255" s="1047"/>
      <c r="E255" s="1047"/>
      <c r="F255" s="1047"/>
      <c r="G255" s="1047"/>
      <c r="H255" s="1047"/>
      <c r="I255" s="1047"/>
      <c r="J255" s="1047"/>
      <c r="K255" s="1047"/>
      <c r="L255" s="1047"/>
      <c r="M255" s="1047"/>
      <c r="N255" s="1047"/>
      <c r="O255" s="199" t="s">
        <v>2695</v>
      </c>
      <c r="P255" s="1646" t="s">
        <v>4088</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596" t="s">
        <v>4088</v>
      </c>
      <c r="Q256" s="210"/>
      <c r="AE256" s="658"/>
      <c r="AF256" s="658"/>
    </row>
    <row r="257" spans="1:32" ht="11.25" customHeight="1">
      <c r="B257" s="173" t="s">
        <v>2571</v>
      </c>
      <c r="D257" s="173"/>
      <c r="E257" s="173"/>
      <c r="F257" s="173"/>
      <c r="G257" s="173"/>
      <c r="H257" s="813"/>
      <c r="I257" s="162"/>
      <c r="J257" s="162"/>
      <c r="K257" s="162"/>
      <c r="L257" s="804"/>
      <c r="M257" s="804"/>
      <c r="N257" s="804"/>
      <c r="O257" s="804"/>
      <c r="P257" s="804"/>
      <c r="Q257" s="59"/>
    </row>
    <row r="258" spans="1:32" ht="13.15" customHeight="1">
      <c r="A258" s="1600"/>
      <c r="B258" s="1601"/>
      <c r="C258" s="1601"/>
      <c r="D258" s="1601"/>
      <c r="E258" s="1601"/>
      <c r="F258" s="1601"/>
      <c r="G258" s="1601"/>
      <c r="H258" s="1601"/>
      <c r="I258" s="1601"/>
      <c r="J258" s="1601"/>
      <c r="K258" s="1601"/>
      <c r="L258" s="1601"/>
      <c r="M258" s="1601"/>
      <c r="N258" s="1601"/>
      <c r="O258" s="1601"/>
      <c r="P258" s="1601"/>
      <c r="Q258" s="1602"/>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3502</v>
      </c>
      <c r="C262" s="810"/>
      <c r="D262" s="808"/>
      <c r="E262" s="808"/>
      <c r="F262" s="808"/>
      <c r="G262" s="808"/>
      <c r="H262" s="808"/>
      <c r="I262" s="808"/>
      <c r="J262" s="808"/>
      <c r="K262" s="808"/>
      <c r="L262" s="808"/>
      <c r="M262" s="808"/>
      <c r="O262" s="163" t="s">
        <v>2573</v>
      </c>
      <c r="P262" s="1045"/>
      <c r="Q262" s="1046"/>
    </row>
    <row r="263" spans="1:32" ht="3" customHeight="1"/>
    <row r="264" spans="1:32" s="550" customFormat="1" ht="24" customHeight="1">
      <c r="B264" s="174" t="s">
        <v>2695</v>
      </c>
      <c r="C264" s="1043" t="s">
        <v>3569</v>
      </c>
      <c r="D264" s="931"/>
      <c r="E264" s="931"/>
      <c r="F264" s="931"/>
      <c r="G264" s="931"/>
      <c r="H264" s="931"/>
      <c r="I264" s="931"/>
      <c r="J264" s="931"/>
      <c r="K264" s="931"/>
      <c r="L264" s="931"/>
      <c r="M264" s="931"/>
      <c r="N264" s="931"/>
      <c r="O264" s="199" t="s">
        <v>2695</v>
      </c>
      <c r="P264" s="1596" t="s">
        <v>4118</v>
      </c>
      <c r="Q264" s="210"/>
      <c r="AE264" s="659"/>
      <c r="AF264" s="659"/>
    </row>
    <row r="265" spans="1:32" s="550" customFormat="1" ht="24" customHeight="1">
      <c r="B265" s="174" t="s">
        <v>2698</v>
      </c>
      <c r="C265" s="1043" t="s">
        <v>3570</v>
      </c>
      <c r="D265" s="931"/>
      <c r="E265" s="931"/>
      <c r="F265" s="931"/>
      <c r="G265" s="931"/>
      <c r="H265" s="931"/>
      <c r="I265" s="931"/>
      <c r="J265" s="931"/>
      <c r="K265" s="931"/>
      <c r="L265" s="931"/>
      <c r="M265" s="931"/>
      <c r="N265" s="931"/>
      <c r="O265" s="199" t="s">
        <v>2698</v>
      </c>
      <c r="P265" s="1596" t="s">
        <v>4118</v>
      </c>
      <c r="Q265" s="210"/>
      <c r="AE265" s="659"/>
      <c r="AF265" s="659"/>
    </row>
    <row r="266" spans="1:32" ht="11.25" customHeight="1">
      <c r="B266" s="173" t="s">
        <v>2571</v>
      </c>
      <c r="D266" s="173"/>
      <c r="E266" s="173"/>
      <c r="F266" s="173"/>
      <c r="G266" s="173"/>
      <c r="H266" s="813"/>
      <c r="I266" s="162"/>
      <c r="J266" s="162"/>
      <c r="K266" s="162"/>
      <c r="L266" s="804"/>
      <c r="M266" s="804"/>
      <c r="N266" s="804"/>
      <c r="O266" s="804"/>
      <c r="P266" s="804"/>
      <c r="Q266" s="59"/>
    </row>
    <row r="267" spans="1:32" ht="13.15" customHeight="1">
      <c r="A267" s="1600"/>
      <c r="B267" s="1601"/>
      <c r="C267" s="1601"/>
      <c r="D267" s="1601"/>
      <c r="E267" s="1601"/>
      <c r="F267" s="1601"/>
      <c r="G267" s="1601"/>
      <c r="H267" s="1601"/>
      <c r="I267" s="1601"/>
      <c r="J267" s="1601"/>
      <c r="K267" s="1601"/>
      <c r="L267" s="1601"/>
      <c r="M267" s="1601"/>
      <c r="N267" s="1601"/>
      <c r="O267" s="1601"/>
      <c r="P267" s="1601"/>
      <c r="Q267" s="1602"/>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3503</v>
      </c>
      <c r="C271" s="182"/>
      <c r="D271" s="809"/>
      <c r="E271" s="808"/>
      <c r="F271" s="808"/>
      <c r="G271" s="808"/>
      <c r="H271" s="808"/>
      <c r="I271" s="808"/>
      <c r="J271" s="808"/>
      <c r="K271" s="808"/>
      <c r="L271" s="808"/>
      <c r="M271" s="808"/>
      <c r="O271" s="163" t="s">
        <v>2573</v>
      </c>
      <c r="P271" s="1045"/>
      <c r="Q271" s="1046"/>
    </row>
    <row r="272" spans="1:32" s="181" customFormat="1" ht="46.5" customHeight="1">
      <c r="B272" s="174" t="s">
        <v>2695</v>
      </c>
      <c r="C272" s="183" t="s">
        <v>2430</v>
      </c>
      <c r="D272" s="1043" t="s">
        <v>3679</v>
      </c>
      <c r="E272" s="1043"/>
      <c r="F272" s="1043"/>
      <c r="G272" s="1043"/>
      <c r="H272" s="1043"/>
      <c r="I272" s="1043"/>
      <c r="J272" s="1043"/>
      <c r="K272" s="1043"/>
      <c r="L272" s="1043"/>
      <c r="M272" s="1043"/>
      <c r="N272" s="1043"/>
      <c r="O272" s="199" t="s">
        <v>3682</v>
      </c>
      <c r="P272" s="1646" t="s">
        <v>4088</v>
      </c>
      <c r="Q272" s="210"/>
      <c r="AE272" s="658"/>
      <c r="AF272" s="658"/>
    </row>
    <row r="273" spans="1:256 1523:1523" s="115" customFormat="1" ht="12.75" customHeight="1">
      <c r="B273" s="54"/>
      <c r="C273" s="78" t="s">
        <v>2431</v>
      </c>
      <c r="D273" s="1044" t="s">
        <v>3637</v>
      </c>
      <c r="E273" s="1044"/>
      <c r="F273" s="1044"/>
      <c r="G273" s="1044"/>
      <c r="H273" s="1044"/>
      <c r="I273" s="1044"/>
      <c r="J273" s="1044"/>
      <c r="K273" s="1044"/>
      <c r="L273" s="1044"/>
      <c r="M273" s="1044"/>
      <c r="N273" s="1044"/>
      <c r="O273" s="78" t="s">
        <v>2431</v>
      </c>
      <c r="P273" s="1596" t="s">
        <v>4088</v>
      </c>
      <c r="Q273" s="210"/>
      <c r="AE273" s="660"/>
      <c r="AF273" s="660"/>
    </row>
    <row r="274" spans="1:256 1523:1523" s="115" customFormat="1" ht="22.5" customHeight="1">
      <c r="B274" s="174" t="s">
        <v>2698</v>
      </c>
      <c r="C274" s="183" t="s">
        <v>2430</v>
      </c>
      <c r="D274" s="1043" t="s">
        <v>3680</v>
      </c>
      <c r="E274" s="1043"/>
      <c r="F274" s="1043"/>
      <c r="G274" s="1043"/>
      <c r="H274" s="1043"/>
      <c r="I274" s="1043"/>
      <c r="J274" s="1043"/>
      <c r="K274" s="1043"/>
      <c r="L274" s="1043"/>
      <c r="M274" s="1043"/>
      <c r="N274" s="1043"/>
      <c r="O274" s="654" t="s">
        <v>3683</v>
      </c>
      <c r="P274" s="1596" t="s">
        <v>4088</v>
      </c>
      <c r="Q274" s="210"/>
      <c r="AE274" s="660"/>
      <c r="AF274" s="660"/>
    </row>
    <row r="275" spans="1:256 1523:1523" s="115" customFormat="1" ht="12" customHeight="1">
      <c r="B275" s="174"/>
      <c r="C275" s="183" t="s">
        <v>2431</v>
      </c>
      <c r="D275" s="1043" t="s">
        <v>3681</v>
      </c>
      <c r="E275" s="1043"/>
      <c r="F275" s="1043"/>
      <c r="G275" s="1043"/>
      <c r="H275" s="1043"/>
      <c r="I275" s="1043"/>
      <c r="J275" s="1043"/>
      <c r="K275" s="1043"/>
      <c r="L275" s="1043"/>
      <c r="M275" s="1043"/>
      <c r="N275" s="1043"/>
      <c r="O275" s="78" t="s">
        <v>2431</v>
      </c>
      <c r="P275" s="1679" t="s">
        <v>4088</v>
      </c>
      <c r="Q275" s="679"/>
      <c r="AE275" s="660"/>
      <c r="AF275" s="660"/>
    </row>
    <row r="276" spans="1:256 1523:1523" s="550" customFormat="1" ht="35.25" customHeight="1">
      <c r="B276" s="174" t="s">
        <v>1054</v>
      </c>
      <c r="C276" s="183"/>
      <c r="D276" s="1043" t="s">
        <v>3684</v>
      </c>
      <c r="E276" s="1043"/>
      <c r="F276" s="1043"/>
      <c r="G276" s="1043"/>
      <c r="H276" s="1043"/>
      <c r="I276" s="1043"/>
      <c r="J276" s="1043"/>
      <c r="K276" s="1043"/>
      <c r="L276" s="1043"/>
      <c r="M276" s="1043"/>
      <c r="N276" s="1043"/>
      <c r="O276" s="199" t="s">
        <v>1054</v>
      </c>
      <c r="P276" s="1646" t="s">
        <v>4088</v>
      </c>
      <c r="Q276" s="323"/>
      <c r="AE276" s="659"/>
      <c r="AF276" s="659"/>
    </row>
    <row r="277" spans="1:256 1523:1523" ht="11.25" customHeight="1">
      <c r="B277" s="173" t="s">
        <v>2571</v>
      </c>
      <c r="D277" s="173"/>
      <c r="E277" s="173"/>
      <c r="F277" s="173"/>
      <c r="G277" s="173"/>
      <c r="H277" s="813"/>
      <c r="I277" s="162"/>
      <c r="J277" s="162"/>
      <c r="K277" s="162"/>
      <c r="L277" s="804"/>
      <c r="M277" s="804"/>
      <c r="N277" s="804"/>
      <c r="O277" s="804"/>
      <c r="P277" s="804"/>
      <c r="Q277" s="59"/>
    </row>
    <row r="278" spans="1:256 1523:1523" ht="11.45" customHeight="1">
      <c r="A278" s="1600"/>
      <c r="B278" s="1601"/>
      <c r="C278" s="1601"/>
      <c r="D278" s="1601"/>
      <c r="E278" s="1601"/>
      <c r="F278" s="1601"/>
      <c r="G278" s="1601"/>
      <c r="H278" s="1601"/>
      <c r="I278" s="1601"/>
      <c r="J278" s="1601"/>
      <c r="K278" s="1601"/>
      <c r="L278" s="1601"/>
      <c r="M278" s="1601"/>
      <c r="N278" s="1601"/>
      <c r="O278" s="1601"/>
      <c r="P278" s="1601"/>
      <c r="Q278" s="1602"/>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3504</v>
      </c>
      <c r="C281" s="11"/>
      <c r="D281" s="11"/>
      <c r="E281" s="11"/>
      <c r="F281" s="11"/>
      <c r="G281" s="11"/>
      <c r="H281" s="808"/>
      <c r="I281" s="808"/>
      <c r="J281" s="808"/>
      <c r="K281" s="808"/>
      <c r="L281" s="808"/>
      <c r="M281" s="808"/>
      <c r="O281" s="163" t="s">
        <v>2573</v>
      </c>
      <c r="P281" s="1101"/>
      <c r="Q281" s="1102"/>
    </row>
    <row r="282" spans="1:256 1523:1523" ht="11.45" customHeight="1">
      <c r="B282" s="177" t="s">
        <v>2981</v>
      </c>
      <c r="P282" s="1596" t="s">
        <v>4087</v>
      </c>
      <c r="Q282" s="210"/>
    </row>
    <row r="283" spans="1:256 1523:1523" ht="12" customHeight="1">
      <c r="B283" s="179" t="s">
        <v>2934</v>
      </c>
      <c r="C283" s="179"/>
      <c r="D283" s="179"/>
      <c r="E283" s="179"/>
      <c r="F283" s="179"/>
      <c r="G283" s="179"/>
      <c r="H283" s="179"/>
      <c r="I283" s="179"/>
      <c r="J283" s="179"/>
      <c r="K283" s="179"/>
      <c r="L283" s="179"/>
      <c r="P283" s="1596" t="s">
        <v>4088</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43" t="s">
        <v>3585</v>
      </c>
      <c r="D285" s="1043"/>
      <c r="E285" s="1043"/>
      <c r="F285" s="1043"/>
      <c r="G285" s="1043"/>
      <c r="H285" s="1043"/>
      <c r="I285" s="1043"/>
      <c r="J285" s="1043"/>
      <c r="K285" s="1043"/>
      <c r="L285" s="1043"/>
      <c r="M285" s="1043"/>
      <c r="N285" s="1043"/>
      <c r="O285" s="199" t="s">
        <v>2695</v>
      </c>
      <c r="P285" s="1646"/>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2698</v>
      </c>
      <c r="C287" s="1110" t="s">
        <v>587</v>
      </c>
      <c r="D287" s="1110"/>
      <c r="E287" s="1110"/>
      <c r="F287" s="1110"/>
      <c r="G287" s="1110"/>
      <c r="H287" s="1110"/>
      <c r="I287" s="1110"/>
      <c r="J287" s="1110"/>
      <c r="K287" s="1110"/>
      <c r="L287" s="1110"/>
      <c r="M287" s="1110"/>
      <c r="O287" s="199" t="s">
        <v>2698</v>
      </c>
      <c r="P287" s="804"/>
      <c r="Q287" s="59"/>
    </row>
    <row r="288" spans="1:256 1523:1523" ht="23.25" customHeight="1">
      <c r="A288" s="176"/>
      <c r="C288" s="269" t="s">
        <v>2430</v>
      </c>
      <c r="D288" s="270" t="s">
        <v>1541</v>
      </c>
      <c r="E288" s="164"/>
      <c r="F288" s="164"/>
      <c r="G288" s="1680" t="s">
        <v>1888</v>
      </c>
      <c r="H288" s="1681"/>
      <c r="I288" s="1681"/>
      <c r="J288" s="1681"/>
      <c r="K288" s="1681"/>
      <c r="L288" s="1681"/>
      <c r="M288" s="1681"/>
      <c r="N288" s="1682"/>
      <c r="O288" s="273" t="s">
        <v>2430</v>
      </c>
      <c r="P288" s="1646" t="s">
        <v>4088</v>
      </c>
      <c r="Q288" s="323"/>
      <c r="BFO288" s="181" t="s">
        <v>3685</v>
      </c>
    </row>
    <row r="289" spans="1:256" ht="23.25" customHeight="1">
      <c r="A289" s="176"/>
      <c r="C289" s="269" t="s">
        <v>2431</v>
      </c>
      <c r="D289" s="1047" t="s">
        <v>1542</v>
      </c>
      <c r="E289" s="1094"/>
      <c r="F289" s="1095"/>
      <c r="G289" s="1673" t="s">
        <v>3486</v>
      </c>
      <c r="H289" s="1683"/>
      <c r="I289" s="1683"/>
      <c r="J289" s="1683"/>
      <c r="K289" s="1683"/>
      <c r="L289" s="1683"/>
      <c r="M289" s="1683"/>
      <c r="N289" s="1684"/>
      <c r="O289" s="273" t="s">
        <v>2431</v>
      </c>
      <c r="P289" s="1646" t="s">
        <v>4088</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3524</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0"/>
      <c r="E292" s="1671"/>
      <c r="F292" s="1671"/>
      <c r="G292" s="1671"/>
      <c r="H292" s="1671"/>
      <c r="I292" s="1671"/>
      <c r="J292" s="1671"/>
      <c r="K292" s="1671"/>
      <c r="L292" s="1671"/>
      <c r="M292" s="1671"/>
      <c r="N292" s="1672"/>
      <c r="O292" s="273" t="s">
        <v>2430</v>
      </c>
      <c r="P292" s="1646"/>
      <c r="Q292" s="323"/>
      <c r="AE292" s="657"/>
      <c r="AF292" s="657"/>
    </row>
    <row r="293" spans="1:256" s="164" customFormat="1" ht="11.25" customHeight="1">
      <c r="A293" s="176"/>
      <c r="C293" s="269" t="s">
        <v>2431</v>
      </c>
      <c r="D293" s="1673"/>
      <c r="E293" s="1674"/>
      <c r="F293" s="1674"/>
      <c r="G293" s="1674"/>
      <c r="H293" s="1674"/>
      <c r="I293" s="1674"/>
      <c r="J293" s="1674"/>
      <c r="K293" s="1674"/>
      <c r="L293" s="1674"/>
      <c r="M293" s="1674"/>
      <c r="N293" s="1675"/>
      <c r="O293" s="273" t="s">
        <v>2431</v>
      </c>
      <c r="P293" s="1646"/>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2571</v>
      </c>
      <c r="D295" s="173"/>
      <c r="E295" s="173"/>
      <c r="F295" s="173"/>
      <c r="G295" s="173"/>
      <c r="H295" s="813"/>
      <c r="I295" s="162"/>
      <c r="J295" s="162"/>
      <c r="K295" s="162"/>
      <c r="L295" s="804"/>
      <c r="M295" s="804"/>
      <c r="N295" s="804"/>
      <c r="O295" s="804"/>
      <c r="P295" s="804"/>
      <c r="Q295" s="59"/>
    </row>
    <row r="296" spans="1:256" ht="11.45" customHeight="1">
      <c r="A296" s="1600"/>
      <c r="B296" s="1601"/>
      <c r="C296" s="1601"/>
      <c r="D296" s="1601"/>
      <c r="E296" s="1601"/>
      <c r="F296" s="1601"/>
      <c r="G296" s="1601"/>
      <c r="H296" s="1601"/>
      <c r="I296" s="1601"/>
      <c r="J296" s="1601"/>
      <c r="K296" s="1601"/>
      <c r="L296" s="1601"/>
      <c r="M296" s="1601"/>
      <c r="N296" s="1601"/>
      <c r="O296" s="1601"/>
      <c r="P296" s="1601"/>
      <c r="Q296" s="1602"/>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3505</v>
      </c>
      <c r="C300" s="810"/>
      <c r="D300" s="808"/>
      <c r="E300" s="808"/>
      <c r="F300" s="808"/>
      <c r="G300" s="808"/>
      <c r="H300" s="808"/>
      <c r="O300" s="163" t="s">
        <v>2573</v>
      </c>
      <c r="P300" s="1045"/>
      <c r="Q300" s="1046"/>
    </row>
    <row r="301" spans="1:256" ht="3" customHeight="1"/>
    <row r="302" spans="1:256" ht="11.45" customHeight="1">
      <c r="B302" s="177" t="s">
        <v>3084</v>
      </c>
      <c r="P302" s="1596" t="s">
        <v>4088</v>
      </c>
      <c r="Q302" s="210"/>
    </row>
    <row r="303" spans="1:256" ht="11.45" customHeight="1">
      <c r="B303" s="177" t="s">
        <v>3085</v>
      </c>
      <c r="P303" s="1596" t="s">
        <v>4087</v>
      </c>
      <c r="Q303" s="210"/>
    </row>
    <row r="304" spans="1:256" ht="11.45" customHeight="1">
      <c r="B304" s="177" t="s">
        <v>774</v>
      </c>
      <c r="L304" s="1685" t="s">
        <v>4138</v>
      </c>
      <c r="M304" s="1686"/>
      <c r="N304" s="1686"/>
      <c r="O304" s="1687"/>
    </row>
    <row r="305" spans="1:31" ht="11.45" customHeight="1">
      <c r="B305" s="542" t="s">
        <v>3086</v>
      </c>
      <c r="L305" s="1096"/>
      <c r="M305" s="1097"/>
      <c r="N305" s="1097"/>
      <c r="O305" s="1098"/>
    </row>
    <row r="306" spans="1:31" ht="11.25" customHeight="1">
      <c r="B306" s="173" t="s">
        <v>2571</v>
      </c>
      <c r="D306" s="173"/>
      <c r="E306" s="173"/>
      <c r="F306" s="173"/>
      <c r="G306" s="173"/>
      <c r="H306" s="813"/>
      <c r="I306" s="162"/>
      <c r="J306" s="162"/>
      <c r="K306" s="162"/>
      <c r="L306" s="804"/>
      <c r="M306" s="804"/>
      <c r="N306" s="804"/>
      <c r="O306" s="804"/>
      <c r="P306" s="804"/>
      <c r="Q306" s="59"/>
    </row>
    <row r="307" spans="1:31" ht="13.15" customHeight="1">
      <c r="A307" s="1600"/>
      <c r="B307" s="1601"/>
      <c r="C307" s="1601"/>
      <c r="D307" s="1601"/>
      <c r="E307" s="1601"/>
      <c r="F307" s="1601"/>
      <c r="G307" s="1601"/>
      <c r="H307" s="1601"/>
      <c r="I307" s="1601"/>
      <c r="J307" s="1601"/>
      <c r="K307" s="1601"/>
      <c r="L307" s="1601"/>
      <c r="M307" s="1601"/>
      <c r="N307" s="1601"/>
      <c r="O307" s="1601"/>
      <c r="P307" s="1601"/>
      <c r="Q307" s="1602"/>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3506</v>
      </c>
      <c r="C311" s="5"/>
      <c r="D311" s="104"/>
      <c r="E311" s="808"/>
      <c r="F311" s="808"/>
      <c r="G311" s="808"/>
      <c r="H311" s="808"/>
      <c r="I311" s="808"/>
      <c r="J311" s="808"/>
      <c r="K311" s="808"/>
      <c r="L311" s="808"/>
      <c r="M311" s="808"/>
      <c r="O311" s="163" t="s">
        <v>2573</v>
      </c>
      <c r="P311" s="1045"/>
      <c r="Q311" s="1046"/>
    </row>
    <row r="312" spans="1:31" ht="3" customHeight="1"/>
    <row r="313" spans="1:31" ht="22.15" customHeight="1">
      <c r="B313" s="174" t="s">
        <v>2695</v>
      </c>
      <c r="C313" s="1047" t="s">
        <v>3765</v>
      </c>
      <c r="D313" s="1047"/>
      <c r="E313" s="1047"/>
      <c r="F313" s="1047"/>
      <c r="G313" s="1047"/>
      <c r="H313" s="1047"/>
      <c r="I313" s="1047"/>
      <c r="J313" s="1047"/>
      <c r="K313" s="1047"/>
      <c r="L313" s="1047"/>
      <c r="M313" s="1047"/>
      <c r="N313" s="1047"/>
      <c r="O313" s="199" t="s">
        <v>2695</v>
      </c>
      <c r="P313" s="1596" t="s">
        <v>4088</v>
      </c>
      <c r="Q313" s="210"/>
    </row>
    <row r="314" spans="1:31" ht="11.45" customHeight="1">
      <c r="B314" s="174" t="s">
        <v>2698</v>
      </c>
      <c r="C314" s="1047" t="s">
        <v>3766</v>
      </c>
      <c r="D314" s="1047"/>
      <c r="E314" s="1047"/>
      <c r="F314" s="1047"/>
      <c r="G314" s="1047"/>
      <c r="H314" s="1047"/>
      <c r="I314" s="1047"/>
      <c r="J314" s="1047"/>
      <c r="K314" s="1047"/>
      <c r="L314" s="1047"/>
      <c r="M314" s="1047"/>
      <c r="N314" s="1047"/>
      <c r="O314" s="199" t="s">
        <v>2698</v>
      </c>
      <c r="P314" s="1596" t="s">
        <v>4087</v>
      </c>
      <c r="Q314" s="210"/>
    </row>
    <row r="315" spans="1:31" ht="11.45" customHeight="1">
      <c r="B315" s="174" t="s">
        <v>1054</v>
      </c>
      <c r="C315" s="179" t="s">
        <v>3525</v>
      </c>
      <c r="D315" s="179"/>
      <c r="E315" s="179"/>
      <c r="F315" s="179"/>
      <c r="G315" s="179"/>
      <c r="H315" s="179"/>
      <c r="I315" s="179"/>
      <c r="J315" s="179"/>
      <c r="K315" s="179"/>
      <c r="L315" s="179"/>
      <c r="M315" s="179"/>
      <c r="O315" s="199" t="s">
        <v>1054</v>
      </c>
      <c r="P315" s="1596" t="s">
        <v>4087</v>
      </c>
      <c r="Q315" s="210"/>
    </row>
    <row r="316" spans="1:31">
      <c r="B316" s="174" t="s">
        <v>2831</v>
      </c>
      <c r="C316" s="1047" t="s">
        <v>3961</v>
      </c>
      <c r="D316" s="1047"/>
      <c r="E316" s="1047"/>
      <c r="F316" s="1047"/>
      <c r="G316" s="1047"/>
      <c r="H316" s="1047"/>
      <c r="I316" s="1047"/>
      <c r="J316" s="1047"/>
      <c r="K316" s="1047"/>
      <c r="L316" s="1047"/>
      <c r="M316" s="1047"/>
      <c r="N316" s="1047"/>
      <c r="O316" s="199" t="s">
        <v>2831</v>
      </c>
      <c r="P316" s="1596" t="s">
        <v>4087</v>
      </c>
      <c r="Q316" s="210"/>
    </row>
    <row r="317" spans="1:31" ht="11.25" customHeight="1">
      <c r="B317" s="173" t="s">
        <v>2571</v>
      </c>
      <c r="D317" s="173"/>
      <c r="E317" s="173"/>
      <c r="F317" s="173"/>
      <c r="G317" s="173"/>
      <c r="H317" s="813"/>
      <c r="I317" s="162"/>
      <c r="J317" s="162"/>
      <c r="K317" s="162"/>
      <c r="L317" s="804"/>
      <c r="M317" s="804"/>
      <c r="N317" s="804"/>
      <c r="O317" s="804"/>
      <c r="P317" s="804"/>
      <c r="Q317" s="59"/>
    </row>
    <row r="318" spans="1:31" ht="22.5" customHeight="1">
      <c r="A318" s="1600" t="s">
        <v>4139</v>
      </c>
      <c r="B318" s="1601"/>
      <c r="C318" s="1601"/>
      <c r="D318" s="1601"/>
      <c r="E318" s="1601"/>
      <c r="F318" s="1601"/>
      <c r="G318" s="1601"/>
      <c r="H318" s="1601"/>
      <c r="I318" s="1601"/>
      <c r="J318" s="1601"/>
      <c r="K318" s="1601"/>
      <c r="L318" s="1601"/>
      <c r="M318" s="1601"/>
      <c r="N318" s="1601"/>
      <c r="O318" s="1601"/>
      <c r="P318" s="1601"/>
      <c r="Q318" s="1602"/>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3559</v>
      </c>
      <c r="C322" s="5"/>
      <c r="D322" s="5"/>
      <c r="E322" s="5"/>
      <c r="F322" s="5"/>
      <c r="G322" s="5"/>
      <c r="H322" s="808"/>
      <c r="I322" s="808"/>
      <c r="J322" s="808"/>
      <c r="K322" s="808"/>
      <c r="L322" s="808"/>
      <c r="M322" s="808"/>
      <c r="O322" s="163" t="s">
        <v>2573</v>
      </c>
      <c r="P322" s="1045"/>
      <c r="Q322" s="1046"/>
    </row>
    <row r="323" spans="1:32" ht="12" customHeight="1">
      <c r="B323" s="54" t="s">
        <v>2695</v>
      </c>
      <c r="C323" s="143" t="s">
        <v>3554</v>
      </c>
      <c r="D323" s="814"/>
      <c r="E323" s="814"/>
      <c r="F323" s="814"/>
      <c r="G323" s="814"/>
      <c r="H323" s="814"/>
      <c r="I323" s="49"/>
      <c r="J323" s="654" t="s">
        <v>2695</v>
      </c>
      <c r="K323" s="1661"/>
      <c r="L323" s="1662"/>
      <c r="M323" s="1662"/>
      <c r="N323" s="1662"/>
      <c r="O323" s="1662"/>
      <c r="P323" s="1663"/>
      <c r="Q323" s="210"/>
    </row>
    <row r="324" spans="1:32" ht="22.5" customHeight="1">
      <c r="B324" s="174" t="s">
        <v>2698</v>
      </c>
      <c r="C324" s="1028" t="s">
        <v>3553</v>
      </c>
      <c r="D324" s="1028"/>
      <c r="E324" s="1028"/>
      <c r="F324" s="1028"/>
      <c r="G324" s="1028"/>
      <c r="H324" s="1028"/>
      <c r="I324" s="1028"/>
      <c r="J324" s="1028"/>
      <c r="K324" s="1028"/>
      <c r="L324" s="1028"/>
      <c r="M324" s="1028"/>
      <c r="N324" s="1028"/>
      <c r="O324" s="199" t="s">
        <v>2698</v>
      </c>
      <c r="P324" s="1646" t="s">
        <v>4087</v>
      </c>
      <c r="Q324" s="210"/>
    </row>
    <row r="325" spans="1:32" ht="11.45" customHeight="1">
      <c r="B325" s="54" t="s">
        <v>1054</v>
      </c>
      <c r="C325" s="61" t="s">
        <v>3555</v>
      </c>
      <c r="D325" s="61"/>
      <c r="E325" s="61"/>
      <c r="F325" s="61"/>
      <c r="G325" s="61"/>
      <c r="H325" s="61"/>
      <c r="I325" s="61"/>
      <c r="J325" s="61"/>
      <c r="K325" s="61"/>
      <c r="L325" s="38"/>
      <c r="M325" s="38"/>
      <c r="O325" s="654" t="s">
        <v>1054</v>
      </c>
      <c r="P325" s="1596"/>
      <c r="Q325" s="210"/>
    </row>
    <row r="326" spans="1:32" ht="11.45" customHeight="1">
      <c r="B326" s="54" t="s">
        <v>2831</v>
      </c>
      <c r="C326" s="61" t="s">
        <v>3556</v>
      </c>
      <c r="D326" s="61"/>
      <c r="E326" s="61"/>
      <c r="F326" s="61"/>
      <c r="G326" s="61"/>
      <c r="H326" s="61"/>
      <c r="I326" s="61"/>
      <c r="J326" s="61"/>
      <c r="K326" s="61"/>
      <c r="L326" s="61"/>
      <c r="M326" s="61"/>
      <c r="O326" s="654" t="s">
        <v>2831</v>
      </c>
      <c r="P326" s="1596"/>
      <c r="Q326" s="210"/>
    </row>
    <row r="327" spans="1:32" s="164" customFormat="1" ht="11.45" customHeight="1">
      <c r="B327" s="174" t="s">
        <v>2428</v>
      </c>
      <c r="C327" s="1047" t="s">
        <v>3561</v>
      </c>
      <c r="D327" s="1047"/>
      <c r="E327" s="1047"/>
      <c r="F327" s="1047"/>
      <c r="G327" s="1047"/>
      <c r="H327" s="1047"/>
      <c r="I327" s="1047"/>
      <c r="J327" s="1047"/>
      <c r="K327" s="1047"/>
      <c r="L327" s="1047"/>
      <c r="M327" s="1047"/>
      <c r="N327" s="1047"/>
      <c r="O327" s="199" t="s">
        <v>2428</v>
      </c>
      <c r="P327" s="1646"/>
      <c r="Q327" s="323"/>
      <c r="AE327" s="657"/>
      <c r="AF327" s="657"/>
    </row>
    <row r="328" spans="1:32" s="164" customFormat="1" ht="11.45" customHeight="1">
      <c r="B328" s="174" t="s">
        <v>2429</v>
      </c>
      <c r="C328" s="1047" t="s">
        <v>3571</v>
      </c>
      <c r="D328" s="1047"/>
      <c r="E328" s="1047"/>
      <c r="F328" s="1047"/>
      <c r="G328" s="1047"/>
      <c r="H328" s="1047"/>
      <c r="I328" s="1047"/>
      <c r="J328" s="1047"/>
      <c r="K328" s="1047"/>
      <c r="L328" s="1047"/>
      <c r="M328" s="1047"/>
      <c r="N328" s="1047"/>
      <c r="O328" s="199" t="s">
        <v>2429</v>
      </c>
      <c r="P328" s="1646"/>
      <c r="Q328" s="323"/>
      <c r="AE328" s="657"/>
      <c r="AF328" s="657"/>
    </row>
    <row r="329" spans="1:32" ht="11.45" customHeight="1">
      <c r="B329" s="54" t="s">
        <v>2658</v>
      </c>
      <c r="C329" s="61" t="s">
        <v>3557</v>
      </c>
      <c r="D329" s="61"/>
      <c r="E329" s="61"/>
      <c r="F329" s="61"/>
      <c r="G329" s="61"/>
      <c r="H329" s="61"/>
      <c r="I329" s="61"/>
      <c r="J329" s="61"/>
      <c r="K329" s="61"/>
      <c r="L329" s="61"/>
      <c r="M329" s="61"/>
      <c r="O329" s="654" t="s">
        <v>2658</v>
      </c>
      <c r="P329" s="1596"/>
      <c r="Q329" s="210"/>
    </row>
    <row r="330" spans="1:32" ht="11.25" customHeight="1">
      <c r="B330" s="173" t="s">
        <v>2571</v>
      </c>
      <c r="D330" s="173"/>
      <c r="E330" s="173"/>
      <c r="F330" s="173"/>
      <c r="G330" s="173"/>
      <c r="H330" s="813"/>
      <c r="I330" s="162"/>
      <c r="J330" s="162"/>
      <c r="K330" s="162"/>
      <c r="L330" s="804"/>
      <c r="M330" s="804"/>
      <c r="N330" s="804"/>
      <c r="O330" s="804"/>
      <c r="P330" s="804"/>
      <c r="Q330" s="59"/>
    </row>
    <row r="331" spans="1:32" ht="11.45" customHeight="1">
      <c r="A331" s="1600"/>
      <c r="B331" s="1601"/>
      <c r="C331" s="1601"/>
      <c r="D331" s="1601"/>
      <c r="E331" s="1601"/>
      <c r="F331" s="1601"/>
      <c r="G331" s="1601"/>
      <c r="H331" s="1601"/>
      <c r="I331" s="1601"/>
      <c r="J331" s="1601"/>
      <c r="K331" s="1601"/>
      <c r="L331" s="1601"/>
      <c r="M331" s="1601"/>
      <c r="N331" s="1601"/>
      <c r="O331" s="1601"/>
      <c r="P331" s="1601"/>
      <c r="Q331" s="1602"/>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3581</v>
      </c>
      <c r="C335" s="5"/>
      <c r="D335" s="5"/>
      <c r="E335" s="5"/>
      <c r="F335" s="5"/>
      <c r="G335" s="5"/>
      <c r="H335" s="808"/>
      <c r="I335" s="808"/>
      <c r="J335" s="808"/>
      <c r="O335" s="163" t="s">
        <v>2573</v>
      </c>
      <c r="P335" s="1045"/>
      <c r="Q335" s="1046"/>
    </row>
    <row r="336" spans="1:32" ht="13.9" customHeight="1">
      <c r="A336" s="810"/>
      <c r="B336" s="131" t="s">
        <v>3511</v>
      </c>
      <c r="C336" s="5"/>
      <c r="D336" s="5"/>
      <c r="E336" s="5"/>
      <c r="F336" s="5"/>
      <c r="G336" s="5"/>
      <c r="H336" s="808"/>
      <c r="I336" s="808"/>
      <c r="J336" s="808"/>
      <c r="S336" s="691" t="s">
        <v>3742</v>
      </c>
    </row>
    <row r="337" spans="2:32" ht="11.45" customHeight="1">
      <c r="B337" s="136" t="s">
        <v>2695</v>
      </c>
      <c r="C337" s="542" t="s">
        <v>3513</v>
      </c>
      <c r="D337" s="64"/>
      <c r="E337" s="814"/>
      <c r="F337" s="814"/>
      <c r="G337" s="814"/>
      <c r="H337" s="814"/>
      <c r="I337" s="49"/>
      <c r="O337" s="654" t="s">
        <v>2695</v>
      </c>
      <c r="S337" s="693" t="str">
        <f>IF(OR(P338="Yes",P339="Yes",P340="Yes",P341="Yes",P342="Yes",P343="Yes",P344="Yes"), "Yes","")</f>
        <v/>
      </c>
    </row>
    <row r="338" spans="2:32" s="164" customFormat="1" ht="11.25" customHeight="1">
      <c r="B338" s="183" t="s">
        <v>2430</v>
      </c>
      <c r="C338" s="1074" t="s">
        <v>3748</v>
      </c>
      <c r="D338" s="1074"/>
      <c r="E338" s="1074"/>
      <c r="F338" s="1074"/>
      <c r="G338" s="1074"/>
      <c r="H338" s="1074"/>
      <c r="I338" s="1074"/>
      <c r="J338" s="1074"/>
      <c r="K338" s="1074"/>
      <c r="L338" s="1074"/>
      <c r="M338" s="1074"/>
      <c r="N338" s="1074"/>
      <c r="O338" s="183" t="s">
        <v>2430</v>
      </c>
      <c r="P338" s="1646"/>
      <c r="Q338" s="323"/>
      <c r="AE338" s="657"/>
      <c r="AF338" s="657"/>
    </row>
    <row r="339" spans="2:32" s="164" customFormat="1" ht="21.75" customHeight="1">
      <c r="B339" s="183" t="s">
        <v>2431</v>
      </c>
      <c r="C339" s="1074" t="s">
        <v>3512</v>
      </c>
      <c r="D339" s="1074"/>
      <c r="E339" s="1074"/>
      <c r="F339" s="1074"/>
      <c r="G339" s="1074"/>
      <c r="H339" s="1074"/>
      <c r="I339" s="1074"/>
      <c r="J339" s="1074"/>
      <c r="K339" s="1074"/>
      <c r="L339" s="1074"/>
      <c r="M339" s="1074"/>
      <c r="N339" s="1074"/>
      <c r="O339" s="183" t="s">
        <v>2431</v>
      </c>
      <c r="P339" s="1646"/>
      <c r="Q339" s="323"/>
      <c r="AE339" s="657"/>
      <c r="AF339" s="657"/>
    </row>
    <row r="340" spans="2:32" s="164" customFormat="1" ht="21.75" customHeight="1">
      <c r="B340" s="183" t="s">
        <v>2432</v>
      </c>
      <c r="C340" s="1043" t="s">
        <v>3737</v>
      </c>
      <c r="D340" s="1043"/>
      <c r="E340" s="1043"/>
      <c r="F340" s="1043"/>
      <c r="G340" s="1043"/>
      <c r="H340" s="1043"/>
      <c r="I340" s="1043"/>
      <c r="J340" s="1043"/>
      <c r="K340" s="1043"/>
      <c r="L340" s="1043"/>
      <c r="M340" s="1043"/>
      <c r="N340" s="1043"/>
      <c r="O340" s="183" t="s">
        <v>2432</v>
      </c>
      <c r="P340" s="1646"/>
      <c r="Q340" s="323"/>
      <c r="AE340" s="657"/>
      <c r="AF340" s="657"/>
    </row>
    <row r="341" spans="2:32" s="164" customFormat="1" ht="21.75" customHeight="1">
      <c r="B341" s="183" t="s">
        <v>3121</v>
      </c>
      <c r="C341" s="1043" t="s">
        <v>3738</v>
      </c>
      <c r="D341" s="1043"/>
      <c r="E341" s="1043"/>
      <c r="F341" s="1043"/>
      <c r="G341" s="1043"/>
      <c r="H341" s="1043"/>
      <c r="I341" s="1043"/>
      <c r="J341" s="1043"/>
      <c r="K341" s="1043"/>
      <c r="L341" s="1043"/>
      <c r="M341" s="1043"/>
      <c r="N341" s="1043"/>
      <c r="O341" s="183" t="s">
        <v>3121</v>
      </c>
      <c r="P341" s="1646"/>
      <c r="Q341" s="323"/>
      <c r="AE341" s="657"/>
      <c r="AF341" s="657"/>
    </row>
    <row r="342" spans="2:32" s="164" customFormat="1" ht="33.75" customHeight="1">
      <c r="B342" s="183" t="s">
        <v>2009</v>
      </c>
      <c r="C342" s="1043" t="s">
        <v>3739</v>
      </c>
      <c r="D342" s="1043"/>
      <c r="E342" s="1043"/>
      <c r="F342" s="1043"/>
      <c r="G342" s="1043"/>
      <c r="H342" s="1043"/>
      <c r="I342" s="1043"/>
      <c r="J342" s="1043"/>
      <c r="K342" s="1043"/>
      <c r="L342" s="1043"/>
      <c r="M342" s="1043"/>
      <c r="N342" s="1043"/>
      <c r="O342" s="183" t="s">
        <v>2009</v>
      </c>
      <c r="P342" s="1646"/>
      <c r="Q342" s="323"/>
      <c r="AE342" s="657"/>
      <c r="AF342" s="657"/>
    </row>
    <row r="343" spans="2:32" s="164" customFormat="1" ht="21.75" customHeight="1">
      <c r="B343" s="199" t="s">
        <v>2010</v>
      </c>
      <c r="C343" s="1043" t="s">
        <v>3740</v>
      </c>
      <c r="D343" s="1043"/>
      <c r="E343" s="1043"/>
      <c r="F343" s="1043"/>
      <c r="G343" s="1043"/>
      <c r="H343" s="1043"/>
      <c r="I343" s="1043"/>
      <c r="J343" s="1043"/>
      <c r="K343" s="1043"/>
      <c r="L343" s="1043"/>
      <c r="M343" s="1043"/>
      <c r="N343" s="1043"/>
      <c r="O343" s="199" t="s">
        <v>2010</v>
      </c>
      <c r="P343" s="1646"/>
      <c r="Q343" s="323"/>
      <c r="AE343" s="657"/>
      <c r="AF343" s="657"/>
    </row>
    <row r="344" spans="2:32" s="164" customFormat="1" ht="21.75" customHeight="1">
      <c r="B344" s="199" t="s">
        <v>104</v>
      </c>
      <c r="C344" s="1043" t="s">
        <v>3741</v>
      </c>
      <c r="D344" s="1043"/>
      <c r="E344" s="1043"/>
      <c r="F344" s="1043"/>
      <c r="G344" s="1043"/>
      <c r="H344" s="1043"/>
      <c r="I344" s="1043"/>
      <c r="J344" s="1043"/>
      <c r="K344" s="1043"/>
      <c r="L344" s="1043"/>
      <c r="M344" s="1043"/>
      <c r="N344" s="1043"/>
      <c r="O344" s="199" t="s">
        <v>104</v>
      </c>
      <c r="P344" s="1646"/>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3514</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3515</v>
      </c>
      <c r="E347" s="580"/>
      <c r="F347" s="580"/>
      <c r="G347" s="580"/>
      <c r="H347" s="580"/>
      <c r="I347" s="580"/>
      <c r="J347" s="580"/>
      <c r="K347" s="580"/>
      <c r="L347" s="580"/>
      <c r="M347" s="580"/>
      <c r="N347" s="609"/>
      <c r="P347" s="78" t="s">
        <v>2430</v>
      </c>
      <c r="Q347" s="210"/>
    </row>
    <row r="348" spans="2:32" ht="11.25" customHeight="1">
      <c r="B348" s="78" t="s">
        <v>2431</v>
      </c>
      <c r="C348" s="166" t="s">
        <v>3516</v>
      </c>
      <c r="E348" s="166"/>
      <c r="F348" s="166"/>
      <c r="G348" s="166"/>
      <c r="H348" s="166"/>
      <c r="I348" s="44"/>
      <c r="J348" s="609"/>
      <c r="K348" s="609"/>
      <c r="L348" s="609"/>
      <c r="M348" s="609"/>
      <c r="N348" s="609"/>
      <c r="P348" s="78" t="s">
        <v>2431</v>
      </c>
      <c r="Q348" s="210"/>
    </row>
    <row r="349" spans="2:32" ht="11.25" customHeight="1">
      <c r="B349" s="78" t="s">
        <v>2432</v>
      </c>
      <c r="C349" s="61" t="s">
        <v>3660</v>
      </c>
      <c r="E349" s="61"/>
      <c r="F349" s="61"/>
      <c r="G349" s="61"/>
      <c r="H349" s="61"/>
      <c r="I349" s="61"/>
      <c r="J349" s="61"/>
      <c r="K349" s="61"/>
      <c r="L349" s="38"/>
      <c r="M349" s="38"/>
      <c r="N349" s="609"/>
      <c r="P349" s="78" t="s">
        <v>2432</v>
      </c>
      <c r="Q349" s="210"/>
    </row>
    <row r="350" spans="2:32" ht="11.25" customHeight="1">
      <c r="B350" s="78" t="s">
        <v>3121</v>
      </c>
      <c r="C350" s="61" t="s">
        <v>3517</v>
      </c>
      <c r="E350" s="61"/>
      <c r="F350" s="61"/>
      <c r="G350" s="61"/>
      <c r="H350" s="61"/>
      <c r="I350" s="61"/>
      <c r="J350" s="61"/>
      <c r="K350" s="61"/>
      <c r="L350" s="61"/>
      <c r="M350" s="61"/>
      <c r="N350" s="61"/>
      <c r="P350" s="78" t="s">
        <v>3121</v>
      </c>
      <c r="Q350" s="210"/>
    </row>
    <row r="351" spans="2:32" ht="11.25" customHeight="1">
      <c r="B351" s="78" t="s">
        <v>2009</v>
      </c>
      <c r="C351" s="61" t="s">
        <v>3518</v>
      </c>
      <c r="E351" s="61"/>
      <c r="F351" s="61"/>
      <c r="G351" s="61"/>
      <c r="H351" s="61"/>
      <c r="I351" s="61"/>
      <c r="J351" s="61"/>
      <c r="K351" s="61"/>
      <c r="L351" s="61"/>
      <c r="M351" s="61"/>
      <c r="N351" s="61"/>
      <c r="P351" s="78" t="s">
        <v>2009</v>
      </c>
      <c r="Q351" s="210"/>
    </row>
    <row r="352" spans="2:32" ht="11.25" customHeight="1">
      <c r="B352" s="654" t="s">
        <v>2010</v>
      </c>
      <c r="C352" s="172" t="s">
        <v>3661</v>
      </c>
      <c r="E352" s="172"/>
      <c r="F352" s="172"/>
      <c r="G352" s="172"/>
      <c r="H352" s="172"/>
      <c r="I352" s="172"/>
      <c r="J352" s="172"/>
      <c r="K352" s="172"/>
      <c r="L352" s="172"/>
      <c r="M352" s="172"/>
      <c r="N352" s="172"/>
      <c r="P352" s="654" t="s">
        <v>2010</v>
      </c>
      <c r="Q352" s="210"/>
    </row>
    <row r="353" spans="1:31" ht="11.25" customHeight="1">
      <c r="B353" s="654" t="s">
        <v>104</v>
      </c>
      <c r="C353" s="61" t="s">
        <v>3519</v>
      </c>
      <c r="E353" s="61"/>
      <c r="F353" s="61"/>
      <c r="G353" s="61"/>
      <c r="H353" s="61"/>
      <c r="I353" s="61"/>
      <c r="J353" s="61"/>
      <c r="K353" s="61"/>
      <c r="L353" s="61"/>
      <c r="M353" s="61"/>
      <c r="N353" s="61"/>
      <c r="P353" s="654" t="s">
        <v>104</v>
      </c>
      <c r="Q353" s="210"/>
    </row>
    <row r="354" spans="1:31" ht="11.25" customHeight="1">
      <c r="B354" s="654" t="s">
        <v>678</v>
      </c>
      <c r="C354" s="580" t="s">
        <v>3520</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3"/>
      <c r="I355" s="162"/>
      <c r="J355" s="162"/>
      <c r="K355" s="162"/>
      <c r="L355" s="804"/>
      <c r="M355" s="804"/>
      <c r="N355" s="804"/>
      <c r="O355" s="804"/>
      <c r="P355" s="804"/>
      <c r="Q355" s="59"/>
    </row>
    <row r="356" spans="1:31" ht="11.45" customHeight="1">
      <c r="A356" s="1600"/>
      <c r="B356" s="1601"/>
      <c r="C356" s="1601"/>
      <c r="D356" s="1601"/>
      <c r="E356" s="1601"/>
      <c r="F356" s="1601"/>
      <c r="G356" s="1601"/>
      <c r="H356" s="1601"/>
      <c r="I356" s="1601"/>
      <c r="J356" s="1601"/>
      <c r="K356" s="1601"/>
      <c r="L356" s="1601"/>
      <c r="M356" s="1601"/>
      <c r="N356" s="1601"/>
      <c r="O356" s="1601"/>
      <c r="P356" s="1601"/>
      <c r="Q356" s="1602"/>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3572</v>
      </c>
      <c r="C360" s="5"/>
      <c r="D360" s="5"/>
      <c r="E360" s="5"/>
      <c r="F360" s="5"/>
      <c r="G360" s="5"/>
      <c r="H360" s="808"/>
      <c r="I360" s="808"/>
      <c r="J360" s="808"/>
      <c r="O360" s="163" t="s">
        <v>2573</v>
      </c>
      <c r="P360" s="1045"/>
      <c r="Q360" s="1046"/>
    </row>
    <row r="361" spans="1:31" ht="11.45" customHeight="1">
      <c r="B361" s="54" t="s">
        <v>2695</v>
      </c>
      <c r="C361" s="143" t="s">
        <v>1438</v>
      </c>
      <c r="E361" s="1647"/>
      <c r="F361" s="1648"/>
      <c r="G361" s="1648"/>
      <c r="H361" s="1648"/>
      <c r="I361" s="1649"/>
      <c r="J361" s="1107" t="s">
        <v>3523</v>
      </c>
      <c r="K361" s="1108"/>
      <c r="L361" s="1109"/>
      <c r="M361" s="1647"/>
      <c r="N361" s="1648"/>
      <c r="O361" s="1648"/>
      <c r="P361" s="1648"/>
      <c r="Q361" s="1649"/>
    </row>
    <row r="362" spans="1:31" ht="11.45" customHeight="1">
      <c r="B362" s="54" t="s">
        <v>2698</v>
      </c>
      <c r="C362" s="61" t="s">
        <v>2433</v>
      </c>
      <c r="D362" s="61"/>
      <c r="E362" s="61"/>
      <c r="F362" s="61"/>
      <c r="G362" s="61"/>
      <c r="H362" s="61"/>
      <c r="I362" s="61"/>
      <c r="J362" s="61"/>
      <c r="K362" s="61"/>
      <c r="L362" s="38"/>
      <c r="M362" s="38"/>
      <c r="O362" s="654" t="s">
        <v>2698</v>
      </c>
      <c r="P362" s="1596"/>
      <c r="Q362" s="210"/>
    </row>
    <row r="363" spans="1:31" ht="22.5" customHeight="1">
      <c r="B363" s="174" t="s">
        <v>1054</v>
      </c>
      <c r="C363" s="1028" t="s">
        <v>3687</v>
      </c>
      <c r="D363" s="1028"/>
      <c r="E363" s="1028"/>
      <c r="F363" s="1028"/>
      <c r="G363" s="1028"/>
      <c r="H363" s="1028"/>
      <c r="I363" s="1028"/>
      <c r="J363" s="1028"/>
      <c r="K363" s="1028"/>
      <c r="L363" s="1028"/>
      <c r="M363" s="1028"/>
      <c r="N363" s="1028"/>
      <c r="O363" s="654" t="s">
        <v>1054</v>
      </c>
      <c r="P363" s="1596"/>
      <c r="Q363" s="210"/>
    </row>
    <row r="364" spans="1:31" ht="11.45" customHeight="1">
      <c r="B364" s="54" t="s">
        <v>2831</v>
      </c>
      <c r="C364" s="61" t="s">
        <v>3558</v>
      </c>
      <c r="D364" s="61"/>
      <c r="E364" s="61"/>
      <c r="F364" s="61"/>
      <c r="G364" s="61"/>
      <c r="H364" s="61"/>
      <c r="I364" s="61"/>
      <c r="J364" s="61"/>
      <c r="K364" s="61"/>
      <c r="L364" s="61"/>
      <c r="M364" s="61"/>
      <c r="O364" s="654" t="s">
        <v>2831</v>
      </c>
      <c r="P364" s="1596"/>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6"/>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6"/>
      <c r="Q366" s="210"/>
    </row>
    <row r="367" spans="1:31" ht="11.45" customHeight="1">
      <c r="B367" s="54" t="s">
        <v>2658</v>
      </c>
      <c r="C367" s="38" t="s">
        <v>723</v>
      </c>
      <c r="D367" s="185"/>
      <c r="E367" s="185"/>
      <c r="F367" s="185"/>
      <c r="G367" s="185"/>
      <c r="H367" s="185"/>
      <c r="I367" s="185"/>
      <c r="J367" s="185"/>
      <c r="K367" s="185"/>
      <c r="L367" s="185"/>
      <c r="M367" s="185"/>
      <c r="O367" s="654" t="s">
        <v>2658</v>
      </c>
      <c r="P367" s="1596"/>
      <c r="Q367" s="210"/>
    </row>
    <row r="368" spans="1:31" ht="11.25" customHeight="1">
      <c r="B368" s="173" t="s">
        <v>2571</v>
      </c>
      <c r="D368" s="173"/>
      <c r="E368" s="173"/>
      <c r="F368" s="173"/>
      <c r="G368" s="173"/>
      <c r="H368" s="813"/>
      <c r="I368" s="162"/>
      <c r="J368" s="162"/>
      <c r="K368" s="162"/>
      <c r="L368" s="804"/>
      <c r="M368" s="804"/>
      <c r="N368" s="804"/>
      <c r="O368" s="804"/>
      <c r="P368" s="804"/>
      <c r="Q368" s="59"/>
    </row>
    <row r="369" spans="1:32" ht="11.45" customHeight="1">
      <c r="A369" s="1600"/>
      <c r="B369" s="1601"/>
      <c r="C369" s="1601"/>
      <c r="D369" s="1601"/>
      <c r="E369" s="1601"/>
      <c r="F369" s="1601"/>
      <c r="G369" s="1601"/>
      <c r="H369" s="1601"/>
      <c r="I369" s="1601"/>
      <c r="J369" s="1601"/>
      <c r="K369" s="1601"/>
      <c r="L369" s="1601"/>
      <c r="M369" s="1601"/>
      <c r="N369" s="1601"/>
      <c r="O369" s="1601"/>
      <c r="P369" s="1601"/>
      <c r="Q369" s="1602"/>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3521</v>
      </c>
      <c r="C373" s="5"/>
      <c r="D373" s="104"/>
      <c r="E373" s="808"/>
      <c r="F373" s="808"/>
      <c r="G373" s="808"/>
      <c r="H373" s="808"/>
      <c r="I373" s="808"/>
      <c r="J373" s="808"/>
      <c r="K373" s="808"/>
      <c r="L373" s="808"/>
      <c r="M373" s="808"/>
      <c r="O373" s="163" t="s">
        <v>2573</v>
      </c>
      <c r="P373" s="1045"/>
      <c r="Q373" s="1046"/>
    </row>
    <row r="374" spans="1:32" s="1" customFormat="1" ht="23.45" customHeight="1">
      <c r="B374" s="174" t="s">
        <v>2695</v>
      </c>
      <c r="C374" s="1047" t="s">
        <v>162</v>
      </c>
      <c r="D374" s="1047"/>
      <c r="E374" s="1047"/>
      <c r="F374" s="1047"/>
      <c r="G374" s="1047"/>
      <c r="H374" s="1047"/>
      <c r="I374" s="1047"/>
      <c r="J374" s="1047"/>
      <c r="K374" s="1047"/>
      <c r="L374" s="1047"/>
      <c r="M374" s="199" t="s">
        <v>2695</v>
      </c>
      <c r="N374" s="1688" t="s">
        <v>2466</v>
      </c>
      <c r="O374" s="1689"/>
      <c r="P374" s="1112" t="s">
        <v>2466</v>
      </c>
      <c r="Q374" s="1113"/>
      <c r="AE374" s="6"/>
      <c r="AF374" s="6"/>
    </row>
    <row r="375" spans="1:32" s="1" customFormat="1" ht="12" customHeight="1">
      <c r="B375" s="54" t="s">
        <v>2698</v>
      </c>
      <c r="C375" s="140" t="s">
        <v>1</v>
      </c>
      <c r="D375" s="185"/>
      <c r="E375" s="185"/>
      <c r="G375" s="654" t="s">
        <v>2698</v>
      </c>
      <c r="H375" s="1650"/>
      <c r="I375" s="1651"/>
      <c r="J375" s="1651"/>
      <c r="K375" s="1651"/>
      <c r="L375" s="1651"/>
      <c r="M375" s="1651"/>
      <c r="N375" s="1651"/>
      <c r="O375" s="1651"/>
      <c r="P375" s="1652"/>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6"/>
      <c r="Q376" s="210"/>
      <c r="AE376" s="6"/>
      <c r="AF376" s="6"/>
    </row>
    <row r="377" spans="1:32" ht="11.25" customHeight="1">
      <c r="B377" s="173" t="s">
        <v>2571</v>
      </c>
      <c r="D377" s="173"/>
      <c r="E377" s="173"/>
      <c r="F377" s="173"/>
      <c r="G377" s="173"/>
      <c r="H377" s="813"/>
      <c r="I377" s="162"/>
      <c r="J377" s="162"/>
      <c r="K377" s="162"/>
      <c r="L377" s="804"/>
      <c r="M377" s="804"/>
      <c r="N377" s="804"/>
      <c r="O377" s="804"/>
      <c r="P377" s="804"/>
      <c r="Q377" s="59"/>
    </row>
    <row r="378" spans="1:32" ht="11.45" customHeight="1">
      <c r="A378" s="1600"/>
      <c r="B378" s="1601"/>
      <c r="C378" s="1601"/>
      <c r="D378" s="1601"/>
      <c r="E378" s="1601"/>
      <c r="F378" s="1601"/>
      <c r="G378" s="1601"/>
      <c r="H378" s="1601"/>
      <c r="I378" s="1601"/>
      <c r="J378" s="1601"/>
      <c r="K378" s="1601"/>
      <c r="L378" s="1601"/>
      <c r="M378" s="1601"/>
      <c r="N378" s="1601"/>
      <c r="O378" s="1601"/>
      <c r="P378" s="1601"/>
      <c r="Q378" s="1602"/>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3507</v>
      </c>
      <c r="C383" s="5"/>
      <c r="D383" s="5"/>
      <c r="E383" s="808"/>
      <c r="G383" s="172" t="s">
        <v>890</v>
      </c>
      <c r="H383" s="808"/>
      <c r="I383" s="808"/>
      <c r="J383" s="808"/>
      <c r="K383" s="808"/>
      <c r="L383" s="808"/>
      <c r="M383" s="808"/>
      <c r="O383" s="163" t="s">
        <v>2573</v>
      </c>
      <c r="P383" s="1045"/>
      <c r="Q383" s="1075"/>
    </row>
    <row r="384" spans="1:32" ht="12" customHeight="1">
      <c r="A384" s="176"/>
      <c r="B384" s="54" t="s">
        <v>2695</v>
      </c>
      <c r="C384" s="61" t="s">
        <v>3526</v>
      </c>
      <c r="D384" s="607"/>
      <c r="E384" s="607"/>
      <c r="H384" s="172"/>
      <c r="O384" s="654" t="s">
        <v>2695</v>
      </c>
      <c r="P384" s="1596"/>
      <c r="Q384" s="210"/>
    </row>
    <row r="385" spans="1:31" ht="12" customHeight="1">
      <c r="A385" s="176"/>
      <c r="B385" s="54" t="s">
        <v>2698</v>
      </c>
      <c r="C385" s="61" t="s">
        <v>3527</v>
      </c>
      <c r="D385" s="607"/>
      <c r="E385" s="607"/>
      <c r="O385" s="654" t="s">
        <v>2698</v>
      </c>
      <c r="P385" s="1596"/>
      <c r="Q385" s="210"/>
    </row>
    <row r="386" spans="1:31" ht="12" customHeight="1">
      <c r="A386" s="176"/>
      <c r="B386" s="54" t="s">
        <v>1054</v>
      </c>
      <c r="C386" s="61" t="s">
        <v>3573</v>
      </c>
      <c r="D386" s="607"/>
      <c r="E386" s="607"/>
      <c r="O386" s="654" t="s">
        <v>1054</v>
      </c>
      <c r="P386" s="1596"/>
      <c r="Q386" s="210"/>
    </row>
    <row r="387" spans="1:31" ht="12" customHeight="1">
      <c r="A387" s="176"/>
      <c r="B387" s="54" t="s">
        <v>2831</v>
      </c>
      <c r="C387" s="61" t="s">
        <v>3522</v>
      </c>
      <c r="E387" s="172"/>
      <c r="O387" s="654" t="s">
        <v>2831</v>
      </c>
      <c r="P387" s="1596"/>
      <c r="Q387" s="210"/>
    </row>
    <row r="388" spans="1:31" ht="12" customHeight="1">
      <c r="B388" s="54" t="s">
        <v>2428</v>
      </c>
      <c r="C388" s="61" t="s">
        <v>2795</v>
      </c>
      <c r="E388" s="172"/>
      <c r="G388" s="654" t="s">
        <v>2428</v>
      </c>
      <c r="H388" s="1690"/>
      <c r="I388" s="1691"/>
      <c r="J388" s="1691"/>
      <c r="K388" s="1691"/>
      <c r="L388" s="1691"/>
      <c r="M388" s="1691"/>
      <c r="N388" s="1691"/>
      <c r="O388" s="1692"/>
      <c r="P388" s="1596"/>
      <c r="Q388" s="210"/>
    </row>
    <row r="389" spans="1:31" ht="11.25" customHeight="1">
      <c r="B389" s="173" t="s">
        <v>2571</v>
      </c>
      <c r="D389" s="173"/>
      <c r="E389" s="173"/>
      <c r="F389" s="173"/>
      <c r="G389" s="173"/>
      <c r="H389" s="813"/>
      <c r="I389" s="162"/>
      <c r="J389" s="162"/>
      <c r="K389" s="162"/>
      <c r="L389" s="804"/>
      <c r="M389" s="804"/>
      <c r="N389" s="804"/>
      <c r="O389" s="804"/>
      <c r="P389" s="804"/>
      <c r="Q389" s="59"/>
    </row>
    <row r="390" spans="1:31" ht="11.45" customHeight="1">
      <c r="A390" s="1600"/>
      <c r="B390" s="1601"/>
      <c r="C390" s="1601"/>
      <c r="D390" s="1601"/>
      <c r="E390" s="1601"/>
      <c r="F390" s="1601"/>
      <c r="G390" s="1601"/>
      <c r="H390" s="1601"/>
      <c r="I390" s="1601"/>
      <c r="J390" s="1601"/>
      <c r="K390" s="1601"/>
      <c r="L390" s="1601"/>
      <c r="M390" s="1601"/>
      <c r="N390" s="1601"/>
      <c r="O390" s="1601"/>
      <c r="P390" s="1601"/>
      <c r="Q390" s="1602"/>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3508</v>
      </c>
      <c r="C394" s="5"/>
      <c r="D394" s="5"/>
      <c r="E394" s="5"/>
      <c r="F394" s="5"/>
      <c r="G394" s="5"/>
      <c r="H394" s="808"/>
      <c r="I394" s="808"/>
      <c r="J394" s="808"/>
      <c r="K394" s="808"/>
      <c r="L394" s="808"/>
      <c r="M394" s="808"/>
      <c r="O394" s="163" t="s">
        <v>2573</v>
      </c>
      <c r="P394" s="1045"/>
      <c r="Q394" s="1075"/>
    </row>
    <row r="395" spans="1:31" ht="12" customHeight="1">
      <c r="A395" s="49"/>
      <c r="B395" s="54" t="s">
        <v>2695</v>
      </c>
      <c r="C395" s="47" t="s">
        <v>1057</v>
      </c>
      <c r="D395" s="49"/>
      <c r="E395" s="49"/>
      <c r="F395" s="49"/>
      <c r="G395" s="49"/>
      <c r="H395" s="49"/>
      <c r="I395" s="49"/>
      <c r="J395" s="49"/>
      <c r="K395" s="49"/>
      <c r="L395" s="49"/>
      <c r="M395" s="49"/>
      <c r="N395" s="49"/>
      <c r="O395" s="654" t="s">
        <v>2695</v>
      </c>
      <c r="P395" s="1596" t="s">
        <v>4087</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596"/>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596"/>
      <c r="Q398" s="210"/>
    </row>
    <row r="399" spans="1:31" ht="12" customHeight="1">
      <c r="A399" s="49"/>
      <c r="B399" s="54" t="s">
        <v>1054</v>
      </c>
      <c r="C399" s="1028" t="s">
        <v>2922</v>
      </c>
      <c r="D399" s="1028"/>
      <c r="E399" s="1028"/>
      <c r="F399" s="1028"/>
      <c r="G399" s="1028"/>
      <c r="H399" s="1028"/>
      <c r="I399" s="1028"/>
      <c r="J399" s="1028"/>
      <c r="K399" s="1028"/>
      <c r="L399" s="1028"/>
      <c r="M399" s="1028"/>
      <c r="N399" s="1028"/>
      <c r="O399" s="654" t="s">
        <v>1054</v>
      </c>
      <c r="P399" s="1596"/>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38"/>
      <c r="H401" s="757" t="s">
        <v>266</v>
      </c>
      <c r="J401" s="166" t="s">
        <v>2928</v>
      </c>
      <c r="K401" s="38"/>
      <c r="N401" s="1538"/>
      <c r="O401" s="757" t="s">
        <v>266</v>
      </c>
    </row>
    <row r="402" spans="1:32" ht="12" customHeight="1">
      <c r="A402" s="49"/>
      <c r="B402" s="54"/>
      <c r="C402" s="166" t="s">
        <v>2926</v>
      </c>
      <c r="D402" s="44"/>
      <c r="E402" s="49"/>
      <c r="F402" s="38"/>
      <c r="G402" s="1544"/>
      <c r="H402" s="758"/>
      <c r="J402" s="166" t="s">
        <v>2929</v>
      </c>
      <c r="K402" s="38"/>
      <c r="N402" s="1550"/>
      <c r="O402" s="759"/>
    </row>
    <row r="403" spans="1:32" ht="12" customHeight="1">
      <c r="A403" s="49"/>
      <c r="B403" s="54"/>
      <c r="C403" s="166" t="s">
        <v>2927</v>
      </c>
      <c r="D403" s="44"/>
      <c r="E403" s="49"/>
      <c r="F403" s="38"/>
      <c r="G403" s="1550"/>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54"/>
      <c r="H405" s="324"/>
      <c r="J405" s="578" t="s">
        <v>1597</v>
      </c>
      <c r="K405" s="38"/>
      <c r="N405" s="1679"/>
      <c r="O405" s="679"/>
    </row>
    <row r="406" spans="1:32" ht="12" customHeight="1">
      <c r="A406" s="49"/>
      <c r="B406" s="54"/>
      <c r="C406" s="578" t="s">
        <v>1596</v>
      </c>
      <c r="D406" s="38"/>
      <c r="E406" s="38"/>
      <c r="F406" s="38"/>
      <c r="G406" s="1656"/>
      <c r="H406" s="325"/>
      <c r="J406" s="578" t="s">
        <v>2982</v>
      </c>
      <c r="N406" s="1693"/>
      <c r="O406" s="1694"/>
      <c r="P406" s="1694"/>
      <c r="Q406" s="1695"/>
    </row>
    <row r="407" spans="1:32" ht="12" customHeight="1">
      <c r="B407" s="173" t="s">
        <v>2571</v>
      </c>
      <c r="D407" s="173"/>
      <c r="E407" s="173"/>
      <c r="F407" s="173"/>
      <c r="G407" s="173"/>
      <c r="H407" s="813"/>
      <c r="I407" s="162"/>
      <c r="J407" s="162"/>
      <c r="K407" s="162"/>
      <c r="P407" s="804"/>
      <c r="Q407" s="59"/>
    </row>
    <row r="408" spans="1:32" ht="12" customHeight="1">
      <c r="A408" s="1600"/>
      <c r="B408" s="1601"/>
      <c r="C408" s="1601"/>
      <c r="D408" s="1601"/>
      <c r="E408" s="1601"/>
      <c r="F408" s="1601"/>
      <c r="G408" s="1601"/>
      <c r="H408" s="1601"/>
      <c r="I408" s="1601"/>
      <c r="J408" s="1601"/>
      <c r="K408" s="1601"/>
      <c r="L408" s="1601"/>
      <c r="M408" s="1601"/>
      <c r="N408" s="1601"/>
      <c r="O408" s="1601"/>
      <c r="P408" s="1601"/>
      <c r="Q408" s="1602"/>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3509</v>
      </c>
      <c r="C412" s="5"/>
      <c r="D412" s="104"/>
      <c r="E412" s="808"/>
      <c r="F412" s="808"/>
      <c r="G412" s="808"/>
      <c r="H412" s="808"/>
      <c r="O412" s="163" t="s">
        <v>2573</v>
      </c>
      <c r="P412" s="1045"/>
      <c r="Q412" s="1046"/>
    </row>
    <row r="413" spans="1:32" s="164" customFormat="1" ht="21.75" customHeight="1">
      <c r="B413" s="174" t="s">
        <v>2695</v>
      </c>
      <c r="C413" s="1093" t="s">
        <v>3562</v>
      </c>
      <c r="D413" s="1093"/>
      <c r="E413" s="1093"/>
      <c r="F413" s="1093"/>
      <c r="G413" s="1093"/>
      <c r="H413" s="1093"/>
      <c r="I413" s="1093"/>
      <c r="J413" s="1093"/>
      <c r="K413" s="1093"/>
      <c r="L413" s="1093"/>
      <c r="M413" s="1093"/>
      <c r="N413" s="1093"/>
      <c r="O413" s="199" t="s">
        <v>2695</v>
      </c>
      <c r="P413" s="1646" t="s">
        <v>4118</v>
      </c>
      <c r="Q413" s="323"/>
      <c r="AE413" s="657"/>
      <c r="AF413" s="657"/>
    </row>
    <row r="414" spans="1:32" s="164" customFormat="1" ht="21.75" customHeight="1">
      <c r="B414" s="174" t="s">
        <v>2698</v>
      </c>
      <c r="C414" s="1093" t="s">
        <v>3563</v>
      </c>
      <c r="D414" s="1093"/>
      <c r="E414" s="1093"/>
      <c r="F414" s="1093"/>
      <c r="G414" s="1093"/>
      <c r="H414" s="1093"/>
      <c r="I414" s="1093"/>
      <c r="J414" s="1093"/>
      <c r="K414" s="1093"/>
      <c r="L414" s="1093"/>
      <c r="M414" s="1093"/>
      <c r="N414" s="1093"/>
      <c r="O414" s="199" t="s">
        <v>2698</v>
      </c>
      <c r="P414" s="1646" t="s">
        <v>4118</v>
      </c>
      <c r="Q414" s="323"/>
      <c r="AE414" s="657"/>
      <c r="AF414" s="657"/>
    </row>
    <row r="415" spans="1:32" s="164" customFormat="1" ht="21.75" customHeight="1">
      <c r="B415" s="174" t="s">
        <v>1054</v>
      </c>
      <c r="C415" s="1093" t="s">
        <v>3564</v>
      </c>
      <c r="D415" s="1093"/>
      <c r="E415" s="1093"/>
      <c r="F415" s="1093"/>
      <c r="G415" s="1093"/>
      <c r="H415" s="1093"/>
      <c r="I415" s="1093"/>
      <c r="J415" s="1093"/>
      <c r="K415" s="1093"/>
      <c r="L415" s="1093"/>
      <c r="M415" s="1093"/>
      <c r="N415" s="1093"/>
      <c r="O415" s="199" t="s">
        <v>1054</v>
      </c>
      <c r="P415" s="1646" t="s">
        <v>4118</v>
      </c>
      <c r="Q415" s="323"/>
      <c r="AE415" s="657"/>
      <c r="AF415" s="657"/>
    </row>
    <row r="416" spans="1:32" s="164" customFormat="1" ht="33.75" customHeight="1">
      <c r="B416" s="174" t="s">
        <v>2831</v>
      </c>
      <c r="C416" s="1093" t="s">
        <v>3565</v>
      </c>
      <c r="D416" s="1093"/>
      <c r="E416" s="1093"/>
      <c r="F416" s="1093"/>
      <c r="G416" s="1093"/>
      <c r="H416" s="1093"/>
      <c r="I416" s="1093"/>
      <c r="J416" s="1093"/>
      <c r="K416" s="1093"/>
      <c r="L416" s="1093"/>
      <c r="M416" s="1093"/>
      <c r="N416" s="1093"/>
      <c r="O416" s="199" t="s">
        <v>2831</v>
      </c>
      <c r="P416" s="1646" t="s">
        <v>4118</v>
      </c>
      <c r="Q416" s="323"/>
      <c r="AE416" s="657"/>
      <c r="AF416" s="657"/>
    </row>
    <row r="417" spans="1:32" s="164" customFormat="1" ht="34.5" customHeight="1">
      <c r="B417" s="174" t="s">
        <v>2428</v>
      </c>
      <c r="C417" s="1093" t="s">
        <v>3566</v>
      </c>
      <c r="D417" s="1093"/>
      <c r="E417" s="1093"/>
      <c r="F417" s="1093"/>
      <c r="G417" s="1093"/>
      <c r="H417" s="1093"/>
      <c r="I417" s="1093"/>
      <c r="J417" s="1093"/>
      <c r="K417" s="1093"/>
      <c r="L417" s="1093"/>
      <c r="M417" s="1093"/>
      <c r="N417" s="1093"/>
      <c r="O417" s="199" t="s">
        <v>2428</v>
      </c>
      <c r="P417" s="1646" t="s">
        <v>4118</v>
      </c>
      <c r="Q417" s="323"/>
      <c r="AE417" s="657"/>
      <c r="AF417" s="657"/>
    </row>
    <row r="418" spans="1:32" s="164" customFormat="1" ht="21.75" customHeight="1">
      <c r="B418" s="174" t="s">
        <v>2429</v>
      </c>
      <c r="C418" s="1093" t="s">
        <v>3567</v>
      </c>
      <c r="D418" s="1093"/>
      <c r="E418" s="1093"/>
      <c r="F418" s="1093"/>
      <c r="G418" s="1093"/>
      <c r="H418" s="1093"/>
      <c r="I418" s="1093"/>
      <c r="J418" s="1093"/>
      <c r="K418" s="1093"/>
      <c r="L418" s="1093"/>
      <c r="M418" s="1093"/>
      <c r="N418" s="1093"/>
      <c r="O418" s="199" t="s">
        <v>2429</v>
      </c>
      <c r="P418" s="1646" t="s">
        <v>4118</v>
      </c>
      <c r="Q418" s="323"/>
      <c r="AE418" s="657"/>
      <c r="AF418" s="657"/>
    </row>
    <row r="419" spans="1:32" ht="11.25" customHeight="1">
      <c r="B419" s="173" t="s">
        <v>2571</v>
      </c>
      <c r="D419" s="173"/>
      <c r="E419" s="173"/>
      <c r="F419" s="173"/>
      <c r="G419" s="173"/>
      <c r="H419" s="813"/>
      <c r="I419" s="162"/>
      <c r="J419" s="162"/>
      <c r="K419" s="162"/>
      <c r="L419" s="804"/>
      <c r="M419" s="804"/>
      <c r="N419" s="804"/>
      <c r="O419" s="804"/>
      <c r="P419" s="804"/>
      <c r="Q419" s="59"/>
    </row>
    <row r="420" spans="1:32" ht="11.45" customHeight="1">
      <c r="A420" s="1600"/>
      <c r="B420" s="1601"/>
      <c r="C420" s="1601"/>
      <c r="D420" s="1601"/>
      <c r="E420" s="1601"/>
      <c r="F420" s="1601"/>
      <c r="G420" s="1601"/>
      <c r="H420" s="1601"/>
      <c r="I420" s="1601"/>
      <c r="J420" s="1601"/>
      <c r="K420" s="1601"/>
      <c r="L420" s="1601"/>
      <c r="M420" s="1601"/>
      <c r="N420" s="1601"/>
      <c r="O420" s="1601"/>
      <c r="P420" s="1601"/>
      <c r="Q420" s="1602"/>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3510</v>
      </c>
      <c r="C424" s="5"/>
      <c r="D424" s="104"/>
      <c r="E424" s="808"/>
      <c r="F424" s="808"/>
      <c r="G424" s="808"/>
      <c r="H424" s="808"/>
      <c r="I424" s="808"/>
      <c r="J424" s="808"/>
      <c r="K424" s="808"/>
      <c r="L424" s="808"/>
      <c r="M424" s="808"/>
      <c r="O424" s="163" t="s">
        <v>2573</v>
      </c>
      <c r="P424" s="1045"/>
      <c r="Q424" s="1046"/>
    </row>
    <row r="425" spans="1:32" ht="11.25" customHeight="1">
      <c r="A425" s="810"/>
      <c r="B425" s="173" t="s">
        <v>2571</v>
      </c>
      <c r="D425" s="173"/>
      <c r="E425" s="173"/>
      <c r="F425" s="173"/>
      <c r="G425" s="173"/>
      <c r="H425" s="813"/>
      <c r="I425" s="162"/>
      <c r="J425" s="162"/>
      <c r="K425" s="162"/>
      <c r="L425" s="804"/>
      <c r="M425" s="804"/>
      <c r="N425" s="804"/>
      <c r="O425" s="804"/>
      <c r="P425" s="804"/>
      <c r="Q425" s="59"/>
    </row>
    <row r="426" spans="1:32" ht="11.45" customHeight="1">
      <c r="A426" s="1600"/>
      <c r="B426" s="1601"/>
      <c r="C426" s="1601"/>
      <c r="D426" s="1601"/>
      <c r="E426" s="1601"/>
      <c r="F426" s="1601"/>
      <c r="G426" s="1601"/>
      <c r="H426" s="1601"/>
      <c r="I426" s="1601"/>
      <c r="J426" s="1601"/>
      <c r="K426" s="1601"/>
      <c r="L426" s="1601"/>
      <c r="M426" s="1601"/>
      <c r="N426" s="1601"/>
      <c r="O426" s="1601"/>
      <c r="P426" s="1601"/>
      <c r="Q426" s="1602"/>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6"/>
      <c r="B432" s="1696"/>
      <c r="C432" s="1696"/>
      <c r="D432" s="1696"/>
      <c r="E432" s="1696"/>
      <c r="F432" s="1696"/>
      <c r="G432" s="1696"/>
      <c r="H432" s="1696"/>
      <c r="I432" s="1696"/>
      <c r="J432" s="1696"/>
      <c r="K432" s="1696"/>
      <c r="L432" s="1696"/>
      <c r="M432" s="1696"/>
      <c r="N432" s="1696"/>
      <c r="O432" s="1696"/>
      <c r="P432" s="1696"/>
      <c r="Q432" s="1696"/>
      <c r="AE432" s="658"/>
      <c r="AF432" s="658"/>
    </row>
    <row r="433" spans="1:32" s="181" customFormat="1" ht="12" customHeight="1">
      <c r="A433" s="1696"/>
      <c r="B433" s="1696"/>
      <c r="C433" s="1696"/>
      <c r="D433" s="1696"/>
      <c r="E433" s="1696"/>
      <c r="F433" s="1696"/>
      <c r="G433" s="1696"/>
      <c r="H433" s="1696"/>
      <c r="I433" s="1696"/>
      <c r="J433" s="1696"/>
      <c r="K433" s="1696"/>
      <c r="L433" s="1696"/>
      <c r="M433" s="1696"/>
      <c r="N433" s="1696"/>
      <c r="O433" s="1696"/>
      <c r="P433" s="1696"/>
      <c r="Q433" s="1696"/>
      <c r="AE433" s="658"/>
      <c r="AF433" s="658"/>
    </row>
    <row r="434" spans="1:32" s="181" customFormat="1" ht="12" customHeight="1">
      <c r="A434" s="1696"/>
      <c r="B434" s="1696"/>
      <c r="C434" s="1696"/>
      <c r="D434" s="1696"/>
      <c r="E434" s="1696"/>
      <c r="F434" s="1696"/>
      <c r="G434" s="1696"/>
      <c r="H434" s="1696"/>
      <c r="I434" s="1696"/>
      <c r="J434" s="1696"/>
      <c r="K434" s="1696"/>
      <c r="L434" s="1696"/>
      <c r="M434" s="1696"/>
      <c r="N434" s="1696"/>
      <c r="O434" s="1696"/>
      <c r="P434" s="1696"/>
      <c r="Q434" s="1696"/>
      <c r="AE434" s="658"/>
      <c r="AF434" s="658"/>
    </row>
    <row r="435" spans="1:32" s="181" customFormat="1" ht="12" customHeight="1">
      <c r="A435" s="1696"/>
      <c r="B435" s="1696"/>
      <c r="C435" s="1696"/>
      <c r="D435" s="1696"/>
      <c r="E435" s="1696"/>
      <c r="F435" s="1696"/>
      <c r="G435" s="1696"/>
      <c r="H435" s="1696"/>
      <c r="I435" s="1696"/>
      <c r="J435" s="1696"/>
      <c r="K435" s="1696"/>
      <c r="L435" s="1696"/>
      <c r="M435" s="1696"/>
      <c r="N435" s="1696"/>
      <c r="O435" s="1696"/>
      <c r="P435" s="1696"/>
      <c r="Q435" s="1696"/>
      <c r="AE435" s="658"/>
      <c r="AF435" s="658"/>
    </row>
    <row r="436" spans="1:32" s="181" customFormat="1" ht="12" customHeight="1">
      <c r="A436" s="1696"/>
      <c r="B436" s="1696"/>
      <c r="C436" s="1696"/>
      <c r="D436" s="1696"/>
      <c r="E436" s="1696"/>
      <c r="F436" s="1696"/>
      <c r="G436" s="1696"/>
      <c r="H436" s="1696"/>
      <c r="I436" s="1696"/>
      <c r="J436" s="1696"/>
      <c r="K436" s="1696"/>
      <c r="L436" s="1696"/>
      <c r="M436" s="1696"/>
      <c r="N436" s="1696"/>
      <c r="O436" s="1696"/>
      <c r="P436" s="1696"/>
      <c r="Q436" s="1696"/>
      <c r="AE436" s="658"/>
      <c r="AF436" s="658"/>
    </row>
    <row r="437" spans="1:32" s="181" customFormat="1" ht="12" customHeight="1">
      <c r="A437" s="1696"/>
      <c r="B437" s="1696"/>
      <c r="C437" s="1696"/>
      <c r="D437" s="1696"/>
      <c r="E437" s="1696"/>
      <c r="F437" s="1696"/>
      <c r="G437" s="1696"/>
      <c r="H437" s="1696"/>
      <c r="I437" s="1696"/>
      <c r="J437" s="1696"/>
      <c r="K437" s="1696"/>
      <c r="L437" s="1696"/>
      <c r="M437" s="1696"/>
      <c r="N437" s="1696"/>
      <c r="O437" s="1696"/>
      <c r="P437" s="1696"/>
      <c r="Q437" s="1696"/>
      <c r="AE437" s="658"/>
      <c r="AF437" s="658"/>
    </row>
    <row r="438" spans="1:32" s="181" customFormat="1" ht="12" customHeight="1">
      <c r="A438" s="1696"/>
      <c r="B438" s="1696"/>
      <c r="C438" s="1696"/>
      <c r="D438" s="1696"/>
      <c r="E438" s="1696"/>
      <c r="F438" s="1696"/>
      <c r="G438" s="1696"/>
      <c r="H438" s="1696"/>
      <c r="I438" s="1696"/>
      <c r="J438" s="1696"/>
      <c r="K438" s="1696"/>
      <c r="L438" s="1696"/>
      <c r="M438" s="1696"/>
      <c r="N438" s="1696"/>
      <c r="O438" s="1696"/>
      <c r="P438" s="1696"/>
      <c r="Q438" s="1696"/>
      <c r="AE438" s="658"/>
      <c r="AF438" s="658"/>
    </row>
    <row r="439" spans="1:32" s="181" customFormat="1" ht="12" customHeight="1">
      <c r="A439" s="1696"/>
      <c r="B439" s="1696"/>
      <c r="C439" s="1696"/>
      <c r="D439" s="1696"/>
      <c r="E439" s="1696"/>
      <c r="F439" s="1696"/>
      <c r="G439" s="1696"/>
      <c r="H439" s="1696"/>
      <c r="I439" s="1696"/>
      <c r="J439" s="1696"/>
      <c r="K439" s="1696"/>
      <c r="L439" s="1696"/>
      <c r="M439" s="1696"/>
      <c r="N439" s="1696"/>
      <c r="O439" s="1696"/>
      <c r="P439" s="1696"/>
      <c r="Q439" s="1696"/>
      <c r="AE439" s="658"/>
      <c r="AF439" s="658"/>
    </row>
    <row r="440" spans="1:32" s="181" customFormat="1" ht="12" customHeight="1">
      <c r="A440" s="1696"/>
      <c r="B440" s="1696"/>
      <c r="C440" s="1696"/>
      <c r="D440" s="1696"/>
      <c r="E440" s="1696"/>
      <c r="F440" s="1696"/>
      <c r="G440" s="1696"/>
      <c r="H440" s="1696"/>
      <c r="I440" s="1696"/>
      <c r="J440" s="1696"/>
      <c r="K440" s="1696"/>
      <c r="L440" s="1696"/>
      <c r="M440" s="1696"/>
      <c r="N440" s="1696"/>
      <c r="O440" s="1696"/>
      <c r="P440" s="1696"/>
      <c r="Q440" s="1696"/>
      <c r="AE440" s="658"/>
      <c r="AF440" s="658"/>
    </row>
    <row r="441" spans="1:32" s="181" customFormat="1" ht="12" customHeight="1">
      <c r="A441" s="1696"/>
      <c r="B441" s="1696"/>
      <c r="C441" s="1696"/>
      <c r="D441" s="1696"/>
      <c r="E441" s="1696"/>
      <c r="F441" s="1696"/>
      <c r="G441" s="1696"/>
      <c r="H441" s="1696"/>
      <c r="I441" s="1696"/>
      <c r="J441" s="1696"/>
      <c r="K441" s="1696"/>
      <c r="L441" s="1696"/>
      <c r="M441" s="1696"/>
      <c r="N441" s="1696"/>
      <c r="O441" s="1696"/>
      <c r="P441" s="1696"/>
      <c r="Q441" s="1696"/>
      <c r="AE441" s="658"/>
      <c r="AF441" s="658"/>
    </row>
    <row r="442" spans="1:32" s="181" customFormat="1" ht="12" customHeight="1">
      <c r="A442" s="1696"/>
      <c r="B442" s="1696"/>
      <c r="C442" s="1696"/>
      <c r="D442" s="1696"/>
      <c r="E442" s="1696"/>
      <c r="F442" s="1696"/>
      <c r="G442" s="1696"/>
      <c r="H442" s="1696"/>
      <c r="I442" s="1696"/>
      <c r="J442" s="1696"/>
      <c r="K442" s="1696"/>
      <c r="L442" s="1696"/>
      <c r="M442" s="1696"/>
      <c r="N442" s="1696"/>
      <c r="O442" s="1696"/>
      <c r="P442" s="1696"/>
      <c r="Q442" s="1696"/>
      <c r="AE442" s="658"/>
      <c r="AF442" s="658"/>
    </row>
    <row r="443" spans="1:32" s="181" customFormat="1" ht="12" customHeight="1">
      <c r="A443" s="1696"/>
      <c r="B443" s="1696"/>
      <c r="C443" s="1696"/>
      <c r="D443" s="1696"/>
      <c r="E443" s="1696"/>
      <c r="F443" s="1696"/>
      <c r="G443" s="1696"/>
      <c r="H443" s="1696"/>
      <c r="I443" s="1696"/>
      <c r="J443" s="1696"/>
      <c r="K443" s="1696"/>
      <c r="L443" s="1696"/>
      <c r="M443" s="1696"/>
      <c r="N443" s="1696"/>
      <c r="O443" s="1696"/>
      <c r="P443" s="1696"/>
      <c r="Q443" s="1696"/>
      <c r="AE443" s="658"/>
      <c r="AF443" s="658"/>
    </row>
    <row r="444" spans="1:32" s="181" customFormat="1" ht="12" customHeight="1">
      <c r="A444" s="1696"/>
      <c r="B444" s="1696"/>
      <c r="C444" s="1696"/>
      <c r="D444" s="1696"/>
      <c r="E444" s="1696"/>
      <c r="F444" s="1696"/>
      <c r="G444" s="1696"/>
      <c r="H444" s="1696"/>
      <c r="I444" s="1696"/>
      <c r="J444" s="1696"/>
      <c r="K444" s="1696"/>
      <c r="L444" s="1696"/>
      <c r="M444" s="1696"/>
      <c r="N444" s="1696"/>
      <c r="O444" s="1696"/>
      <c r="P444" s="1696"/>
      <c r="Q444" s="1696"/>
      <c r="AE444" s="658"/>
      <c r="AF444" s="658"/>
    </row>
    <row r="445" spans="1:32" s="181" customFormat="1" ht="12" customHeight="1">
      <c r="A445" s="1697"/>
      <c r="B445" s="1697"/>
      <c r="C445" s="1697"/>
      <c r="D445" s="1697"/>
      <c r="E445" s="1697"/>
      <c r="F445" s="1697"/>
      <c r="G445" s="1697"/>
      <c r="H445" s="1697"/>
      <c r="I445" s="1697"/>
      <c r="J445" s="1697"/>
      <c r="K445" s="1697"/>
      <c r="L445" s="1697"/>
      <c r="M445" s="1697"/>
      <c r="N445" s="1696"/>
      <c r="O445" s="1696"/>
      <c r="P445" s="1696"/>
      <c r="Q445" s="1696"/>
      <c r="AE445" s="658"/>
      <c r="AF445" s="658"/>
    </row>
    <row r="446" spans="1:32" s="181" customFormat="1" ht="12" customHeight="1">
      <c r="A446" s="1697"/>
      <c r="B446" s="1697"/>
      <c r="C446" s="1697"/>
      <c r="D446" s="1697"/>
      <c r="E446" s="1697"/>
      <c r="F446" s="1697"/>
      <c r="G446" s="1697"/>
      <c r="H446" s="1697"/>
      <c r="I446" s="1697"/>
      <c r="J446" s="1697"/>
      <c r="K446" s="1697"/>
      <c r="L446" s="1697"/>
      <c r="M446" s="1697"/>
      <c r="N446" s="1696"/>
      <c r="O446" s="1696"/>
      <c r="P446" s="1696"/>
      <c r="Q446" s="169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3528</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3529</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3530</v>
      </c>
      <c r="D511" s="710"/>
      <c r="E511" s="710"/>
      <c r="F511" s="710"/>
      <c r="G511" s="710"/>
      <c r="H511" s="710"/>
      <c r="I511" s="710"/>
      <c r="J511" s="710"/>
      <c r="K511" s="710" t="s">
        <v>1491</v>
      </c>
      <c r="L511" s="714"/>
      <c r="M511" s="710"/>
      <c r="AE511" s="551"/>
      <c r="AF511" s="551"/>
    </row>
    <row r="512" spans="1:32" s="64" customFormat="1" ht="11.25">
      <c r="A512" s="710"/>
      <c r="B512" s="710"/>
      <c r="C512" s="623" t="s">
        <v>3531</v>
      </c>
      <c r="D512" s="710"/>
      <c r="E512" s="710"/>
      <c r="F512" s="710"/>
      <c r="G512" s="710"/>
      <c r="H512" s="710"/>
      <c r="I512" s="710"/>
      <c r="J512" s="710"/>
      <c r="K512" s="710" t="s">
        <v>3486</v>
      </c>
      <c r="L512" s="710"/>
      <c r="M512" s="710"/>
      <c r="AE512" s="551"/>
      <c r="AF512" s="551"/>
    </row>
    <row r="513" spans="1:32" s="64" customFormat="1" ht="11.25">
      <c r="A513" s="710"/>
      <c r="B513" s="710"/>
      <c r="C513" s="714" t="s">
        <v>1625</v>
      </c>
      <c r="D513" s="710"/>
      <c r="E513" s="710"/>
      <c r="F513" s="710"/>
      <c r="G513" s="710"/>
      <c r="H513" s="710"/>
      <c r="I513" s="710"/>
      <c r="J513" s="710"/>
      <c r="K513" s="710" t="s">
        <v>3487</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3686</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2013-036 Davidson Senior Manor, Augusta, Richmond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698"/>
      <c r="P10" s="65"/>
    </row>
    <row r="11" spans="1:19" s="50" customFormat="1" ht="11.25" customHeight="1">
      <c r="A11" s="230"/>
      <c r="B11" s="131" t="s">
        <v>2829</v>
      </c>
      <c r="D11" s="55"/>
      <c r="E11" s="55"/>
      <c r="F11" s="669" t="s">
        <v>3382</v>
      </c>
      <c r="G11" s="38">
        <f>P16</f>
        <v>0</v>
      </c>
      <c r="H11" s="221" t="s">
        <v>3968</v>
      </c>
      <c r="J11" s="56"/>
      <c r="M11" s="7">
        <v>1</v>
      </c>
      <c r="N11" s="77"/>
      <c r="O11" s="1698"/>
      <c r="P11" s="65"/>
    </row>
    <row r="12" spans="1:19" s="49" customFormat="1" ht="11.25" customHeight="1">
      <c r="A12" s="230" t="s">
        <v>2698</v>
      </c>
      <c r="B12" s="213" t="s">
        <v>1031</v>
      </c>
      <c r="D12" s="55"/>
      <c r="E12" s="55"/>
      <c r="F12" s="669" t="s">
        <v>3382</v>
      </c>
      <c r="G12" s="38">
        <f>K16</f>
        <v>0</v>
      </c>
      <c r="H12" s="221" t="s">
        <v>3688</v>
      </c>
      <c r="J12" s="56"/>
      <c r="M12" s="7"/>
      <c r="N12" s="77" t="s">
        <v>2698</v>
      </c>
      <c r="O12" s="1698"/>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0"/>
      <c r="B14" s="1601"/>
      <c r="C14" s="1601"/>
      <c r="D14" s="1601"/>
      <c r="E14" s="1601"/>
      <c r="F14" s="1601"/>
      <c r="G14" s="1601"/>
      <c r="H14" s="1601"/>
      <c r="I14" s="1601"/>
      <c r="J14" s="1601"/>
      <c r="K14" s="1601"/>
      <c r="L14" s="1601"/>
      <c r="M14" s="1601"/>
      <c r="N14" s="1601"/>
      <c r="O14" s="1601"/>
      <c r="P14" s="1602"/>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46" t="s">
        <v>3165</v>
      </c>
      <c r="B16" s="1146"/>
      <c r="C16" s="1146"/>
      <c r="D16" s="1146"/>
      <c r="E16" s="78" t="s">
        <v>675</v>
      </c>
      <c r="F16" s="92">
        <f>SUM(F17:F28)</f>
        <v>0</v>
      </c>
      <c r="G16" s="1147" t="s">
        <v>3166</v>
      </c>
      <c r="H16" s="1146"/>
      <c r="I16" s="1146"/>
      <c r="J16" s="78" t="s">
        <v>675</v>
      </c>
      <c r="K16" s="92">
        <f>SUM(K17:K28)</f>
        <v>0</v>
      </c>
      <c r="L16" s="812" t="s">
        <v>3967</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3427</v>
      </c>
      <c r="E31" s="571"/>
      <c r="H31" s="549" t="s">
        <v>3543</v>
      </c>
      <c r="I31" s="1699">
        <v>8</v>
      </c>
      <c r="K31" s="549" t="s">
        <v>3545</v>
      </c>
      <c r="L31" s="573">
        <f>IF(OR('Part VI-Revenues &amp; Expenses'!$M$60="", 'Part VI-Revenues &amp; Expenses'!$M$60=0),0,I31/'Part VI-Revenues &amp; Expenses'!$M$60)</f>
        <v>0.16666666666666666</v>
      </c>
      <c r="M31" s="577">
        <v>3</v>
      </c>
      <c r="N31" s="572"/>
      <c r="O31" s="1152" t="s">
        <v>3578</v>
      </c>
      <c r="P31" s="613">
        <v>0.15</v>
      </c>
    </row>
    <row r="32" spans="1:19" s="570" customFormat="1" ht="11.25" customHeight="1">
      <c r="A32" s="569" t="s">
        <v>2698</v>
      </c>
      <c r="B32" s="137" t="s">
        <v>3428</v>
      </c>
      <c r="E32" s="571"/>
      <c r="H32" s="549" t="s">
        <v>3429</v>
      </c>
      <c r="I32" s="1699"/>
      <c r="K32" s="549" t="s">
        <v>3545</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0"/>
      <c r="B34" s="1601"/>
      <c r="C34" s="1601"/>
      <c r="D34" s="1601"/>
      <c r="E34" s="1601"/>
      <c r="F34" s="1601"/>
      <c r="G34" s="1601"/>
      <c r="H34" s="1601"/>
      <c r="I34" s="1601"/>
      <c r="J34" s="1601"/>
      <c r="K34" s="1601"/>
      <c r="L34" s="1601"/>
      <c r="M34" s="1601"/>
      <c r="N34" s="1601"/>
      <c r="O34" s="1601"/>
      <c r="P34" s="1602"/>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3324</v>
      </c>
      <c r="B38" s="126" t="s">
        <v>2580</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2695</v>
      </c>
      <c r="B40" s="213" t="s">
        <v>2581</v>
      </c>
      <c r="C40" s="5"/>
      <c r="D40" s="5"/>
      <c r="E40" s="221" t="s">
        <v>3662</v>
      </c>
      <c r="F40" s="389"/>
      <c r="G40" s="389"/>
      <c r="H40" s="1142"/>
      <c r="I40" s="1142"/>
      <c r="J40" s="1142"/>
      <c r="K40" s="1142"/>
      <c r="M40" s="88">
        <v>12</v>
      </c>
      <c r="N40" s="225" t="s">
        <v>2695</v>
      </c>
      <c r="O40" s="1700">
        <v>12</v>
      </c>
      <c r="P40" s="84"/>
      <c r="Q40" s="507" t="s">
        <v>3634</v>
      </c>
      <c r="R40" s="490"/>
    </row>
    <row r="41" spans="1:18" s="50" customFormat="1" ht="12.6" customHeight="1">
      <c r="A41" s="171" t="s">
        <v>2698</v>
      </c>
      <c r="B41" s="213" t="s">
        <v>2582</v>
      </c>
      <c r="D41" s="48"/>
      <c r="E41" s="221" t="s">
        <v>546</v>
      </c>
      <c r="F41" s="512"/>
      <c r="G41" s="512"/>
      <c r="H41" s="512"/>
      <c r="M41" s="162" t="s">
        <v>1660</v>
      </c>
      <c r="N41" s="654" t="s">
        <v>2698</v>
      </c>
      <c r="O41" s="1698"/>
      <c r="P41" s="84"/>
      <c r="Q41" s="507" t="s">
        <v>3634</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0" t="s">
        <v>4142</v>
      </c>
      <c r="B43" s="1601"/>
      <c r="C43" s="1601"/>
      <c r="D43" s="1601"/>
      <c r="E43" s="1601"/>
      <c r="F43" s="1601"/>
      <c r="G43" s="1601"/>
      <c r="H43" s="1601"/>
      <c r="I43" s="1601"/>
      <c r="J43" s="1601"/>
      <c r="K43" s="1601"/>
      <c r="L43" s="1601"/>
      <c r="M43" s="1601"/>
      <c r="N43" s="1601"/>
      <c r="O43" s="1601"/>
      <c r="P43" s="1602"/>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3462</v>
      </c>
      <c r="D47" s="48"/>
      <c r="H47" s="52" t="s">
        <v>3546</v>
      </c>
      <c r="I47" s="56" t="s">
        <v>2588</v>
      </c>
      <c r="J47" s="55"/>
      <c r="K47" s="55"/>
      <c r="M47" s="2">
        <v>3</v>
      </c>
      <c r="N47" s="654"/>
      <c r="O47" s="186">
        <f>MIN($M47,(O48+O49+O50))</f>
        <v>3</v>
      </c>
      <c r="P47" s="186">
        <f>MIN($M47,(P48+P49+P50))</f>
        <v>0</v>
      </c>
      <c r="Q47" s="130" t="s">
        <v>566</v>
      </c>
    </row>
    <row r="48" spans="1:18" s="50" customFormat="1" ht="12" customHeight="1">
      <c r="A48" s="171" t="s">
        <v>2695</v>
      </c>
      <c r="B48" s="213" t="s">
        <v>3438</v>
      </c>
      <c r="C48" s="5"/>
      <c r="D48" s="5"/>
      <c r="E48" s="44"/>
      <c r="F48" s="5"/>
      <c r="G48" s="47"/>
      <c r="I48" s="47"/>
      <c r="K48" s="55"/>
      <c r="L48" s="490" t="str">
        <f>IF(OR($O48=$M48,$O48=0,$O48=""),"","* * Check Score! * *")</f>
        <v/>
      </c>
      <c r="M48" s="88">
        <v>3</v>
      </c>
      <c r="N48" s="225" t="s">
        <v>2695</v>
      </c>
      <c r="O48" s="1700">
        <v>3</v>
      </c>
      <c r="P48" s="84"/>
      <c r="R48" s="490"/>
    </row>
    <row r="49" spans="1:18" s="50" customFormat="1" ht="12.6" customHeight="1">
      <c r="A49" s="171" t="s">
        <v>2698</v>
      </c>
      <c r="B49" s="213" t="s">
        <v>3439</v>
      </c>
      <c r="E49" s="48"/>
      <c r="K49" s="55"/>
      <c r="L49" s="490" t="str">
        <f>IF(OR($O49=$M49,$O49=0,$O49=""),"","* * Check Score! * *")</f>
        <v/>
      </c>
      <c r="M49" s="88">
        <v>2</v>
      </c>
      <c r="N49" s="654" t="s">
        <v>2698</v>
      </c>
      <c r="O49" s="1700"/>
      <c r="P49" s="84"/>
      <c r="R49" s="490"/>
    </row>
    <row r="50" spans="1:18" s="50" customFormat="1" ht="12.6" customHeight="1">
      <c r="A50" s="171" t="s">
        <v>1054</v>
      </c>
      <c r="B50" s="213" t="s">
        <v>3464</v>
      </c>
      <c r="E50" s="48"/>
      <c r="K50" s="55"/>
      <c r="L50" s="490" t="str">
        <f>IF(OR($O50=$M50,$O50=0,$O50=""),"","* * Check Score! * *")</f>
        <v/>
      </c>
      <c r="M50" s="88">
        <v>1</v>
      </c>
      <c r="N50" s="225" t="s">
        <v>1054</v>
      </c>
      <c r="O50" s="170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0" t="s">
        <v>4141</v>
      </c>
      <c r="B52" s="1601"/>
      <c r="C52" s="1601"/>
      <c r="D52" s="1601"/>
      <c r="E52" s="1601"/>
      <c r="F52" s="1601"/>
      <c r="G52" s="1601"/>
      <c r="H52" s="1601"/>
      <c r="I52" s="1601"/>
      <c r="J52" s="1601"/>
      <c r="K52" s="1601"/>
      <c r="L52" s="1601"/>
      <c r="M52" s="1601"/>
      <c r="N52" s="1601"/>
      <c r="O52" s="1601"/>
      <c r="P52" s="1602"/>
      <c r="Q52" s="614" t="s">
        <v>1677</v>
      </c>
    </row>
    <row r="53" spans="1:18" s="123" customFormat="1" ht="11.45" customHeight="1">
      <c r="A53" s="49"/>
      <c r="B53" s="118" t="s">
        <v>2572</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3463</v>
      </c>
      <c r="D56" s="48"/>
      <c r="E56" s="44" t="s">
        <v>1820</v>
      </c>
      <c r="I56" s="56" t="s">
        <v>2588</v>
      </c>
      <c r="M56" s="2">
        <v>2</v>
      </c>
      <c r="N56" s="517" t="str">
        <f>IF(OR($O56=$M56,$O56=0,$O56=""),"","***")</f>
        <v/>
      </c>
      <c r="O56" s="1700"/>
      <c r="P56" s="84"/>
      <c r="Q56" s="130" t="s">
        <v>566</v>
      </c>
    </row>
    <row r="57" spans="1:18" s="50" customFormat="1" ht="12.6" customHeight="1">
      <c r="A57" s="189"/>
      <c r="B57" s="513" t="s">
        <v>3430</v>
      </c>
      <c r="D57" s="48"/>
      <c r="E57" s="44"/>
      <c r="I57" s="1701"/>
      <c r="J57" s="1702"/>
      <c r="K57" s="1702"/>
      <c r="L57" s="1703"/>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0"/>
      <c r="B59" s="1601"/>
      <c r="C59" s="1601"/>
      <c r="D59" s="1601"/>
      <c r="E59" s="1601"/>
      <c r="F59" s="1601"/>
      <c r="G59" s="1601"/>
      <c r="H59" s="1601"/>
      <c r="I59" s="1601"/>
      <c r="J59" s="1601"/>
      <c r="K59" s="1601"/>
      <c r="L59" s="1601"/>
      <c r="M59" s="1601"/>
      <c r="N59" s="1601"/>
      <c r="O59" s="1601"/>
      <c r="P59" s="1602"/>
      <c r="Q59" s="614" t="s">
        <v>1677</v>
      </c>
    </row>
    <row r="60" spans="1:18" s="123" customFormat="1" ht="11.45" customHeight="1">
      <c r="A60" s="49"/>
      <c r="B60" s="118" t="s">
        <v>2572</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2590</v>
      </c>
      <c r="B63" s="127" t="s">
        <v>235</v>
      </c>
      <c r="D63" s="47"/>
      <c r="E63" s="44"/>
      <c r="I63" s="611" t="s">
        <v>3532</v>
      </c>
      <c r="J63" s="1291" t="s">
        <v>4116</v>
      </c>
      <c r="K63" s="1704"/>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3587</v>
      </c>
      <c r="D65" s="48"/>
      <c r="M65" s="2"/>
      <c r="N65" s="225" t="s">
        <v>2695</v>
      </c>
      <c r="O65" s="1596" t="s">
        <v>4088</v>
      </c>
      <c r="P65" s="210"/>
      <c r="Q65" s="130"/>
    </row>
    <row r="66" spans="1:17" ht="11.45" customHeight="1">
      <c r="A66" s="482" t="str">
        <f>IF($I$86="Stable Communities &lt; 10%", "X","")</f>
        <v/>
      </c>
      <c r="B66" s="483" t="s">
        <v>2699</v>
      </c>
      <c r="C66" s="499" t="s">
        <v>3431</v>
      </c>
      <c r="E66" s="142"/>
      <c r="N66" s="31"/>
      <c r="O66" s="31"/>
      <c r="P66" s="31"/>
    </row>
    <row r="67" spans="1:17" ht="23.25" customHeight="1">
      <c r="B67" s="506" t="s">
        <v>3203</v>
      </c>
      <c r="C67" s="1136" t="s">
        <v>3433</v>
      </c>
      <c r="D67" s="1136"/>
      <c r="E67" s="1136"/>
      <c r="F67" s="1136"/>
      <c r="G67" s="1136"/>
      <c r="H67" s="1136"/>
      <c r="I67" s="1136"/>
      <c r="J67" s="1136"/>
      <c r="K67" s="1136"/>
      <c r="L67" s="1136"/>
      <c r="M67" s="503" t="str">
        <f>IF(AND($I$86="Stable Communities &lt; 10%",O67=""), "X","")</f>
        <v/>
      </c>
      <c r="N67" s="505" t="s">
        <v>3434</v>
      </c>
      <c r="O67" s="1654" t="s">
        <v>4088</v>
      </c>
      <c r="P67" s="324"/>
    </row>
    <row r="68" spans="1:17" ht="12" customHeight="1">
      <c r="B68" s="506" t="s">
        <v>3204</v>
      </c>
      <c r="C68" s="172" t="s">
        <v>3689</v>
      </c>
      <c r="D68" s="172"/>
      <c r="E68" s="172"/>
      <c r="F68" s="172"/>
      <c r="G68" s="172"/>
      <c r="I68" s="172"/>
      <c r="L68" s="172"/>
      <c r="M68" s="503" t="str">
        <f>IF(AND($I$86="Stable Communities &lt; 10%",O68=""), "X","")</f>
        <v/>
      </c>
      <c r="N68" s="505" t="s">
        <v>3435</v>
      </c>
      <c r="O68" s="1655" t="s">
        <v>4087</v>
      </c>
      <c r="P68" s="473"/>
    </row>
    <row r="69" spans="1:17" ht="12" customHeight="1">
      <c r="B69" s="680" t="s">
        <v>3205</v>
      </c>
      <c r="C69" s="172" t="s">
        <v>3616</v>
      </c>
      <c r="D69" s="172"/>
      <c r="E69" s="172"/>
      <c r="F69" s="172"/>
      <c r="G69" s="172"/>
      <c r="I69" s="172"/>
      <c r="L69" s="172"/>
      <c r="M69" s="503" t="str">
        <f>IF(AND($I$86="Stable Communities &lt; 10%",O69=""), "X","")</f>
        <v/>
      </c>
      <c r="N69" s="505" t="s">
        <v>3690</v>
      </c>
      <c r="O69" s="1656" t="s">
        <v>4087</v>
      </c>
      <c r="P69" s="325"/>
    </row>
    <row r="70" spans="1:17" ht="12" customHeight="1">
      <c r="B70" s="506"/>
      <c r="C70" s="1596"/>
      <c r="D70" s="172" t="s">
        <v>3620</v>
      </c>
      <c r="E70" s="172"/>
      <c r="F70" s="172"/>
      <c r="G70" s="1596"/>
      <c r="H70" s="172" t="s">
        <v>3617</v>
      </c>
      <c r="I70" s="172"/>
      <c r="J70" s="1596"/>
      <c r="K70" s="172" t="s">
        <v>3618</v>
      </c>
      <c r="M70" s="503"/>
      <c r="N70" s="503"/>
      <c r="O70" s="503"/>
      <c r="P70" s="503"/>
    </row>
    <row r="71" spans="1:17" ht="11.45" customHeight="1">
      <c r="A71" s="482" t="str">
        <f>IF($I$86="Stable Communities &lt; 20%", "X","")</f>
        <v/>
      </c>
      <c r="B71" s="483" t="s">
        <v>2701</v>
      </c>
      <c r="C71" s="499" t="s">
        <v>3432</v>
      </c>
      <c r="E71" s="142"/>
      <c r="M71" s="504"/>
      <c r="N71" s="31"/>
      <c r="O71" s="144" t="s">
        <v>3298</v>
      </c>
      <c r="P71" s="144" t="s">
        <v>3298</v>
      </c>
    </row>
    <row r="72" spans="1:17" ht="23.25" customHeight="1">
      <c r="B72" s="506" t="s">
        <v>3203</v>
      </c>
      <c r="C72" s="1136" t="s">
        <v>3691</v>
      </c>
      <c r="D72" s="1136"/>
      <c r="E72" s="1136"/>
      <c r="F72" s="1136"/>
      <c r="G72" s="1136"/>
      <c r="H72" s="1136"/>
      <c r="I72" s="1136"/>
      <c r="J72" s="1136"/>
      <c r="K72" s="1136"/>
      <c r="L72" s="1136"/>
      <c r="M72" s="503" t="str">
        <f>IF(AND($I$86="Stable Communities &lt; 10%",O72=""), "X","")</f>
        <v/>
      </c>
      <c r="N72" s="680" t="s">
        <v>3436</v>
      </c>
      <c r="O72" s="1705"/>
      <c r="P72" s="326"/>
    </row>
    <row r="73" spans="1:17" ht="12.75" customHeight="1">
      <c r="B73" s="506" t="s">
        <v>3204</v>
      </c>
      <c r="C73" s="172" t="s">
        <v>3616</v>
      </c>
      <c r="D73" s="172"/>
      <c r="E73" s="172"/>
      <c r="F73" s="172"/>
      <c r="G73" s="172"/>
      <c r="H73" s="1596"/>
      <c r="I73" s="172" t="s">
        <v>3619</v>
      </c>
      <c r="J73" s="172"/>
      <c r="K73" s="172"/>
      <c r="L73" s="172"/>
      <c r="M73" s="503" t="str">
        <f>IF(AND($I$86="Stable Communities &lt; 10%",O73=""), "X","")</f>
        <v/>
      </c>
      <c r="N73" s="574" t="s">
        <v>3437</v>
      </c>
      <c r="O73" s="1656"/>
      <c r="P73" s="325"/>
    </row>
    <row r="74" spans="1:17" ht="12" customHeight="1">
      <c r="B74" s="506"/>
      <c r="E74" s="172"/>
      <c r="F74" s="172"/>
      <c r="H74" s="1596"/>
      <c r="I74" s="172" t="s">
        <v>3620</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3695</v>
      </c>
      <c r="D77" s="48"/>
      <c r="M77" s="2"/>
      <c r="N77" s="681" t="s">
        <v>2699</v>
      </c>
      <c r="O77" s="1596" t="s">
        <v>4088</v>
      </c>
      <c r="P77" s="210"/>
      <c r="Q77" s="130"/>
    </row>
    <row r="78" spans="1:17" s="50" customFormat="1" ht="11.25" customHeight="1">
      <c r="A78" s="189"/>
      <c r="B78" s="681" t="s">
        <v>2701</v>
      </c>
      <c r="C78" s="676" t="s">
        <v>3692</v>
      </c>
      <c r="D78" s="48"/>
      <c r="M78" s="2"/>
      <c r="N78" s="681" t="s">
        <v>2701</v>
      </c>
      <c r="O78" s="1596" t="s">
        <v>4088</v>
      </c>
      <c r="P78" s="210"/>
      <c r="Q78" s="130"/>
    </row>
    <row r="79" spans="1:17" s="50" customFormat="1" ht="11.25" customHeight="1">
      <c r="A79" s="189"/>
      <c r="B79" s="681" t="s">
        <v>3324</v>
      </c>
      <c r="C79" s="676" t="s">
        <v>3693</v>
      </c>
      <c r="D79" s="48"/>
      <c r="M79" s="2"/>
      <c r="N79" s="681" t="s">
        <v>3324</v>
      </c>
      <c r="O79" s="1596" t="s">
        <v>4088</v>
      </c>
      <c r="P79" s="210"/>
      <c r="Q79" s="130"/>
    </row>
    <row r="80" spans="1:17" s="50" customFormat="1" ht="11.25" customHeight="1">
      <c r="A80" s="189"/>
      <c r="B80" s="681" t="s">
        <v>1645</v>
      </c>
      <c r="C80" s="676" t="s">
        <v>3694</v>
      </c>
      <c r="D80" s="48"/>
      <c r="M80" s="2"/>
      <c r="N80" s="681" t="s">
        <v>1645</v>
      </c>
      <c r="O80" s="1596" t="s">
        <v>4088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6" t="s">
        <v>4143</v>
      </c>
      <c r="B82" s="1707"/>
      <c r="C82" s="1707"/>
      <c r="D82" s="1707"/>
      <c r="E82" s="1707"/>
      <c r="F82" s="1707"/>
      <c r="G82" s="1707"/>
      <c r="H82" s="1707"/>
      <c r="I82" s="1707"/>
      <c r="J82" s="1707"/>
      <c r="K82" s="1707"/>
      <c r="L82" s="1707"/>
      <c r="M82" s="1707"/>
      <c r="N82" s="1707"/>
      <c r="O82" s="1707"/>
      <c r="P82" s="1708"/>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286" t="s">
        <v>3633</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3625</v>
      </c>
      <c r="B87" s="1148"/>
      <c r="C87" s="1148"/>
      <c r="D87" s="1148"/>
      <c r="E87" s="1148"/>
      <c r="F87" s="1148"/>
      <c r="G87" s="1148"/>
      <c r="H87" s="1148"/>
      <c r="I87" s="1148"/>
      <c r="J87" s="1148"/>
      <c r="K87" s="1148"/>
      <c r="L87" s="1148"/>
      <c r="M87" s="1148"/>
      <c r="N87" s="1148"/>
      <c r="O87" s="1148"/>
      <c r="P87" s="1148"/>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3574</v>
      </c>
      <c r="E89" s="142"/>
      <c r="M89" s="97">
        <v>4</v>
      </c>
      <c r="N89" s="31"/>
      <c r="O89" s="1679"/>
      <c r="P89" s="679"/>
    </row>
    <row r="90" spans="1:18" ht="11.45" customHeight="1">
      <c r="B90" s="483" t="s">
        <v>2701</v>
      </c>
      <c r="C90" s="601" t="s">
        <v>3757</v>
      </c>
      <c r="D90" s="1709" t="s">
        <v>3759</v>
      </c>
      <c r="E90" s="601" t="s">
        <v>3758</v>
      </c>
      <c r="H90" s="121" t="s">
        <v>3150</v>
      </c>
      <c r="K90" s="166" t="s">
        <v>3756</v>
      </c>
      <c r="L90" s="1710"/>
      <c r="M90" s="576"/>
      <c r="N90" s="574"/>
    </row>
    <row r="91" spans="1:18" ht="11.45" customHeight="1">
      <c r="B91" s="483" t="s">
        <v>3324</v>
      </c>
      <c r="C91" s="551" t="s">
        <v>3151</v>
      </c>
      <c r="E91" s="142"/>
      <c r="H91" s="121" t="s">
        <v>3152</v>
      </c>
      <c r="K91" s="670" t="s">
        <v>3726</v>
      </c>
      <c r="L91" s="1711"/>
      <c r="M91" s="576"/>
    </row>
    <row r="92" spans="1:18" ht="3" customHeight="1">
      <c r="B92" s="142"/>
      <c r="C92" s="142"/>
      <c r="D92" s="142"/>
      <c r="E92" s="142"/>
      <c r="R92" s="50"/>
    </row>
    <row r="93" spans="1:18" ht="11.45" customHeight="1">
      <c r="A93" s="171" t="s">
        <v>2698</v>
      </c>
      <c r="B93" s="229" t="s">
        <v>290</v>
      </c>
      <c r="D93" s="40"/>
      <c r="E93" s="40"/>
      <c r="F93" s="40"/>
      <c r="H93" s="1116" t="s">
        <v>3772</v>
      </c>
      <c r="I93" s="1116"/>
      <c r="J93" s="1117"/>
      <c r="K93" s="1712"/>
      <c r="L93" s="1713"/>
      <c r="M93" s="1713"/>
      <c r="N93" s="1713"/>
      <c r="O93" s="1713"/>
      <c r="P93" s="1714"/>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3"/>
      <c r="M95" s="577">
        <v>2</v>
      </c>
      <c r="O95" s="144" t="s">
        <v>3298</v>
      </c>
      <c r="P95" s="144" t="s">
        <v>3298</v>
      </c>
    </row>
    <row r="96" spans="1:18" s="50" customFormat="1" ht="11.45" customHeight="1">
      <c r="A96" s="482"/>
      <c r="B96" s="484" t="s">
        <v>3203</v>
      </c>
      <c r="C96" s="64" t="s">
        <v>3630</v>
      </c>
      <c r="D96" s="123"/>
      <c r="E96" s="813"/>
      <c r="G96" s="507"/>
      <c r="I96" s="1715" t="str">
        <f>'Part I-Project Information'!F34</f>
        <v>City of Augusta</v>
      </c>
      <c r="J96" s="1716"/>
      <c r="K96" s="1716"/>
      <c r="L96" s="1717"/>
      <c r="M96" s="482" t="str">
        <f>IF(AND($I$86="Statutory Redevelopment Plan",OR(O96="",I96=0)), "X","")</f>
        <v/>
      </c>
      <c r="N96" s="574" t="s">
        <v>3434</v>
      </c>
      <c r="O96" s="1654"/>
      <c r="P96" s="324"/>
    </row>
    <row r="97" spans="1:18" s="50" customFormat="1" ht="11.45" customHeight="1">
      <c r="A97" s="482"/>
      <c r="B97" s="484" t="s">
        <v>3204</v>
      </c>
      <c r="C97" s="64" t="s">
        <v>3626</v>
      </c>
      <c r="D97" s="123"/>
      <c r="E97" s="813"/>
      <c r="G97" s="507"/>
      <c r="I97" s="1718" t="s">
        <v>3627</v>
      </c>
      <c r="J97" s="1719"/>
      <c r="M97" s="482" t="str">
        <f>IF(AND($I$86="Statutory Redevelopment Plan",OR(O97="",I97="&lt;&lt;Select statute&gt;&gt;")), "X","")</f>
        <v/>
      </c>
      <c r="N97" s="484" t="s">
        <v>3204</v>
      </c>
      <c r="O97" s="1655"/>
      <c r="P97" s="473"/>
    </row>
    <row r="98" spans="1:18" s="50" customFormat="1" ht="11.45" customHeight="1">
      <c r="A98" s="482"/>
      <c r="B98" s="505" t="s">
        <v>3205</v>
      </c>
      <c r="C98" s="670" t="s">
        <v>3629</v>
      </c>
      <c r="D98" s="123"/>
      <c r="E98" s="813"/>
      <c r="G98" s="507"/>
      <c r="I98" s="1720"/>
      <c r="J98" s="1721"/>
      <c r="M98" s="482" t="str">
        <f>IF(AND($I$86="Statutory Redevelopment Plan",OR(O98="",I98="")), "X","")</f>
        <v/>
      </c>
      <c r="N98" s="505" t="s">
        <v>3205</v>
      </c>
      <c r="O98" s="1656"/>
      <c r="P98" s="325"/>
    </row>
    <row r="99" spans="1:18" s="50" customFormat="1" ht="11.45" customHeight="1">
      <c r="A99" s="482"/>
      <c r="B99" s="505" t="s">
        <v>3206</v>
      </c>
      <c r="C99" s="64" t="s">
        <v>3628</v>
      </c>
      <c r="E99" s="813"/>
      <c r="G99" s="507"/>
      <c r="J99" s="64" t="s">
        <v>3631</v>
      </c>
      <c r="K99" s="1722"/>
      <c r="L99" s="1723"/>
      <c r="M99" s="482" t="str">
        <f>IF(AND($I$86="Statutory Redevelopment Plan",OR(O99="",K99="")), "X","")</f>
        <v/>
      </c>
      <c r="N99" s="505" t="s">
        <v>3206</v>
      </c>
      <c r="O99" s="1654"/>
      <c r="P99" s="324"/>
    </row>
    <row r="100" spans="1:18" s="50" customFormat="1" ht="11.45" customHeight="1">
      <c r="A100" s="482"/>
      <c r="B100" s="505" t="s">
        <v>3207</v>
      </c>
      <c r="C100" s="64" t="s">
        <v>3632</v>
      </c>
      <c r="D100" s="123"/>
      <c r="E100" s="813"/>
      <c r="G100" s="507"/>
      <c r="J100" s="64" t="s">
        <v>3631</v>
      </c>
      <c r="K100" s="1722"/>
      <c r="L100" s="1723"/>
      <c r="M100" s="482" t="str">
        <f>IF(AND($I$86="Statutory Redevelopment Plan",OR(O100="",K100="")), "X","")</f>
        <v/>
      </c>
      <c r="N100" s="505" t="s">
        <v>3207</v>
      </c>
      <c r="O100" s="1656"/>
      <c r="P100" s="325"/>
    </row>
    <row r="101" spans="1:18" ht="3" customHeight="1">
      <c r="B101" s="142"/>
      <c r="C101" s="142"/>
      <c r="D101" s="142"/>
      <c r="E101" s="142"/>
      <c r="R101" s="50"/>
    </row>
    <row r="102" spans="1:18" s="50" customFormat="1" ht="11.45" customHeight="1">
      <c r="A102" s="482" t="str">
        <f>IF($I$86="Redevelopment Zone", "*","")</f>
        <v>*</v>
      </c>
      <c r="B102" s="483" t="s">
        <v>2701</v>
      </c>
      <c r="C102" s="136" t="s">
        <v>462</v>
      </c>
      <c r="D102" s="123"/>
      <c r="E102" s="813" t="s">
        <v>1433</v>
      </c>
      <c r="H102" s="1724" t="s">
        <v>4117</v>
      </c>
      <c r="I102" s="1725"/>
      <c r="J102" s="585" t="s">
        <v>3696</v>
      </c>
      <c r="K102" s="1718">
        <v>13245000700</v>
      </c>
      <c r="L102" s="1719"/>
      <c r="M102" s="577">
        <v>2</v>
      </c>
      <c r="N102" s="682" t="s">
        <v>2701</v>
      </c>
      <c r="O102" s="1726">
        <v>2</v>
      </c>
      <c r="P102" s="671"/>
      <c r="Q102" s="507" t="s">
        <v>3634</v>
      </c>
    </row>
    <row r="103" spans="1:18" s="50" customFormat="1" ht="11.45" customHeight="1">
      <c r="A103" s="482" t="str">
        <f>IF($I$87="Redevelopment Zone", "*","")</f>
        <v/>
      </c>
      <c r="B103" s="483"/>
      <c r="C103" s="136"/>
      <c r="D103" s="123"/>
      <c r="E103" s="813" t="s">
        <v>3770</v>
      </c>
      <c r="I103" s="1712" t="s">
        <v>4145</v>
      </c>
      <c r="J103" s="1713"/>
      <c r="K103" s="1713"/>
      <c r="L103" s="1714"/>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3"/>
      <c r="F105" s="502"/>
      <c r="H105" s="813" t="s">
        <v>552</v>
      </c>
      <c r="I105" s="1712"/>
      <c r="J105" s="1713"/>
      <c r="K105" s="1713"/>
      <c r="L105" s="1714"/>
      <c r="M105" s="577">
        <v>1</v>
      </c>
      <c r="N105" s="577"/>
      <c r="O105" s="1727"/>
      <c r="P105" s="547"/>
      <c r="Q105" s="507" t="s">
        <v>3634</v>
      </c>
    </row>
    <row r="106" spans="1:18" ht="11.45" customHeight="1">
      <c r="B106" s="484" t="s">
        <v>3203</v>
      </c>
      <c r="C106" s="813" t="s">
        <v>3639</v>
      </c>
      <c r="D106" s="121"/>
      <c r="J106" s="144" t="s">
        <v>772</v>
      </c>
      <c r="K106" s="1720"/>
      <c r="L106" s="1721"/>
      <c r="M106" s="482" t="str">
        <f>IF(AND($I$86="Local Redevelopment Plan",OR(O106="",K106="")), "X","")</f>
        <v/>
      </c>
      <c r="N106" s="505" t="s">
        <v>3127</v>
      </c>
      <c r="O106" s="1654"/>
      <c r="P106" s="324"/>
    </row>
    <row r="107" spans="1:18" ht="10.9" customHeight="1">
      <c r="B107" s="484" t="s">
        <v>3204</v>
      </c>
      <c r="C107" s="485" t="s">
        <v>3225</v>
      </c>
      <c r="D107" s="121"/>
      <c r="K107" s="162" t="s">
        <v>3631</v>
      </c>
      <c r="L107" s="1728"/>
      <c r="M107" s="482" t="str">
        <f t="shared" ref="M107:M112" si="0">IF(AND($I$86="Local Redevelopment Plan",OR(O107="",L107="")), "X","")</f>
        <v/>
      </c>
      <c r="N107" s="484" t="s">
        <v>3204</v>
      </c>
      <c r="O107" s="1729"/>
      <c r="P107" s="518"/>
    </row>
    <row r="108" spans="1:18" ht="10.9" customHeight="1">
      <c r="B108" s="484" t="s">
        <v>3205</v>
      </c>
      <c r="C108" s="485" t="s">
        <v>3226</v>
      </c>
      <c r="K108" s="162" t="s">
        <v>3631</v>
      </c>
      <c r="L108" s="1728"/>
      <c r="M108" s="482" t="str">
        <f t="shared" si="0"/>
        <v/>
      </c>
      <c r="N108" s="484" t="s">
        <v>3205</v>
      </c>
      <c r="O108" s="1655"/>
      <c r="P108" s="473"/>
    </row>
    <row r="109" spans="1:18" ht="10.9" customHeight="1">
      <c r="B109" s="484" t="s">
        <v>3206</v>
      </c>
      <c r="C109" s="485" t="s">
        <v>3227</v>
      </c>
      <c r="K109" s="162" t="s">
        <v>3631</v>
      </c>
      <c r="L109" s="1728"/>
      <c r="M109" s="482" t="str">
        <f t="shared" si="0"/>
        <v/>
      </c>
      <c r="N109" s="484" t="s">
        <v>3206</v>
      </c>
      <c r="O109" s="1655"/>
      <c r="P109" s="473"/>
    </row>
    <row r="110" spans="1:18" ht="10.9" customHeight="1">
      <c r="B110" s="484" t="s">
        <v>3207</v>
      </c>
      <c r="C110" s="68" t="s">
        <v>3228</v>
      </c>
      <c r="K110" s="162" t="s">
        <v>3631</v>
      </c>
      <c r="L110" s="1728"/>
      <c r="M110" s="482" t="str">
        <f t="shared" si="0"/>
        <v/>
      </c>
      <c r="N110" s="484" t="s">
        <v>3207</v>
      </c>
      <c r="O110" s="1655"/>
      <c r="P110" s="473"/>
    </row>
    <row r="111" spans="1:18" ht="10.9" customHeight="1">
      <c r="B111" s="484" t="s">
        <v>3223</v>
      </c>
      <c r="C111" s="485" t="s">
        <v>3229</v>
      </c>
      <c r="D111" s="121"/>
      <c r="K111" s="162" t="s">
        <v>3631</v>
      </c>
      <c r="L111" s="1728"/>
      <c r="M111" s="482" t="str">
        <f t="shared" si="0"/>
        <v/>
      </c>
      <c r="N111" s="484" t="s">
        <v>3223</v>
      </c>
      <c r="O111" s="1655"/>
      <c r="P111" s="473"/>
    </row>
    <row r="112" spans="1:18" ht="10.9" customHeight="1">
      <c r="B112" s="484" t="s">
        <v>3224</v>
      </c>
      <c r="C112" s="485" t="s">
        <v>3230</v>
      </c>
      <c r="K112" s="162" t="s">
        <v>3631</v>
      </c>
      <c r="L112" s="1728"/>
      <c r="M112" s="482" t="str">
        <f t="shared" si="0"/>
        <v/>
      </c>
      <c r="N112" s="484" t="s">
        <v>3224</v>
      </c>
      <c r="O112" s="1656"/>
      <c r="P112" s="325"/>
    </row>
    <row r="113" spans="1:17" ht="11.45" customHeight="1">
      <c r="A113" s="482" t="str">
        <f>IF($I$86="Stable Communities &lt; 20%", "*","")</f>
        <v/>
      </c>
      <c r="C113" s="499" t="s">
        <v>3234</v>
      </c>
      <c r="E113" s="142"/>
      <c r="M113" s="504"/>
      <c r="N113" s="31"/>
      <c r="O113" s="144"/>
      <c r="P113" s="144"/>
    </row>
    <row r="114" spans="1:17" ht="10.9" customHeight="1">
      <c r="B114" s="484" t="s">
        <v>3231</v>
      </c>
      <c r="C114" s="756" t="s">
        <v>3945</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6" t="s">
        <v>4146</v>
      </c>
      <c r="B117" s="1707"/>
      <c r="C117" s="1707"/>
      <c r="D117" s="1707"/>
      <c r="E117" s="1707"/>
      <c r="F117" s="1707"/>
      <c r="G117" s="1707"/>
      <c r="H117" s="1707"/>
      <c r="I117" s="1707"/>
      <c r="J117" s="1707"/>
      <c r="K117" s="1707"/>
      <c r="L117" s="1707"/>
      <c r="M117" s="1707"/>
      <c r="N117" s="1707"/>
      <c r="O117" s="1707"/>
      <c r="P117" s="1708"/>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3</v>
      </c>
      <c r="P121" s="92">
        <f>MIN($M121,(P122+P128))</f>
        <v>0</v>
      </c>
      <c r="Q121" s="130" t="s">
        <v>566</v>
      </c>
    </row>
    <row r="122" spans="1:17" ht="12" customHeight="1">
      <c r="B122" s="804"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27"/>
      <c r="P122" s="547"/>
      <c r="Q122" s="507" t="s">
        <v>3634</v>
      </c>
    </row>
    <row r="123" spans="1:17" s="121" customFormat="1" ht="22.9" customHeight="1">
      <c r="B123" s="509" t="s">
        <v>2699</v>
      </c>
      <c r="C123" s="1155" t="s">
        <v>3761</v>
      </c>
      <c r="D123" s="1094"/>
      <c r="E123" s="1094"/>
      <c r="F123" s="1094"/>
      <c r="G123" s="1094"/>
      <c r="H123" s="1094"/>
      <c r="I123" s="1094"/>
      <c r="J123" s="1094"/>
      <c r="K123" s="1094"/>
      <c r="L123" s="1094"/>
      <c r="M123" s="546"/>
      <c r="N123" s="509" t="s">
        <v>2699</v>
      </c>
      <c r="O123" s="1596"/>
      <c r="P123" s="210"/>
    </row>
    <row r="124" spans="1:17" s="121" customFormat="1" ht="11.45" customHeight="1">
      <c r="B124" s="225"/>
      <c r="C124" s="143" t="s">
        <v>1360</v>
      </c>
      <c r="H124" s="585" t="s">
        <v>3382</v>
      </c>
      <c r="I124" s="1730"/>
      <c r="J124" s="585" t="s">
        <v>3031</v>
      </c>
      <c r="K124" s="1731"/>
      <c r="L124" s="1732"/>
      <c r="M124" s="1733"/>
    </row>
    <row r="125" spans="1:17" s="121" customFormat="1" ht="11.45" customHeight="1">
      <c r="B125" s="225" t="s">
        <v>2701</v>
      </c>
      <c r="C125" s="143" t="s">
        <v>1361</v>
      </c>
      <c r="M125" s="8"/>
      <c r="N125" s="225" t="s">
        <v>2701</v>
      </c>
      <c r="O125" s="1654"/>
      <c r="P125" s="324"/>
    </row>
    <row r="126" spans="1:17" s="121" customFormat="1" ht="11.45" customHeight="1">
      <c r="B126" s="225" t="s">
        <v>3324</v>
      </c>
      <c r="C126" s="143" t="s">
        <v>1362</v>
      </c>
      <c r="M126" s="8"/>
      <c r="N126" s="225" t="s">
        <v>3324</v>
      </c>
      <c r="O126" s="1655"/>
      <c r="P126" s="473"/>
    </row>
    <row r="127" spans="1:17" s="121" customFormat="1" ht="11.45" customHeight="1">
      <c r="B127" s="225" t="s">
        <v>1645</v>
      </c>
      <c r="C127" s="143" t="s">
        <v>1363</v>
      </c>
      <c r="M127" s="8"/>
      <c r="N127" s="225" t="s">
        <v>1645</v>
      </c>
      <c r="O127" s="1656"/>
      <c r="P127" s="325"/>
    </row>
    <row r="128" spans="1:17" ht="12" customHeight="1">
      <c r="A128" s="229" t="s">
        <v>1788</v>
      </c>
      <c r="B128" s="804" t="s">
        <v>2698</v>
      </c>
      <c r="C128" s="229" t="s">
        <v>2960</v>
      </c>
      <c r="D128" s="142"/>
      <c r="E128" s="552" t="s">
        <v>3966</v>
      </c>
      <c r="M128" s="88">
        <v>3</v>
      </c>
      <c r="N128" s="654" t="s">
        <v>2698</v>
      </c>
      <c r="O128" s="548">
        <f>IF($M129=5,3,IF($M129=4,2,0))</f>
        <v>3</v>
      </c>
      <c r="P128" s="84"/>
    </row>
    <row r="129" spans="1:17" ht="12" customHeight="1">
      <c r="B129" s="580" t="s">
        <v>3699</v>
      </c>
      <c r="D129" s="40"/>
      <c r="E129" s="40"/>
      <c r="F129" s="40"/>
      <c r="G129" s="813"/>
      <c r="H129" s="813"/>
      <c r="I129" s="813"/>
      <c r="J129" s="813"/>
      <c r="M129" s="1734">
        <v>5</v>
      </c>
      <c r="N129" s="166" t="s">
        <v>3697</v>
      </c>
      <c r="O129" s="123"/>
      <c r="P129" s="123"/>
    </row>
    <row r="130" spans="1:17" ht="12" customHeight="1">
      <c r="B130" s="580" t="s">
        <v>3698</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0" t="s">
        <v>4147</v>
      </c>
      <c r="B132" s="1601"/>
      <c r="C132" s="1601"/>
      <c r="D132" s="1601"/>
      <c r="E132" s="1601"/>
      <c r="F132" s="1601"/>
      <c r="G132" s="1601"/>
      <c r="H132" s="1601"/>
      <c r="I132" s="1601"/>
      <c r="J132" s="1601"/>
      <c r="K132" s="1601"/>
      <c r="L132" s="1601"/>
      <c r="M132" s="1601"/>
      <c r="N132" s="1601"/>
      <c r="O132" s="1601"/>
      <c r="P132" s="1602"/>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700">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3700</v>
      </c>
      <c r="D138" s="597"/>
      <c r="M138" s="598"/>
      <c r="N138" s="506"/>
      <c r="O138" s="506" t="s">
        <v>3203</v>
      </c>
      <c r="P138" s="326"/>
    </row>
    <row r="139" spans="1:17" s="511" customFormat="1">
      <c r="A139" s="506" t="s">
        <v>3204</v>
      </c>
      <c r="B139" s="1156" t="s">
        <v>3461</v>
      </c>
      <c r="C139" s="931"/>
      <c r="D139" s="931"/>
      <c r="E139" s="931"/>
      <c r="F139" s="931"/>
      <c r="G139" s="931"/>
      <c r="H139" s="931"/>
      <c r="I139" s="931"/>
      <c r="J139" s="931"/>
      <c r="K139" s="931"/>
      <c r="L139" s="931"/>
      <c r="M139" s="931"/>
      <c r="N139" s="931"/>
      <c r="O139" s="506" t="s">
        <v>3204</v>
      </c>
      <c r="P139" s="599"/>
    </row>
    <row r="140" spans="1:17" s="511" customFormat="1" ht="24" customHeight="1">
      <c r="A140" s="506" t="s">
        <v>3205</v>
      </c>
      <c r="B140" s="1156" t="s">
        <v>3701</v>
      </c>
      <c r="C140" s="931"/>
      <c r="D140" s="931"/>
      <c r="E140" s="931"/>
      <c r="F140" s="931"/>
      <c r="G140" s="931"/>
      <c r="H140" s="931"/>
      <c r="I140" s="931"/>
      <c r="J140" s="931"/>
      <c r="K140" s="931"/>
      <c r="L140" s="931"/>
      <c r="M140" s="931"/>
      <c r="N140" s="931"/>
      <c r="O140" s="506" t="s">
        <v>3205</v>
      </c>
      <c r="P140" s="599"/>
    </row>
    <row r="141" spans="1:17" s="511" customFormat="1" ht="12.75" customHeight="1">
      <c r="A141" s="506" t="s">
        <v>3206</v>
      </c>
      <c r="B141" s="683" t="s">
        <v>3702</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0" t="s">
        <v>4148</v>
      </c>
      <c r="B144" s="1601"/>
      <c r="C144" s="1601"/>
      <c r="D144" s="1601"/>
      <c r="E144" s="1601"/>
      <c r="F144" s="1601"/>
      <c r="G144" s="1601"/>
      <c r="H144" s="1601"/>
      <c r="I144" s="1601"/>
      <c r="J144" s="1601"/>
      <c r="K144" s="1601"/>
      <c r="L144" s="1601"/>
      <c r="M144" s="1601"/>
      <c r="N144" s="1601"/>
      <c r="O144" s="1601"/>
      <c r="P144" s="1602"/>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3596</v>
      </c>
      <c r="L149" s="1596" t="s">
        <v>4088</v>
      </c>
      <c r="M149" s="8">
        <v>1</v>
      </c>
      <c r="N149" s="654" t="s">
        <v>2695</v>
      </c>
      <c r="O149" s="1700">
        <v>1</v>
      </c>
      <c r="P149" s="84"/>
      <c r="Q149" s="507"/>
      <c r="R149" s="490" t="str">
        <f>IF(OR($O149=$M149,$O149=0,$O149=""),"","* * Check Score! * *")</f>
        <v/>
      </c>
    </row>
    <row r="150" spans="1:18" s="50" customFormat="1" ht="12" customHeight="1">
      <c r="A150" s="171" t="s">
        <v>2698</v>
      </c>
      <c r="B150" s="213" t="s">
        <v>2963</v>
      </c>
      <c r="D150" s="68"/>
      <c r="H150" s="669" t="s">
        <v>3575</v>
      </c>
      <c r="K150" s="61"/>
      <c r="L150" s="1596"/>
      <c r="M150" s="8">
        <v>1</v>
      </c>
      <c r="N150" s="654" t="s">
        <v>2698</v>
      </c>
      <c r="O150" s="170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0" t="s">
        <v>4149</v>
      </c>
      <c r="B152" s="1601"/>
      <c r="C152" s="1601"/>
      <c r="D152" s="1601"/>
      <c r="E152" s="1601"/>
      <c r="F152" s="1601"/>
      <c r="G152" s="1601"/>
      <c r="H152" s="1601"/>
      <c r="I152" s="1601"/>
      <c r="J152" s="1601"/>
      <c r="K152" s="1601"/>
      <c r="L152" s="1601"/>
      <c r="M152" s="1601"/>
      <c r="N152" s="1601"/>
      <c r="O152" s="1601"/>
      <c r="P152" s="1602"/>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3560</v>
      </c>
      <c r="C156" s="105"/>
      <c r="D156" s="69"/>
      <c r="E156" s="61"/>
      <c r="J156" s="72"/>
      <c r="K156" s="611" t="s">
        <v>3580</v>
      </c>
      <c r="L156" s="652">
        <f>'Part I-Project Information'!$H$81</f>
        <v>0</v>
      </c>
      <c r="M156" s="2">
        <v>3</v>
      </c>
      <c r="N156" s="7"/>
      <c r="O156" s="7"/>
      <c r="P156" s="84"/>
      <c r="Q156" s="130" t="s">
        <v>566</v>
      </c>
    </row>
    <row r="157" spans="1:18" s="50" customFormat="1" ht="12" customHeight="1">
      <c r="A157" s="171"/>
      <c r="B157" s="64" t="s">
        <v>3087</v>
      </c>
      <c r="D157" s="40"/>
      <c r="N157" s="654"/>
      <c r="O157" s="1596"/>
      <c r="P157" s="210"/>
      <c r="R157" s="490"/>
    </row>
    <row r="158" spans="1:18" s="50" customFormat="1" ht="12" customHeight="1">
      <c r="A158" s="171"/>
      <c r="B158" s="64" t="s">
        <v>3588</v>
      </c>
      <c r="D158" s="40"/>
      <c r="N158" s="654"/>
      <c r="O158" s="1596"/>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0"/>
      <c r="B160" s="1601"/>
      <c r="C160" s="1601"/>
      <c r="D160" s="1601"/>
      <c r="E160" s="1601"/>
      <c r="F160" s="1601"/>
      <c r="G160" s="1601"/>
      <c r="H160" s="1601"/>
      <c r="I160" s="1601"/>
      <c r="J160" s="1601"/>
      <c r="K160" s="1601"/>
      <c r="L160" s="1601"/>
      <c r="M160" s="1601"/>
      <c r="N160" s="1601"/>
      <c r="O160" s="1601"/>
      <c r="P160" s="1602"/>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3589</v>
      </c>
      <c r="G164" s="141"/>
      <c r="H164" s="551"/>
      <c r="I164" s="653">
        <f>'Part VI-Revenues &amp; Expenses'!$M$62</f>
        <v>48</v>
      </c>
      <c r="J164" s="772" t="s">
        <v>2489</v>
      </c>
      <c r="K164" s="775">
        <f>'Part VI-Revenues &amp; Expenses'!$M$74/'Part VI-Revenues &amp; Expenses'!$M$62</f>
        <v>1</v>
      </c>
      <c r="L164" s="772" t="s">
        <v>4065</v>
      </c>
      <c r="M164" s="2">
        <v>3</v>
      </c>
      <c r="N164" s="517" t="str">
        <f>IF(OR($O164=$M164,$O164=0,$O164=""),"","***")</f>
        <v/>
      </c>
      <c r="O164" s="1700"/>
      <c r="P164" s="84"/>
      <c r="Q164" s="130" t="s">
        <v>566</v>
      </c>
      <c r="R164" s="31"/>
    </row>
    <row r="165" spans="1:18" s="74" customFormat="1" ht="25.15" customHeight="1">
      <c r="A165" s="189"/>
      <c r="B165" s="1028" t="s">
        <v>3663</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600"/>
      <c r="B167" s="1601"/>
      <c r="C167" s="1601"/>
      <c r="D167" s="1601"/>
      <c r="E167" s="1601"/>
      <c r="F167" s="1601"/>
      <c r="G167" s="1601"/>
      <c r="H167" s="1601"/>
      <c r="I167" s="1602"/>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0"/>
      <c r="P169" s="84"/>
      <c r="Q169" s="130" t="s">
        <v>566</v>
      </c>
    </row>
    <row r="170" spans="1:18" s="50" customFormat="1" ht="12.6" customHeight="1">
      <c r="B170" s="136" t="s">
        <v>2547</v>
      </c>
      <c r="D170" s="123"/>
      <c r="E170" s="1735" t="s">
        <v>2479</v>
      </c>
      <c r="F170" s="1736"/>
      <c r="G170" s="1737"/>
      <c r="H170" s="1738"/>
      <c r="I170" s="60" t="s">
        <v>2546</v>
      </c>
      <c r="O170" s="144" t="s">
        <v>3298</v>
      </c>
      <c r="P170" s="144" t="s">
        <v>3298</v>
      </c>
    </row>
    <row r="171" spans="1:18" s="121" customFormat="1" ht="11.45" customHeight="1">
      <c r="A171" s="171" t="s">
        <v>2695</v>
      </c>
      <c r="B171" s="143" t="s">
        <v>2358</v>
      </c>
      <c r="D171" s="143"/>
      <c r="E171" s="143"/>
      <c r="F171" s="143"/>
      <c r="G171" s="1739" t="s">
        <v>3310</v>
      </c>
      <c r="H171" s="1740"/>
      <c r="I171" s="1741"/>
      <c r="J171" s="1739" t="s">
        <v>1607</v>
      </c>
      <c r="K171" s="1740"/>
      <c r="L171" s="1741"/>
      <c r="N171" s="654" t="s">
        <v>2695</v>
      </c>
      <c r="O171" s="1596"/>
      <c r="P171" s="210"/>
    </row>
    <row r="172" spans="1:18" s="121" customFormat="1" ht="11.45" customHeight="1">
      <c r="A172" s="171" t="s">
        <v>2698</v>
      </c>
      <c r="B172" s="143" t="s">
        <v>435</v>
      </c>
      <c r="D172" s="143"/>
      <c r="E172" s="143"/>
      <c r="F172" s="143"/>
      <c r="G172" s="143"/>
      <c r="L172" s="143"/>
      <c r="M172" s="143"/>
      <c r="N172" s="654" t="s">
        <v>2698</v>
      </c>
      <c r="O172" s="1596"/>
      <c r="P172" s="210"/>
    </row>
    <row r="173" spans="1:18" s="121" customFormat="1" ht="11.45" customHeight="1">
      <c r="A173" s="171" t="s">
        <v>1054</v>
      </c>
      <c r="B173" s="143" t="s">
        <v>2318</v>
      </c>
      <c r="D173" s="143"/>
      <c r="E173" s="143"/>
      <c r="F173" s="143"/>
      <c r="G173" s="143"/>
      <c r="H173" s="143"/>
      <c r="L173" s="143"/>
      <c r="M173" s="143"/>
      <c r="N173" s="654" t="s">
        <v>1054</v>
      </c>
      <c r="O173" s="1596"/>
      <c r="P173" s="210"/>
    </row>
    <row r="174" spans="1:18" s="121" customFormat="1" ht="11.45" customHeight="1">
      <c r="A174" s="171" t="s">
        <v>2831</v>
      </c>
      <c r="B174" s="166" t="s">
        <v>3533</v>
      </c>
      <c r="D174" s="143"/>
      <c r="E174" s="143"/>
      <c r="F174" s="143"/>
      <c r="G174" s="143"/>
      <c r="H174" s="143"/>
      <c r="I174" s="143"/>
      <c r="J174" s="143"/>
      <c r="K174" s="143"/>
      <c r="L174" s="143"/>
      <c r="M174" s="143"/>
      <c r="N174" s="654" t="s">
        <v>2831</v>
      </c>
      <c r="O174" s="1596"/>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0"/>
      <c r="B176" s="1601"/>
      <c r="C176" s="1601"/>
      <c r="D176" s="1601"/>
      <c r="E176" s="1601"/>
      <c r="F176" s="1601"/>
      <c r="G176" s="1601"/>
      <c r="H176" s="1601"/>
      <c r="I176" s="1601"/>
      <c r="J176" s="1601"/>
      <c r="K176" s="1601"/>
      <c r="L176" s="1601"/>
      <c r="M176" s="1601"/>
      <c r="N176" s="1601"/>
      <c r="O176" s="1601"/>
      <c r="P176" s="1602"/>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3548</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54"/>
      <c r="P182" s="324"/>
    </row>
    <row r="183" spans="1:18" s="121" customFormat="1" ht="11.25" customHeight="1">
      <c r="B183" s="596" t="s">
        <v>2701</v>
      </c>
      <c r="C183" s="121" t="s">
        <v>738</v>
      </c>
      <c r="N183" s="225" t="s">
        <v>2701</v>
      </c>
      <c r="O183" s="1655"/>
      <c r="P183" s="473"/>
    </row>
    <row r="184" spans="1:18" s="121" customFormat="1" ht="11.25" customHeight="1">
      <c r="B184" s="596" t="s">
        <v>3324</v>
      </c>
      <c r="C184" s="121" t="s">
        <v>739</v>
      </c>
      <c r="N184" s="225" t="s">
        <v>3324</v>
      </c>
      <c r="O184" s="1655"/>
      <c r="P184" s="473"/>
    </row>
    <row r="185" spans="1:18" s="121" customFormat="1" ht="11.25" customHeight="1">
      <c r="B185" s="596" t="s">
        <v>1645</v>
      </c>
      <c r="C185" s="121" t="s">
        <v>740</v>
      </c>
      <c r="N185" s="225" t="s">
        <v>1645</v>
      </c>
      <c r="O185" s="1655"/>
      <c r="P185" s="473"/>
    </row>
    <row r="186" spans="1:18" s="121" customFormat="1" ht="11.25" customHeight="1">
      <c r="B186" s="596" t="s">
        <v>1646</v>
      </c>
      <c r="C186" s="121" t="s">
        <v>748</v>
      </c>
      <c r="N186" s="225" t="s">
        <v>1646</v>
      </c>
      <c r="O186" s="1656"/>
      <c r="P186" s="325"/>
    </row>
    <row r="187" spans="1:18" s="121" customFormat="1" ht="6" customHeight="1">
      <c r="B187" s="596"/>
    </row>
    <row r="188" spans="1:18" s="50" customFormat="1" ht="11.25" customHeight="1">
      <c r="A188" s="171" t="s">
        <v>2695</v>
      </c>
      <c r="B188" s="231" t="s">
        <v>2549</v>
      </c>
      <c r="D188" s="813"/>
      <c r="E188" s="813"/>
      <c r="F188" s="40"/>
      <c r="G188" s="123"/>
      <c r="H188" s="123"/>
      <c r="I188" s="123"/>
      <c r="J188" s="813"/>
      <c r="K188" s="123"/>
      <c r="L188" s="40"/>
      <c r="M188" s="577">
        <v>4</v>
      </c>
      <c r="N188" s="654" t="s">
        <v>2695</v>
      </c>
      <c r="O188" s="186">
        <f>IF($I207&gt;=0.15, 4,IF($I207&gt;=0.1, 3,IF($I207&gt;=0.05, 2,IF($I207&gt;=0.02, 1,0))))</f>
        <v>2</v>
      </c>
      <c r="P188" s="186">
        <f>IF($L207&gt;=0.15, 4,IF($L207&gt;=0.1, 3,IF($L207&gt;=0.05, 2,IF($L207&gt;=0.02, 1,0))))</f>
        <v>0</v>
      </c>
    </row>
    <row r="189" spans="1:18" ht="12" customHeight="1">
      <c r="B189" s="483" t="s">
        <v>2699</v>
      </c>
      <c r="C189" s="602" t="s">
        <v>3443</v>
      </c>
      <c r="I189" s="1126" t="s">
        <v>2703</v>
      </c>
      <c r="J189" s="1126"/>
      <c r="L189" s="815" t="s">
        <v>2703</v>
      </c>
      <c r="M189" s="196"/>
      <c r="N189" s="225" t="s">
        <v>2699</v>
      </c>
    </row>
    <row r="190" spans="1:18" s="50" customFormat="1" ht="11.25" customHeight="1">
      <c r="A190" s="226"/>
      <c r="B190" s="132"/>
      <c r="C190" s="484" t="s">
        <v>3203</v>
      </c>
      <c r="D190" s="44" t="s">
        <v>1930</v>
      </c>
      <c r="H190" s="64"/>
      <c r="I190" s="1742"/>
      <c r="J190" s="1743"/>
      <c r="K190" s="228"/>
      <c r="L190" s="586"/>
      <c r="M190" s="88"/>
      <c r="N190" s="484" t="s">
        <v>3203</v>
      </c>
      <c r="O190" s="1654"/>
      <c r="P190" s="324"/>
      <c r="R190" s="490"/>
    </row>
    <row r="191" spans="1:18" ht="11.25" customHeight="1">
      <c r="A191" s="227"/>
      <c r="B191" s="97"/>
      <c r="C191" s="506" t="s">
        <v>3204</v>
      </c>
      <c r="D191" s="44" t="s">
        <v>1931</v>
      </c>
      <c r="H191" s="64"/>
      <c r="I191" s="1742"/>
      <c r="J191" s="1743"/>
      <c r="L191" s="586"/>
      <c r="M191" s="88"/>
      <c r="N191" s="506" t="s">
        <v>3204</v>
      </c>
      <c r="O191" s="1655"/>
      <c r="P191" s="473"/>
      <c r="R191" s="490"/>
    </row>
    <row r="192" spans="1:18" ht="11.25" customHeight="1">
      <c r="B192" s="596"/>
      <c r="C192" s="484" t="s">
        <v>3205</v>
      </c>
      <c r="D192" s="44" t="s">
        <v>3440</v>
      </c>
      <c r="H192" s="64"/>
      <c r="I192" s="1742"/>
      <c r="J192" s="1743"/>
      <c r="L192" s="586"/>
      <c r="M192" s="88"/>
      <c r="N192" s="484" t="s">
        <v>3205</v>
      </c>
      <c r="O192" s="1655"/>
      <c r="P192" s="473"/>
      <c r="R192" s="490"/>
    </row>
    <row r="193" spans="1:18" ht="11.25" customHeight="1">
      <c r="A193" s="227"/>
      <c r="B193" s="596"/>
      <c r="C193" s="484" t="s">
        <v>3206</v>
      </c>
      <c r="D193" s="44" t="s">
        <v>3441</v>
      </c>
      <c r="I193" s="1742"/>
      <c r="J193" s="1743"/>
      <c r="L193" s="586"/>
      <c r="M193" s="88"/>
      <c r="N193" s="484" t="s">
        <v>3206</v>
      </c>
      <c r="O193" s="1655"/>
      <c r="P193" s="473"/>
      <c r="R193" s="490"/>
    </row>
    <row r="194" spans="1:18" s="50" customFormat="1" ht="11.25" customHeight="1">
      <c r="A194" s="226"/>
      <c r="B194" s="596"/>
      <c r="C194" s="506" t="s">
        <v>3207</v>
      </c>
      <c r="D194" s="44" t="s">
        <v>1932</v>
      </c>
      <c r="H194" s="64"/>
      <c r="I194" s="1742"/>
      <c r="J194" s="1743"/>
      <c r="K194" s="228"/>
      <c r="L194" s="586"/>
      <c r="M194" s="88"/>
      <c r="N194" s="506" t="s">
        <v>3207</v>
      </c>
      <c r="O194" s="1655"/>
      <c r="P194" s="473"/>
      <c r="R194" s="490"/>
    </row>
    <row r="195" spans="1:18" ht="11.25" customHeight="1">
      <c r="B195" s="596"/>
      <c r="C195" s="484" t="s">
        <v>3223</v>
      </c>
      <c r="D195" s="44" t="s">
        <v>1933</v>
      </c>
      <c r="H195" s="64"/>
      <c r="I195" s="1742"/>
      <c r="J195" s="1743"/>
      <c r="L195" s="586"/>
      <c r="M195" s="88"/>
      <c r="N195" s="484" t="s">
        <v>3223</v>
      </c>
      <c r="O195" s="1655"/>
      <c r="P195" s="473"/>
      <c r="R195" s="490"/>
    </row>
    <row r="196" spans="1:18" ht="11.25" customHeight="1">
      <c r="A196" s="227"/>
      <c r="B196" s="596"/>
      <c r="C196" s="484" t="s">
        <v>3224</v>
      </c>
      <c r="D196" s="44" t="s">
        <v>1934</v>
      </c>
      <c r="H196" s="64"/>
      <c r="I196" s="1742"/>
      <c r="J196" s="1743"/>
      <c r="L196" s="586"/>
      <c r="M196" s="88"/>
      <c r="N196" s="484" t="s">
        <v>3224</v>
      </c>
      <c r="O196" s="1655"/>
      <c r="P196" s="473"/>
      <c r="R196" s="490"/>
    </row>
    <row r="197" spans="1:18" ht="11.25" customHeight="1">
      <c r="B197" s="596"/>
      <c r="C197" s="505" t="s">
        <v>3231</v>
      </c>
      <c r="D197" s="44" t="s">
        <v>3703</v>
      </c>
      <c r="H197" s="64"/>
      <c r="I197" s="1742"/>
      <c r="J197" s="1743"/>
      <c r="L197" s="586"/>
      <c r="M197" s="88"/>
      <c r="N197" s="505" t="s">
        <v>3231</v>
      </c>
      <c r="O197" s="1655"/>
      <c r="P197" s="473"/>
      <c r="R197" s="490"/>
    </row>
    <row r="198" spans="1:18" ht="11.25" customHeight="1">
      <c r="A198" s="227"/>
      <c r="B198" s="596"/>
      <c r="C198" s="505" t="s">
        <v>3232</v>
      </c>
      <c r="D198" s="44" t="s">
        <v>3704</v>
      </c>
      <c r="H198" s="64"/>
      <c r="I198" s="1742"/>
      <c r="J198" s="1743"/>
      <c r="L198" s="586"/>
      <c r="M198" s="88"/>
      <c r="N198" s="505" t="s">
        <v>3232</v>
      </c>
      <c r="O198" s="1655"/>
      <c r="P198" s="473"/>
      <c r="R198" s="490"/>
    </row>
    <row r="199" spans="1:18" ht="11.25" customHeight="1">
      <c r="A199" s="227"/>
      <c r="B199" s="596"/>
      <c r="C199" s="505" t="s">
        <v>3233</v>
      </c>
      <c r="D199" s="44" t="s">
        <v>3705</v>
      </c>
      <c r="H199" s="64"/>
      <c r="I199" s="1742"/>
      <c r="J199" s="1743"/>
      <c r="L199" s="586"/>
      <c r="M199" s="88"/>
      <c r="N199" s="505" t="s">
        <v>3233</v>
      </c>
      <c r="O199" s="1655"/>
      <c r="P199" s="473"/>
      <c r="R199" s="490"/>
    </row>
    <row r="200" spans="1:18" ht="11.25" customHeight="1">
      <c r="A200" s="227"/>
      <c r="B200" s="596"/>
      <c r="C200" s="505" t="s">
        <v>771</v>
      </c>
      <c r="D200" s="44" t="s">
        <v>3706</v>
      </c>
      <c r="H200" s="64"/>
      <c r="I200" s="1742">
        <v>450000</v>
      </c>
      <c r="J200" s="1743"/>
      <c r="L200" s="586"/>
      <c r="M200" s="88"/>
      <c r="N200" s="505" t="s">
        <v>771</v>
      </c>
      <c r="O200" s="1655" t="s">
        <v>4088</v>
      </c>
      <c r="P200" s="473"/>
      <c r="R200" s="490"/>
    </row>
    <row r="201" spans="1:18" ht="11.25" customHeight="1">
      <c r="A201" s="227"/>
      <c r="B201" s="596"/>
      <c r="C201" s="505" t="s">
        <v>3709</v>
      </c>
      <c r="D201" s="44" t="s">
        <v>3707</v>
      </c>
      <c r="H201" s="64"/>
      <c r="I201" s="1742"/>
      <c r="J201" s="1743"/>
      <c r="L201" s="586"/>
      <c r="M201" s="88"/>
      <c r="N201" s="505" t="s">
        <v>3709</v>
      </c>
      <c r="O201" s="1655"/>
      <c r="P201" s="473"/>
      <c r="R201" s="490"/>
    </row>
    <row r="202" spans="1:18" ht="11.25" customHeight="1">
      <c r="A202" s="227"/>
      <c r="B202" s="596"/>
      <c r="C202" s="505" t="s">
        <v>3710</v>
      </c>
      <c r="D202" s="44" t="s">
        <v>3708</v>
      </c>
      <c r="H202" s="64"/>
      <c r="I202" s="1742"/>
      <c r="J202" s="1743"/>
      <c r="L202" s="586"/>
      <c r="M202" s="88"/>
      <c r="N202" s="505" t="s">
        <v>3710</v>
      </c>
      <c r="O202" s="1655"/>
      <c r="P202" s="473"/>
      <c r="R202" s="490"/>
    </row>
    <row r="203" spans="1:18" ht="11.25" customHeight="1" thickBot="1">
      <c r="A203" s="227"/>
      <c r="B203" s="596"/>
      <c r="C203" s="505" t="s">
        <v>3711</v>
      </c>
      <c r="D203" s="582" t="s">
        <v>3442</v>
      </c>
      <c r="E203" s="583"/>
      <c r="F203" s="583"/>
      <c r="G203" s="583"/>
      <c r="H203" s="584"/>
      <c r="I203" s="1744"/>
      <c r="J203" s="1745"/>
      <c r="L203" s="590"/>
      <c r="M203" s="88"/>
      <c r="N203" s="505" t="s">
        <v>3711</v>
      </c>
      <c r="O203" s="1656"/>
      <c r="P203" s="325"/>
      <c r="R203" s="490"/>
    </row>
    <row r="204" spans="1:18" ht="12" customHeight="1" thickBot="1">
      <c r="A204" s="227"/>
      <c r="B204" s="596"/>
      <c r="D204" s="580" t="s">
        <v>3445</v>
      </c>
      <c r="H204" s="64"/>
      <c r="I204" s="1746">
        <f>SUM(I190:J203)</f>
        <v>450000</v>
      </c>
      <c r="J204" s="1747"/>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3444</v>
      </c>
      <c r="D206" s="580" t="s">
        <v>3446</v>
      </c>
      <c r="I206" s="1127">
        <f>'Part IV-Uses of Funds'!$G$129</f>
        <v>6870712.5</v>
      </c>
      <c r="J206" s="1128"/>
      <c r="M206" s="196"/>
      <c r="N206" s="31"/>
      <c r="O206" s="31"/>
      <c r="P206" s="31"/>
    </row>
    <row r="207" spans="1:18" ht="12" customHeight="1">
      <c r="B207" s="225"/>
      <c r="C207" s="579"/>
      <c r="D207" s="600" t="s">
        <v>3447</v>
      </c>
      <c r="G207" s="589"/>
      <c r="H207" s="589"/>
      <c r="I207" s="1119">
        <f>IF($I206=0,0,$I204/$I206)</f>
        <v>6.5495390761875133E-2</v>
      </c>
      <c r="J207" s="1120"/>
      <c r="L207" s="581">
        <f>IF($I206=0,0,$L204/$I206)</f>
        <v>0</v>
      </c>
      <c r="M207" s="196"/>
      <c r="N207" s="31"/>
      <c r="O207" s="31"/>
      <c r="P207" s="31"/>
    </row>
    <row r="208" spans="1:18" s="50" customFormat="1" ht="12.75" customHeight="1">
      <c r="A208" s="171" t="s">
        <v>2698</v>
      </c>
      <c r="B208" s="231" t="s">
        <v>3576</v>
      </c>
      <c r="D208" s="47"/>
      <c r="E208" s="44"/>
      <c r="F208" s="674"/>
      <c r="H208" s="44"/>
      <c r="I208" s="674"/>
      <c r="J208" s="38"/>
      <c r="K208" s="38"/>
      <c r="L208" s="38"/>
      <c r="M208" s="88">
        <v>1</v>
      </c>
      <c r="N208" s="654" t="s">
        <v>2698</v>
      </c>
      <c r="O208" s="1596"/>
      <c r="P208" s="84"/>
      <c r="Q208" s="507" t="s">
        <v>3634</v>
      </c>
    </row>
    <row r="209" spans="1:18" s="50" customFormat="1" ht="11.25" customHeight="1">
      <c r="A209" s="171"/>
      <c r="B209" s="1028" t="s">
        <v>3712</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8"/>
      <c r="F212" s="1749"/>
      <c r="G212" s="1749"/>
      <c r="H212" s="1750"/>
      <c r="K212" s="228"/>
      <c r="M212" s="7"/>
      <c r="N212" s="7"/>
      <c r="O212" s="7"/>
      <c r="P212" s="7"/>
    </row>
    <row r="213" spans="1:18" ht="12" customHeight="1">
      <c r="A213" s="227"/>
      <c r="B213" s="510" t="s">
        <v>3111</v>
      </c>
      <c r="D213" s="511"/>
      <c r="E213" s="1751"/>
      <c r="F213" s="1752"/>
      <c r="G213" s="1752"/>
      <c r="H213" s="1752"/>
      <c r="I213" s="1752"/>
      <c r="J213" s="1752"/>
      <c r="K213" s="1752"/>
      <c r="L213" s="1752"/>
      <c r="M213" s="1752"/>
      <c r="N213" s="1752"/>
      <c r="O213" s="1752"/>
      <c r="P213" s="1318"/>
    </row>
    <row r="214" spans="1:18" ht="12.6" customHeight="1">
      <c r="B214" s="44" t="s">
        <v>3549</v>
      </c>
      <c r="E214" s="585"/>
      <c r="I214" s="1753"/>
      <c r="J214" s="1754"/>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23.25" customHeight="1">
      <c r="A216" s="1600" t="s">
        <v>4153</v>
      </c>
      <c r="B216" s="1601"/>
      <c r="C216" s="1601"/>
      <c r="D216" s="1601"/>
      <c r="E216" s="1601"/>
      <c r="F216" s="1601"/>
      <c r="G216" s="1601"/>
      <c r="H216" s="1601"/>
      <c r="I216" s="1601"/>
      <c r="J216" s="1601"/>
      <c r="K216" s="1601"/>
      <c r="L216" s="1601"/>
      <c r="M216" s="1601"/>
      <c r="N216" s="1601"/>
      <c r="O216" s="1601"/>
      <c r="P216" s="1602"/>
      <c r="Q216" s="614" t="s">
        <v>1677</v>
      </c>
    </row>
    <row r="217" spans="1:18" s="123" customFormat="1" ht="10.9" customHeight="1">
      <c r="A217" s="49"/>
      <c r="B217" s="118" t="s">
        <v>2572</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3714</v>
      </c>
      <c r="D221" s="40"/>
      <c r="H221" s="64" t="s">
        <v>3087</v>
      </c>
      <c r="M221" s="88">
        <v>6</v>
      </c>
      <c r="N221" s="654" t="s">
        <v>2695</v>
      </c>
      <c r="O221" s="1654"/>
      <c r="P221" s="324"/>
      <c r="R221" s="490"/>
    </row>
    <row r="222" spans="1:18" s="50" customFormat="1" ht="23.25" customHeight="1">
      <c r="A222" s="49"/>
      <c r="B222" s="1121" t="s">
        <v>3752</v>
      </c>
      <c r="C222" s="1122"/>
      <c r="D222" s="1122"/>
      <c r="E222" s="1122"/>
      <c r="F222" s="1122"/>
      <c r="G222" s="1122"/>
      <c r="H222" s="1122"/>
      <c r="I222" s="1122"/>
      <c r="J222" s="1122"/>
      <c r="K222" s="1122"/>
      <c r="L222" s="1122"/>
      <c r="M222" s="53"/>
      <c r="N222" s="73"/>
      <c r="O222" s="1656"/>
      <c r="P222" s="325"/>
    </row>
    <row r="223" spans="1:18" s="50" customFormat="1" ht="12" customHeight="1">
      <c r="A223" s="171" t="s">
        <v>2698</v>
      </c>
      <c r="B223" s="213" t="s">
        <v>3713</v>
      </c>
      <c r="D223" s="40"/>
      <c r="E223" s="40"/>
      <c r="F223" s="40"/>
      <c r="R223" s="490"/>
    </row>
    <row r="224" spans="1:18" s="50" customFormat="1" ht="12" customHeight="1">
      <c r="A224" s="171"/>
      <c r="B224" s="64" t="s">
        <v>3087</v>
      </c>
      <c r="D224" s="40"/>
      <c r="M224" s="132">
        <v>3</v>
      </c>
      <c r="N224" s="654" t="s">
        <v>2698</v>
      </c>
      <c r="O224" s="1654"/>
      <c r="P224" s="324"/>
      <c r="R224" s="490"/>
    </row>
    <row r="225" spans="1:18" s="50" customFormat="1" ht="12" customHeight="1">
      <c r="A225" s="171"/>
      <c r="B225" s="64" t="s">
        <v>3771</v>
      </c>
      <c r="D225" s="40"/>
      <c r="N225" s="654"/>
      <c r="O225" s="1656"/>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0"/>
      <c r="B227" s="1601"/>
      <c r="C227" s="1601"/>
      <c r="D227" s="1601"/>
      <c r="E227" s="1601"/>
      <c r="F227" s="1601"/>
      <c r="G227" s="1601"/>
      <c r="H227" s="1601"/>
      <c r="I227" s="1601"/>
      <c r="J227" s="1601"/>
      <c r="K227" s="1601"/>
      <c r="L227" s="1601"/>
      <c r="M227" s="1601"/>
      <c r="N227" s="1601"/>
      <c r="O227" s="1601"/>
      <c r="P227" s="1602"/>
      <c r="Q227" s="614" t="s">
        <v>1677</v>
      </c>
    </row>
    <row r="228" spans="1:18" s="123" customFormat="1" ht="10.5" customHeight="1">
      <c r="A228" s="49"/>
      <c r="B228" s="118" t="s">
        <v>2572</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3664</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3665</v>
      </c>
      <c r="D232" s="40"/>
      <c r="E232" s="40"/>
      <c r="F232" s="40"/>
      <c r="L232" s="685" t="str">
        <f>IF(OR($O232=$M232,$O232=0,$O232=""),"","* * Check Score! * *")</f>
        <v/>
      </c>
      <c r="M232" s="7">
        <v>3</v>
      </c>
      <c r="N232" s="654" t="s">
        <v>2695</v>
      </c>
      <c r="O232" s="1755">
        <v>3</v>
      </c>
      <c r="P232" s="621"/>
      <c r="Q232" s="507" t="s">
        <v>3634</v>
      </c>
      <c r="R232" s="130"/>
    </row>
    <row r="233" spans="1:18" s="50" customFormat="1" ht="33" customHeight="1">
      <c r="A233" s="171"/>
      <c r="B233" s="1159" t="s">
        <v>3715</v>
      </c>
      <c r="C233" s="1159"/>
      <c r="D233" s="1159"/>
      <c r="E233" s="1159"/>
      <c r="F233" s="1159"/>
      <c r="G233" s="1159"/>
      <c r="H233" s="1159"/>
      <c r="I233" s="1159"/>
      <c r="J233" s="1159"/>
      <c r="K233" s="1159"/>
      <c r="L233" s="1159"/>
      <c r="M233" s="490"/>
      <c r="N233" s="490"/>
      <c r="O233" s="1756" t="s">
        <v>4118</v>
      </c>
      <c r="P233" s="622"/>
      <c r="Q233" s="130"/>
      <c r="R233" s="490"/>
    </row>
    <row r="234" spans="1:18" s="50" customFormat="1" ht="12" customHeight="1">
      <c r="A234" s="171" t="s">
        <v>2698</v>
      </c>
      <c r="B234" s="213" t="s">
        <v>3666</v>
      </c>
      <c r="D234" s="813"/>
      <c r="F234" s="38"/>
      <c r="G234" s="123"/>
      <c r="H234" s="72"/>
      <c r="K234" s="123"/>
      <c r="L234" s="685" t="str">
        <f>IF(OR($O234=$M234,$O234=0,$O234=""),"","* * Check Score! * *")</f>
        <v/>
      </c>
      <c r="M234" s="7">
        <v>3</v>
      </c>
      <c r="N234" s="654" t="s">
        <v>2698</v>
      </c>
      <c r="O234" s="1726"/>
      <c r="P234" s="671"/>
      <c r="Q234" s="507" t="s">
        <v>3634</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0" t="s">
        <v>4150</v>
      </c>
      <c r="B236" s="1601"/>
      <c r="C236" s="1601"/>
      <c r="D236" s="1601"/>
      <c r="E236" s="1601"/>
      <c r="F236" s="1601"/>
      <c r="G236" s="1601"/>
      <c r="H236" s="1601"/>
      <c r="I236" s="1601"/>
      <c r="J236" s="1601"/>
      <c r="K236" s="1601"/>
      <c r="L236" s="1601"/>
      <c r="M236" s="1601"/>
      <c r="N236" s="1601"/>
      <c r="O236" s="1601"/>
      <c r="P236" s="1602"/>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3667</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093" t="s">
        <v>3716</v>
      </c>
      <c r="D241" s="1093"/>
      <c r="E241" s="1093"/>
      <c r="F241" s="1093"/>
      <c r="G241" s="1093"/>
      <c r="H241" s="1093"/>
      <c r="I241" s="1093"/>
      <c r="J241" s="1093"/>
      <c r="K241" s="1093"/>
      <c r="L241" s="1093"/>
      <c r="M241" s="545">
        <v>3</v>
      </c>
      <c r="N241" s="199" t="s">
        <v>2695</v>
      </c>
      <c r="O241" s="1755"/>
      <c r="P241" s="621"/>
      <c r="Q241" s="221" t="s">
        <v>3634</v>
      </c>
    </row>
    <row r="242" spans="1:17" s="544" customFormat="1" ht="22.5" customHeight="1">
      <c r="A242" s="592" t="s">
        <v>1788</v>
      </c>
      <c r="B242" s="603" t="s">
        <v>2698</v>
      </c>
      <c r="C242" s="1093" t="s">
        <v>3763</v>
      </c>
      <c r="D242" s="1093"/>
      <c r="E242" s="1093"/>
      <c r="F242" s="1093"/>
      <c r="G242" s="1093"/>
      <c r="H242" s="1093"/>
      <c r="I242" s="1093"/>
      <c r="J242" s="1093"/>
      <c r="K242" s="1093"/>
      <c r="L242" s="1093"/>
      <c r="M242" s="545">
        <v>1</v>
      </c>
      <c r="N242" s="199" t="s">
        <v>2698</v>
      </c>
      <c r="O242" s="1756"/>
      <c r="P242" s="622"/>
      <c r="Q242" s="221" t="s">
        <v>3634</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0"/>
      <c r="B244" s="1601"/>
      <c r="C244" s="1601"/>
      <c r="D244" s="1601"/>
      <c r="E244" s="1601"/>
      <c r="F244" s="1601"/>
      <c r="G244" s="1601"/>
      <c r="H244" s="1601"/>
      <c r="I244" s="1601"/>
      <c r="J244" s="1601"/>
      <c r="K244" s="1601"/>
      <c r="L244" s="1601"/>
      <c r="M244" s="1601"/>
      <c r="N244" s="1601"/>
      <c r="O244" s="1601"/>
      <c r="P244" s="1602"/>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3448</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3449</v>
      </c>
      <c r="D249" s="1123" t="s">
        <v>3743</v>
      </c>
      <c r="E249" s="1123"/>
      <c r="F249" s="1123"/>
      <c r="G249" s="1123"/>
      <c r="H249" s="1123"/>
      <c r="I249" s="1123"/>
      <c r="J249" s="1123"/>
      <c r="K249" s="1123"/>
      <c r="L249" s="1123"/>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3450</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3590</v>
      </c>
      <c r="D251" s="510"/>
      <c r="E251" s="510"/>
      <c r="F251" s="510"/>
      <c r="G251" s="510"/>
      <c r="H251" s="510"/>
      <c r="I251" s="510"/>
      <c r="J251" s="811"/>
      <c r="K251" s="811"/>
      <c r="L251" s="811"/>
      <c r="M251" s="595"/>
      <c r="O251" s="1700"/>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3717</v>
      </c>
      <c r="D253" s="1093"/>
      <c r="E253" s="1093"/>
      <c r="F253" s="1093"/>
      <c r="G253" s="1093"/>
      <c r="H253" s="1093"/>
      <c r="I253" s="1093"/>
      <c r="J253" s="1093"/>
      <c r="K253" s="1093"/>
      <c r="L253" s="1093"/>
      <c r="M253" s="595"/>
      <c r="N253" s="545"/>
      <c r="O253" s="1757"/>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74" t="s">
        <v>3591</v>
      </c>
      <c r="D255" s="1074"/>
      <c r="E255" s="1074"/>
      <c r="F255" s="1074"/>
      <c r="G255" s="1074"/>
      <c r="H255" s="1074"/>
      <c r="I255" s="1074"/>
      <c r="J255" s="1074"/>
      <c r="K255" s="1074"/>
      <c r="L255" s="1074"/>
      <c r="M255" s="545"/>
      <c r="N255" s="506" t="s">
        <v>3203</v>
      </c>
      <c r="O255" s="1758"/>
      <c r="P255" s="618"/>
    </row>
    <row r="256" spans="1:17" s="544" customFormat="1" ht="21.75" customHeight="1">
      <c r="A256" s="543"/>
      <c r="B256" s="506" t="s">
        <v>3204</v>
      </c>
      <c r="C256" s="1093" t="s">
        <v>3718</v>
      </c>
      <c r="D256" s="1093"/>
      <c r="E256" s="1093"/>
      <c r="F256" s="1093"/>
      <c r="G256" s="1093"/>
      <c r="H256" s="1093"/>
      <c r="I256" s="1093"/>
      <c r="J256" s="1093"/>
      <c r="K256" s="1093"/>
      <c r="L256" s="1093"/>
      <c r="M256" s="545"/>
      <c r="N256" s="506" t="s">
        <v>3204</v>
      </c>
      <c r="O256" s="1759"/>
      <c r="P256" s="619"/>
    </row>
    <row r="257" spans="1:18" s="544" customFormat="1" ht="21.75" customHeight="1">
      <c r="A257" s="543"/>
      <c r="B257" s="506" t="s">
        <v>3205</v>
      </c>
      <c r="C257" s="1093" t="s">
        <v>3465</v>
      </c>
      <c r="D257" s="1093"/>
      <c r="E257" s="1093"/>
      <c r="F257" s="1093"/>
      <c r="G257" s="1093"/>
      <c r="H257" s="1093"/>
      <c r="I257" s="1093"/>
      <c r="J257" s="1093"/>
      <c r="K257" s="1093"/>
      <c r="L257" s="1093"/>
      <c r="M257" s="545"/>
      <c r="N257" s="506" t="s">
        <v>3205</v>
      </c>
      <c r="O257" s="1759"/>
      <c r="P257" s="619"/>
    </row>
    <row r="258" spans="1:18" s="544" customFormat="1" ht="21.75" customHeight="1">
      <c r="A258" s="543"/>
      <c r="B258" s="680" t="s">
        <v>3206</v>
      </c>
      <c r="C258" s="1093" t="s">
        <v>3451</v>
      </c>
      <c r="D258" s="1093"/>
      <c r="E258" s="1093"/>
      <c r="F258" s="1093"/>
      <c r="G258" s="1093"/>
      <c r="H258" s="1093"/>
      <c r="I258" s="1093"/>
      <c r="J258" s="1093"/>
      <c r="K258" s="1093"/>
      <c r="L258" s="1093"/>
      <c r="M258" s="545"/>
      <c r="N258" s="680" t="s">
        <v>3206</v>
      </c>
      <c r="O258" s="1760"/>
      <c r="P258" s="620"/>
    </row>
    <row r="259" spans="1:18" ht="13.5" customHeight="1">
      <c r="A259" s="171" t="s">
        <v>2698</v>
      </c>
      <c r="B259" s="213" t="s">
        <v>3452</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3719</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093" t="s">
        <v>3454</v>
      </c>
      <c r="D261" s="1093"/>
      <c r="E261" s="1093"/>
      <c r="F261" s="1093"/>
      <c r="G261" s="1093"/>
      <c r="H261" s="1093"/>
      <c r="I261" s="1093"/>
      <c r="J261" s="1093"/>
      <c r="K261" s="1093"/>
      <c r="L261" s="1093"/>
      <c r="M261" s="545">
        <v>4</v>
      </c>
      <c r="N261" s="506" t="s">
        <v>3203</v>
      </c>
      <c r="O261" s="1758"/>
      <c r="P261" s="618"/>
      <c r="Q261" s="221" t="s">
        <v>3634</v>
      </c>
    </row>
    <row r="262" spans="1:18" s="544" customFormat="1" ht="34.5" customHeight="1">
      <c r="A262" s="199" t="s">
        <v>3466</v>
      </c>
      <c r="B262" s="506" t="s">
        <v>3204</v>
      </c>
      <c r="C262" s="1093" t="s">
        <v>3720</v>
      </c>
      <c r="D262" s="1093"/>
      <c r="E262" s="1093"/>
      <c r="F262" s="1093"/>
      <c r="G262" s="1093"/>
      <c r="H262" s="1093"/>
      <c r="I262" s="1093"/>
      <c r="J262" s="1093"/>
      <c r="K262" s="1093"/>
      <c r="L262" s="1093"/>
      <c r="M262" s="545">
        <v>2</v>
      </c>
      <c r="N262" s="506" t="s">
        <v>3204</v>
      </c>
      <c r="O262" s="1760"/>
      <c r="P262" s="620"/>
      <c r="Q262" s="221" t="s">
        <v>3634</v>
      </c>
    </row>
    <row r="263" spans="1:18" s="121" customFormat="1" ht="12" customHeight="1">
      <c r="B263" s="483" t="s">
        <v>2701</v>
      </c>
      <c r="C263" s="604" t="s">
        <v>3453</v>
      </c>
      <c r="L263" s="490" t="str">
        <f>IF(OR($O263=$M263,$O263=0,$O263=""),"","* * Check Score! * *")</f>
        <v/>
      </c>
      <c r="M263" s="8">
        <v>1</v>
      </c>
      <c r="N263" s="225" t="s">
        <v>2701</v>
      </c>
      <c r="O263" s="1726"/>
      <c r="P263" s="671"/>
      <c r="Q263" s="221" t="s">
        <v>3634</v>
      </c>
    </row>
    <row r="264" spans="1:18" s="121" customFormat="1" ht="12" customHeight="1">
      <c r="B264" s="483" t="s">
        <v>3324</v>
      </c>
      <c r="C264" s="604" t="s">
        <v>3455</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093" t="s">
        <v>3457</v>
      </c>
      <c r="D265" s="1093"/>
      <c r="E265" s="1093"/>
      <c r="F265" s="1093"/>
      <c r="G265" s="1093"/>
      <c r="H265" s="1093"/>
      <c r="I265" s="1093"/>
      <c r="J265" s="1093"/>
      <c r="K265" s="1093"/>
      <c r="L265" s="1093"/>
      <c r="M265" s="545">
        <v>2</v>
      </c>
      <c r="N265" s="506" t="s">
        <v>3203</v>
      </c>
      <c r="O265" s="1755"/>
      <c r="P265" s="621"/>
      <c r="Q265" s="221" t="s">
        <v>3634</v>
      </c>
    </row>
    <row r="266" spans="1:18" s="544" customFormat="1" ht="12" customHeight="1">
      <c r="A266" s="199" t="s">
        <v>3466</v>
      </c>
      <c r="B266" s="506" t="s">
        <v>3204</v>
      </c>
      <c r="C266" s="1093" t="s">
        <v>3456</v>
      </c>
      <c r="D266" s="1093"/>
      <c r="E266" s="1093"/>
      <c r="F266" s="1093"/>
      <c r="G266" s="1093"/>
      <c r="H266" s="1093"/>
      <c r="I266" s="1093"/>
      <c r="J266" s="1093"/>
      <c r="K266" s="1093"/>
      <c r="L266" s="1093"/>
      <c r="M266" s="545">
        <v>1</v>
      </c>
      <c r="N266" s="506" t="s">
        <v>3204</v>
      </c>
      <c r="O266" s="1756"/>
      <c r="P266" s="622"/>
      <c r="Q266" s="221" t="s">
        <v>3634</v>
      </c>
    </row>
    <row r="267" spans="1:18" s="121" customFormat="1" ht="12" customHeight="1">
      <c r="B267" s="483" t="s">
        <v>1645</v>
      </c>
      <c r="C267" s="604" t="s">
        <v>3458</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093" t="s">
        <v>3721</v>
      </c>
      <c r="D268" s="1093"/>
      <c r="E268" s="1093"/>
      <c r="F268" s="1093"/>
      <c r="G268" s="1093"/>
      <c r="H268" s="1093"/>
      <c r="I268" s="1093"/>
      <c r="J268" s="1093"/>
      <c r="K268" s="1093"/>
      <c r="L268" s="1093"/>
      <c r="M268" s="545">
        <v>3</v>
      </c>
      <c r="N268" s="506" t="s">
        <v>3203</v>
      </c>
      <c r="O268" s="1755"/>
      <c r="P268" s="621"/>
      <c r="Q268" s="221" t="s">
        <v>3634</v>
      </c>
    </row>
    <row r="269" spans="1:18" s="544" customFormat="1" ht="12" customHeight="1">
      <c r="A269" s="199" t="s">
        <v>3466</v>
      </c>
      <c r="B269" s="506" t="s">
        <v>3204</v>
      </c>
      <c r="C269" s="1093" t="s">
        <v>3722</v>
      </c>
      <c r="D269" s="1093"/>
      <c r="E269" s="1093"/>
      <c r="F269" s="1093"/>
      <c r="G269" s="1093"/>
      <c r="H269" s="1093"/>
      <c r="I269" s="1093"/>
      <c r="J269" s="1093"/>
      <c r="K269" s="1093"/>
      <c r="L269" s="1093"/>
      <c r="M269" s="545">
        <v>2</v>
      </c>
      <c r="N269" s="506" t="s">
        <v>3204</v>
      </c>
      <c r="O269" s="1756"/>
      <c r="P269" s="622"/>
      <c r="Q269" s="221" t="s">
        <v>3634</v>
      </c>
    </row>
    <row r="270" spans="1:18" s="121" customFormat="1" ht="12" customHeight="1">
      <c r="B270" s="483" t="s">
        <v>1646</v>
      </c>
      <c r="C270" s="604" t="s">
        <v>3459</v>
      </c>
      <c r="F270" s="578" t="s">
        <v>3460</v>
      </c>
      <c r="J270" s="1157">
        <f>'Part IV-Uses of Funds'!$B$43/'Part IV-Uses of Funds'!$G$129</f>
        <v>0.64220406544444986</v>
      </c>
      <c r="K270" s="1158"/>
      <c r="L270" s="490"/>
      <c r="M270" s="8">
        <v>2</v>
      </c>
      <c r="N270" s="225" t="s">
        <v>1646</v>
      </c>
      <c r="O270" s="1700"/>
      <c r="P270" s="84"/>
      <c r="Q270" s="221" t="s">
        <v>3634</v>
      </c>
    </row>
    <row r="271" spans="1:18" s="121" customFormat="1" ht="12" customHeight="1">
      <c r="B271" s="483" t="s">
        <v>2590</v>
      </c>
      <c r="C271" s="604" t="s">
        <v>3723</v>
      </c>
      <c r="F271" s="578"/>
      <c r="L271" s="490"/>
      <c r="M271" s="8">
        <v>3</v>
      </c>
      <c r="N271" s="225" t="s">
        <v>2590</v>
      </c>
      <c r="O271" s="1700"/>
      <c r="P271" s="84"/>
      <c r="Q271" s="221" t="s">
        <v>3634</v>
      </c>
    </row>
    <row r="272" spans="1:18" s="50" customFormat="1" ht="12" customHeight="1">
      <c r="A272" s="171"/>
      <c r="B272" s="506"/>
      <c r="C272" s="1118" t="s">
        <v>3724</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0"/>
      <c r="B275" s="1601"/>
      <c r="C275" s="1601"/>
      <c r="D275" s="1601"/>
      <c r="E275" s="1601"/>
      <c r="F275" s="1601"/>
      <c r="G275" s="1601"/>
      <c r="H275" s="1601"/>
      <c r="I275" s="1601"/>
      <c r="J275" s="1601"/>
      <c r="K275" s="1601"/>
      <c r="L275" s="1601"/>
      <c r="M275" s="1601"/>
      <c r="N275" s="1601"/>
      <c r="O275" s="1601"/>
      <c r="P275" s="1602"/>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596" t="s">
        <v>4088</v>
      </c>
      <c r="P280" s="210"/>
    </row>
    <row r="281" spans="1:18" ht="12.6" customHeight="1">
      <c r="A281" s="171" t="s">
        <v>2695</v>
      </c>
      <c r="B281" s="229" t="s">
        <v>1881</v>
      </c>
      <c r="D281" s="40"/>
      <c r="E281" s="40"/>
      <c r="F281" s="40"/>
      <c r="G281" s="40"/>
      <c r="H281" s="40"/>
      <c r="I281" s="40"/>
      <c r="J281" s="40"/>
      <c r="K281" s="40"/>
      <c r="L281" s="40"/>
      <c r="M281" s="139"/>
      <c r="N281" s="654" t="s">
        <v>2695</v>
      </c>
      <c r="O281" s="1761">
        <v>10</v>
      </c>
      <c r="P281" s="508"/>
      <c r="Q281" s="221" t="s">
        <v>3634</v>
      </c>
    </row>
    <row r="282" spans="1:18" ht="12.6" customHeight="1">
      <c r="A282" s="171" t="s">
        <v>2698</v>
      </c>
      <c r="B282" s="229" t="s">
        <v>291</v>
      </c>
      <c r="D282" s="40"/>
      <c r="E282" s="40"/>
      <c r="F282" s="40"/>
      <c r="G282" s="813"/>
      <c r="H282" s="813"/>
      <c r="I282" s="813"/>
      <c r="J282" s="813"/>
      <c r="K282" s="813"/>
      <c r="M282" s="123"/>
      <c r="N282" s="654" t="s">
        <v>2698</v>
      </c>
      <c r="O282" s="1596" t="s">
        <v>4119</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0" t="s">
        <v>4151</v>
      </c>
      <c r="B284" s="1601"/>
      <c r="C284" s="1601"/>
      <c r="D284" s="1601"/>
      <c r="E284" s="1601"/>
      <c r="F284" s="1601"/>
      <c r="G284" s="1601"/>
      <c r="H284" s="1601"/>
      <c r="I284" s="1601"/>
      <c r="J284" s="1601"/>
      <c r="K284" s="1601"/>
      <c r="L284" s="1601"/>
      <c r="M284" s="1601"/>
      <c r="N284" s="1601"/>
      <c r="O284" s="1601"/>
      <c r="P284" s="1602"/>
      <c r="Q284" s="614" t="s">
        <v>1677</v>
      </c>
      <c r="R284" s="615"/>
    </row>
    <row r="285" spans="1:18" s="123" customFormat="1" ht="11.25" customHeight="1">
      <c r="A285" s="79"/>
      <c r="B285" s="79" t="s">
        <v>2572</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3547</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3577</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3725</v>
      </c>
      <c r="D319" s="695"/>
      <c r="E319" s="695"/>
      <c r="F319" s="695"/>
      <c r="G319" s="704" t="s">
        <v>3310</v>
      </c>
      <c r="H319" s="704" t="s">
        <v>3311</v>
      </c>
      <c r="I319" s="704" t="s">
        <v>1607</v>
      </c>
      <c r="J319" s="695"/>
      <c r="K319" s="695"/>
      <c r="L319" s="695"/>
      <c r="M319" s="196"/>
      <c r="N319" s="148"/>
    </row>
    <row r="320" spans="1:19" ht="25.5">
      <c r="A320" s="196"/>
      <c r="B320" s="196"/>
      <c r="C320" s="703" t="s">
        <v>3730</v>
      </c>
      <c r="D320" s="695"/>
      <c r="E320" s="695"/>
      <c r="F320" s="695"/>
      <c r="G320" s="704" t="s">
        <v>2239</v>
      </c>
      <c r="H320" s="705" t="s">
        <v>1407</v>
      </c>
      <c r="I320" s="705" t="s">
        <v>1751</v>
      </c>
      <c r="J320" s="695"/>
      <c r="K320" s="695"/>
      <c r="L320" s="695"/>
      <c r="M320" s="196"/>
      <c r="N320" s="148"/>
    </row>
    <row r="321" spans="1:14">
      <c r="A321" s="196"/>
      <c r="B321" s="196"/>
      <c r="C321" s="703" t="s">
        <v>3727</v>
      </c>
      <c r="D321" s="695"/>
      <c r="E321" s="695"/>
      <c r="F321" s="695"/>
      <c r="G321" s="704" t="s">
        <v>2787</v>
      </c>
      <c r="H321" s="705" t="s">
        <v>1766</v>
      </c>
      <c r="I321" s="705" t="s">
        <v>1763</v>
      </c>
      <c r="J321" s="695"/>
      <c r="K321" s="695"/>
      <c r="L321" s="695"/>
      <c r="M321" s="196"/>
      <c r="N321" s="148"/>
    </row>
    <row r="322" spans="1:14">
      <c r="A322" s="196"/>
      <c r="B322" s="196"/>
      <c r="C322" s="703" t="s">
        <v>3731</v>
      </c>
      <c r="D322" s="695"/>
      <c r="E322" s="695"/>
      <c r="F322" s="695"/>
      <c r="G322" s="704" t="s">
        <v>2240</v>
      </c>
      <c r="H322" s="705" t="s">
        <v>3330</v>
      </c>
      <c r="I322" s="705" t="s">
        <v>1766</v>
      </c>
      <c r="J322" s="695"/>
      <c r="K322" s="695"/>
      <c r="L322" s="695"/>
      <c r="M322" s="196"/>
      <c r="N322" s="148"/>
    </row>
    <row r="323" spans="1:14" ht="25.5">
      <c r="A323" s="196"/>
      <c r="B323" s="196"/>
      <c r="C323" s="703" t="s">
        <v>3732</v>
      </c>
      <c r="D323" s="695"/>
      <c r="E323" s="695"/>
      <c r="F323" s="695"/>
      <c r="G323" s="704" t="s">
        <v>12</v>
      </c>
      <c r="H323" s="705" t="s">
        <v>3331</v>
      </c>
      <c r="I323" s="705" t="s">
        <v>3264</v>
      </c>
      <c r="J323" s="695"/>
      <c r="K323" s="695"/>
      <c r="L323" s="695"/>
      <c r="M323" s="196"/>
      <c r="N323" s="148"/>
    </row>
    <row r="324" spans="1:14">
      <c r="A324" s="196"/>
      <c r="B324" s="196"/>
      <c r="C324" s="703" t="s">
        <v>3728</v>
      </c>
      <c r="D324" s="695"/>
      <c r="E324" s="695"/>
      <c r="F324" s="695"/>
      <c r="G324" s="704" t="s">
        <v>1766</v>
      </c>
      <c r="H324" s="705" t="s">
        <v>2639</v>
      </c>
      <c r="I324" s="705" t="s">
        <v>3270</v>
      </c>
      <c r="J324" s="695"/>
      <c r="K324" s="695"/>
      <c r="L324" s="695"/>
      <c r="M324" s="196"/>
      <c r="N324" s="148"/>
    </row>
    <row r="325" spans="1:14">
      <c r="A325" s="196"/>
      <c r="B325" s="196"/>
      <c r="C325" s="703" t="s">
        <v>3633</v>
      </c>
      <c r="D325" s="695"/>
      <c r="E325" s="695"/>
      <c r="F325" s="695"/>
      <c r="G325" s="704" t="s">
        <v>1958</v>
      </c>
      <c r="H325" s="705" t="s">
        <v>3008</v>
      </c>
      <c r="I325" s="705" t="s">
        <v>3272</v>
      </c>
      <c r="J325" s="695"/>
      <c r="K325" s="695"/>
      <c r="L325" s="695"/>
      <c r="M325" s="196"/>
      <c r="N325" s="148"/>
    </row>
    <row r="326" spans="1:14">
      <c r="A326" s="196"/>
      <c r="B326" s="196"/>
      <c r="C326" s="703" t="s">
        <v>3729</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3751</v>
      </c>
    </row>
    <row r="2" spans="1:6" ht="16.5">
      <c r="A2" s="1282" t="str">
        <f>'Part I-Project Information'!F23</f>
        <v>Davidson Senior Manor</v>
      </c>
    </row>
    <row r="3" spans="1:6" ht="16.5">
      <c r="A3" s="1282" t="str">
        <f>CONCATENATE('Part I-Project Information'!F26,", ", 'Part I-Project Information'!J27," County")</f>
        <v>Augusta, Richmond County</v>
      </c>
    </row>
    <row r="4" spans="1:6" ht="16.5">
      <c r="A4" s="1762" t="str">
        <f>IF('Part IX A-Scoring Criteria'!$O$221="Yes",'Part IX A-Scoring Criteria'!B221,IF('Part IX A-Scoring Criteria'!O223="Yes",'Part IX A-Scoring Criteria'!B223,""))</f>
        <v/>
      </c>
    </row>
    <row r="5" spans="1:6" ht="6.75" customHeight="1"/>
    <row r="6" spans="1:6" ht="113.25" customHeight="1">
      <c r="A6" s="1283" t="s">
        <v>3594</v>
      </c>
      <c r="B6" s="1160" t="s">
        <v>3595</v>
      </c>
      <c r="C6" s="816"/>
      <c r="D6" s="816"/>
      <c r="E6" s="816"/>
      <c r="F6" s="816"/>
    </row>
    <row r="7" spans="1:6" ht="6.6" customHeight="1">
      <c r="A7" s="1283"/>
      <c r="B7" s="1160"/>
      <c r="C7" s="816"/>
      <c r="D7" s="816"/>
      <c r="E7" s="816"/>
      <c r="F7" s="816"/>
    </row>
    <row r="8" spans="1:6" ht="134.25" customHeight="1">
      <c r="A8" s="1283"/>
      <c r="C8" s="1763"/>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4"/>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5" customWidth="1"/>
    <col min="2" max="12" width="7.28515625" style="1765" customWidth="1"/>
    <col min="13" max="13" width="8.7109375" style="1765" customWidth="1"/>
    <col min="14" max="15" width="5.85546875" style="1765" customWidth="1"/>
    <col min="16" max="16384" width="8.85546875" style="1765"/>
  </cols>
  <sheetData>
    <row r="1" spans="1:26" ht="19.5">
      <c r="N1" s="1766" t="s">
        <v>1950</v>
      </c>
      <c r="O1" s="1766"/>
      <c r="P1" s="1766"/>
      <c r="Q1" s="1766"/>
      <c r="R1" s="1766"/>
      <c r="S1" s="1766"/>
      <c r="T1" s="1766"/>
      <c r="U1" s="1766"/>
      <c r="V1" s="1766"/>
      <c r="W1" s="1766"/>
      <c r="X1" s="1766"/>
      <c r="Y1" s="1766"/>
      <c r="Z1" s="1766"/>
    </row>
    <row r="3" spans="1:26">
      <c r="N3" s="1767" t="s">
        <v>1951</v>
      </c>
      <c r="O3" s="1767"/>
      <c r="P3" s="1767"/>
      <c r="Q3" s="1767"/>
      <c r="R3" s="1767"/>
      <c r="S3" s="1767"/>
      <c r="T3" s="1767"/>
      <c r="U3" s="1767"/>
      <c r="V3" s="1767"/>
      <c r="W3" s="1767"/>
      <c r="X3" s="1767"/>
      <c r="Y3" s="1767"/>
      <c r="Z3" s="1767"/>
    </row>
    <row r="4" spans="1:26">
      <c r="N4" s="1768" t="s">
        <v>1952</v>
      </c>
      <c r="O4" s="1768"/>
      <c r="P4" s="1768"/>
      <c r="Q4" s="1768"/>
      <c r="R4" s="1768"/>
      <c r="S4" s="1768"/>
      <c r="T4" s="1768"/>
      <c r="U4" s="1768"/>
      <c r="V4" s="1768"/>
      <c r="W4" s="1768"/>
      <c r="X4" s="1768"/>
      <c r="Y4" s="1768"/>
      <c r="Z4" s="1768"/>
    </row>
    <row r="6" spans="1:26">
      <c r="B6" s="1769"/>
      <c r="C6" s="1769"/>
      <c r="D6" s="1769"/>
      <c r="E6" s="1769"/>
      <c r="F6" s="1769"/>
      <c r="G6" s="1769"/>
      <c r="H6" s="1769"/>
      <c r="I6" s="1769"/>
      <c r="J6" s="1769"/>
      <c r="K6" s="1769"/>
      <c r="L6" s="1769"/>
      <c r="M6" s="1769"/>
      <c r="N6" s="1770" t="s">
        <v>891</v>
      </c>
    </row>
    <row r="7" spans="1:26" ht="57" customHeight="1">
      <c r="A7" s="1771" t="s">
        <v>3919</v>
      </c>
      <c r="B7" s="1771"/>
      <c r="C7" s="1771"/>
      <c r="D7" s="1771"/>
      <c r="E7" s="1771"/>
      <c r="F7" s="1771"/>
      <c r="G7" s="1771"/>
      <c r="H7" s="1771"/>
      <c r="I7" s="1771"/>
      <c r="J7" s="1771"/>
      <c r="K7" s="1771"/>
      <c r="L7" s="1771"/>
      <c r="M7" s="1771"/>
    </row>
    <row r="8" spans="1:26" ht="11.45" customHeight="1">
      <c r="A8" s="1769"/>
      <c r="B8" s="1769"/>
      <c r="C8" s="1769"/>
      <c r="D8" s="1769"/>
      <c r="E8" s="1769"/>
      <c r="F8" s="1769"/>
      <c r="G8" s="1769"/>
      <c r="H8" s="1769"/>
      <c r="I8" s="1769"/>
      <c r="J8" s="1769"/>
      <c r="K8" s="1769"/>
      <c r="L8" s="1769"/>
      <c r="M8" s="1769"/>
    </row>
    <row r="9" spans="1:26">
      <c r="A9" s="1769" t="s">
        <v>896</v>
      </c>
      <c r="B9" s="1769"/>
      <c r="C9" s="1769"/>
      <c r="D9" s="1769"/>
      <c r="E9" s="1769"/>
      <c r="F9" s="1769"/>
      <c r="G9" s="1769"/>
      <c r="H9" s="1769"/>
      <c r="I9" s="1769"/>
      <c r="J9" s="1769"/>
      <c r="K9" s="1769"/>
      <c r="L9" s="1769"/>
      <c r="M9" s="1769"/>
    </row>
    <row r="10" spans="1:26" ht="11.45" customHeight="1">
      <c r="A10" s="1769"/>
      <c r="B10" s="1769"/>
      <c r="C10" s="1769"/>
      <c r="D10" s="1769"/>
      <c r="E10" s="1769"/>
      <c r="F10" s="1769"/>
      <c r="G10" s="1769"/>
      <c r="H10" s="1769"/>
      <c r="I10" s="1769"/>
      <c r="J10" s="1769"/>
      <c r="K10" s="1769"/>
      <c r="L10" s="1769"/>
      <c r="M10" s="1769"/>
    </row>
    <row r="11" spans="1:26">
      <c r="A11" s="1772" t="s">
        <v>2615</v>
      </c>
      <c r="B11" s="1772"/>
      <c r="C11" s="1772"/>
      <c r="D11" s="1772"/>
      <c r="E11" s="1772"/>
      <c r="F11" s="1772"/>
      <c r="G11" s="1772"/>
      <c r="H11" s="1772"/>
      <c r="I11" s="1772"/>
      <c r="J11" s="1772"/>
      <c r="K11" s="1772"/>
      <c r="L11" s="1772"/>
      <c r="M11" s="1772"/>
    </row>
    <row r="12" spans="1:26" ht="6.75" customHeight="1">
      <c r="A12" s="1772"/>
      <c r="B12" s="1772"/>
      <c r="C12" s="1772"/>
      <c r="D12" s="1772"/>
      <c r="E12" s="1772"/>
      <c r="F12" s="1772"/>
      <c r="G12" s="1772"/>
      <c r="H12" s="1772"/>
      <c r="I12" s="1772"/>
      <c r="J12" s="1772"/>
      <c r="K12" s="1772"/>
      <c r="L12" s="1772"/>
      <c r="M12" s="1772"/>
    </row>
    <row r="13" spans="1:26" ht="44.25" customHeight="1">
      <c r="A13" s="1773" t="s">
        <v>3920</v>
      </c>
      <c r="B13" s="1773"/>
      <c r="C13" s="1773"/>
      <c r="D13" s="1773"/>
      <c r="E13" s="1773"/>
      <c r="F13" s="1773"/>
      <c r="G13" s="1773"/>
      <c r="H13" s="1773"/>
      <c r="I13" s="1773"/>
      <c r="J13" s="1773"/>
      <c r="K13" s="1773"/>
      <c r="L13" s="1773"/>
      <c r="M13" s="1773"/>
    </row>
    <row r="14" spans="1:26" ht="3" customHeight="1">
      <c r="A14" s="1772"/>
      <c r="B14" s="1772"/>
      <c r="C14" s="1772"/>
      <c r="D14" s="1772"/>
      <c r="E14" s="1772"/>
      <c r="F14" s="1772"/>
      <c r="G14" s="1772"/>
      <c r="H14" s="1772"/>
      <c r="I14" s="1772"/>
      <c r="J14" s="1772"/>
      <c r="K14" s="1772"/>
      <c r="L14" s="1772"/>
      <c r="M14" s="1772"/>
    </row>
    <row r="15" spans="1:26" ht="87.75" customHeight="1">
      <c r="A15" s="1774" t="s">
        <v>2430</v>
      </c>
      <c r="B15" s="1775" t="s">
        <v>3921</v>
      </c>
      <c r="C15" s="1775"/>
      <c r="D15" s="1775"/>
      <c r="E15" s="1775"/>
      <c r="F15" s="1775"/>
      <c r="G15" s="1775"/>
      <c r="H15" s="1775"/>
      <c r="I15" s="1775"/>
      <c r="J15" s="1775"/>
      <c r="K15" s="1775"/>
      <c r="L15" s="1775"/>
      <c r="M15" s="1775"/>
    </row>
    <row r="16" spans="1:26" ht="3" customHeight="1">
      <c r="A16" s="1772"/>
      <c r="B16" s="1772"/>
      <c r="C16" s="1772"/>
      <c r="D16" s="1772"/>
      <c r="E16" s="1772"/>
      <c r="F16" s="1772"/>
      <c r="G16" s="1772"/>
      <c r="H16" s="1772"/>
      <c r="I16" s="1772"/>
      <c r="J16" s="1772"/>
      <c r="K16" s="1772"/>
      <c r="L16" s="1772"/>
      <c r="M16" s="1772"/>
    </row>
    <row r="17" spans="1:13" ht="58.5" customHeight="1">
      <c r="A17" s="1774" t="s">
        <v>2431</v>
      </c>
      <c r="B17" s="1775" t="s">
        <v>3922</v>
      </c>
      <c r="C17" s="1775"/>
      <c r="D17" s="1775"/>
      <c r="E17" s="1775"/>
      <c r="F17" s="1775"/>
      <c r="G17" s="1775"/>
      <c r="H17" s="1775"/>
      <c r="I17" s="1775"/>
      <c r="J17" s="1775"/>
      <c r="K17" s="1775"/>
      <c r="L17" s="1775"/>
      <c r="M17" s="1775"/>
    </row>
    <row r="18" spans="1:13" ht="3" customHeight="1">
      <c r="A18" s="1772"/>
      <c r="B18" s="1772"/>
      <c r="C18" s="1772"/>
      <c r="D18" s="1772"/>
      <c r="E18" s="1772"/>
      <c r="F18" s="1772"/>
      <c r="G18" s="1772"/>
      <c r="H18" s="1772"/>
      <c r="I18" s="1772"/>
      <c r="J18" s="1772"/>
      <c r="K18" s="1772"/>
      <c r="L18" s="1772"/>
      <c r="M18" s="1772"/>
    </row>
    <row r="19" spans="1:13" ht="115.5" customHeight="1">
      <c r="A19" s="1774" t="s">
        <v>2432</v>
      </c>
      <c r="B19" s="1775" t="s">
        <v>824</v>
      </c>
      <c r="C19" s="1775"/>
      <c r="D19" s="1775"/>
      <c r="E19" s="1775"/>
      <c r="F19" s="1775"/>
      <c r="G19" s="1775"/>
      <c r="H19" s="1775"/>
      <c r="I19" s="1775"/>
      <c r="J19" s="1775"/>
      <c r="K19" s="1775"/>
      <c r="L19" s="1775"/>
      <c r="M19" s="1775"/>
    </row>
    <row r="20" spans="1:13" ht="3" customHeight="1">
      <c r="A20" s="1772"/>
      <c r="B20" s="1772"/>
      <c r="C20" s="1772"/>
      <c r="D20" s="1772"/>
      <c r="E20" s="1772"/>
      <c r="F20" s="1772"/>
      <c r="G20" s="1772"/>
      <c r="H20" s="1772"/>
      <c r="I20" s="1772"/>
      <c r="J20" s="1772"/>
      <c r="K20" s="1772"/>
      <c r="L20" s="1772"/>
      <c r="M20" s="1772"/>
    </row>
    <row r="21" spans="1:13" ht="115.5" customHeight="1">
      <c r="A21" s="1774" t="s">
        <v>3121</v>
      </c>
      <c r="B21" s="1775" t="s">
        <v>3923</v>
      </c>
      <c r="C21" s="1775"/>
      <c r="D21" s="1775"/>
      <c r="E21" s="1775"/>
      <c r="F21" s="1775"/>
      <c r="G21" s="1775"/>
      <c r="H21" s="1775"/>
      <c r="I21" s="1775"/>
      <c r="J21" s="1775"/>
      <c r="K21" s="1775"/>
      <c r="L21" s="1775"/>
      <c r="M21" s="1775"/>
    </row>
    <row r="22" spans="1:13" ht="3" customHeight="1">
      <c r="A22" s="1772"/>
      <c r="B22" s="1772"/>
      <c r="C22" s="1772"/>
      <c r="D22" s="1772"/>
      <c r="E22" s="1772"/>
      <c r="F22" s="1772"/>
      <c r="G22" s="1772"/>
      <c r="H22" s="1772"/>
      <c r="I22" s="1772"/>
      <c r="J22" s="1772"/>
      <c r="K22" s="1772"/>
      <c r="L22" s="1772"/>
      <c r="M22" s="1772"/>
    </row>
    <row r="23" spans="1:13" ht="44.25" customHeight="1">
      <c r="A23" s="1774" t="s">
        <v>2009</v>
      </c>
      <c r="B23" s="1775" t="s">
        <v>869</v>
      </c>
      <c r="C23" s="1775"/>
      <c r="D23" s="1775"/>
      <c r="E23" s="1775"/>
      <c r="F23" s="1775"/>
      <c r="G23" s="1775"/>
      <c r="H23" s="1775"/>
      <c r="I23" s="1775"/>
      <c r="J23" s="1775"/>
      <c r="K23" s="1775"/>
      <c r="L23" s="1775"/>
      <c r="M23" s="1775"/>
    </row>
    <row r="24" spans="1:13" ht="144.75" customHeight="1">
      <c r="A24" s="1774" t="s">
        <v>2010</v>
      </c>
      <c r="B24" s="1775" t="s">
        <v>3924</v>
      </c>
      <c r="C24" s="1775"/>
      <c r="D24" s="1775"/>
      <c r="E24" s="1775"/>
      <c r="F24" s="1775"/>
      <c r="G24" s="1775"/>
      <c r="H24" s="1775"/>
      <c r="I24" s="1775"/>
      <c r="J24" s="1775"/>
      <c r="K24" s="1775"/>
      <c r="L24" s="1775"/>
      <c r="M24" s="1775"/>
    </row>
    <row r="25" spans="1:13" ht="3" customHeight="1">
      <c r="A25" s="1772"/>
      <c r="B25" s="1772"/>
      <c r="C25" s="1772"/>
      <c r="D25" s="1772"/>
      <c r="E25" s="1772"/>
      <c r="F25" s="1772"/>
      <c r="G25" s="1772"/>
      <c r="H25" s="1772"/>
      <c r="I25" s="1772"/>
      <c r="J25" s="1772"/>
      <c r="K25" s="1772"/>
      <c r="L25" s="1772"/>
      <c r="M25" s="1772"/>
    </row>
    <row r="26" spans="1:13" ht="44.25" customHeight="1">
      <c r="A26" s="1774" t="s">
        <v>104</v>
      </c>
      <c r="B26" s="1775" t="s">
        <v>3925</v>
      </c>
      <c r="C26" s="1775"/>
      <c r="D26" s="1775"/>
      <c r="E26" s="1775"/>
      <c r="F26" s="1775"/>
      <c r="G26" s="1775"/>
      <c r="H26" s="1775"/>
      <c r="I26" s="1775"/>
      <c r="J26" s="1775"/>
      <c r="K26" s="1775"/>
      <c r="L26" s="1775"/>
      <c r="M26" s="1775"/>
    </row>
    <row r="27" spans="1:13" ht="3" customHeight="1">
      <c r="A27" s="1772"/>
      <c r="B27" s="1772"/>
      <c r="C27" s="1772"/>
      <c r="D27" s="1772"/>
      <c r="E27" s="1772"/>
      <c r="F27" s="1772"/>
      <c r="G27" s="1772"/>
      <c r="H27" s="1772"/>
      <c r="I27" s="1772"/>
      <c r="J27" s="1772"/>
      <c r="K27" s="1772"/>
      <c r="L27" s="1772"/>
      <c r="M27" s="1772"/>
    </row>
    <row r="28" spans="1:13" ht="15" customHeight="1">
      <c r="A28" s="1774" t="s">
        <v>678</v>
      </c>
      <c r="B28" s="1775" t="s">
        <v>1911</v>
      </c>
      <c r="C28" s="1775"/>
      <c r="D28" s="1775"/>
      <c r="E28" s="1775"/>
      <c r="F28" s="1775"/>
      <c r="G28" s="1775"/>
      <c r="H28" s="1775"/>
      <c r="I28" s="1775"/>
      <c r="J28" s="1775"/>
      <c r="K28" s="1775"/>
      <c r="L28" s="1775"/>
      <c r="M28" s="1775"/>
    </row>
    <row r="29" spans="1:13" ht="4.5" customHeight="1">
      <c r="A29" s="1772"/>
      <c r="B29" s="1772"/>
      <c r="C29" s="1772"/>
      <c r="D29" s="1772"/>
      <c r="E29" s="1772"/>
      <c r="F29" s="1772"/>
      <c r="G29" s="1772"/>
      <c r="H29" s="1772"/>
      <c r="I29" s="1772"/>
      <c r="J29" s="1772"/>
      <c r="K29" s="1772"/>
      <c r="L29" s="1772"/>
      <c r="M29" s="1772"/>
    </row>
    <row r="30" spans="1:13" ht="15" customHeight="1">
      <c r="A30" s="1772" t="s">
        <v>1912</v>
      </c>
      <c r="B30" s="1772"/>
      <c r="C30" s="1772"/>
      <c r="D30" s="1772"/>
      <c r="E30" s="1772"/>
      <c r="F30" s="1772"/>
      <c r="G30" s="1772"/>
      <c r="H30" s="1772"/>
      <c r="I30" s="1772"/>
      <c r="J30" s="1772"/>
      <c r="K30" s="1772"/>
      <c r="L30" s="1772"/>
      <c r="M30" s="1772"/>
    </row>
    <row r="31" spans="1:13" ht="3" customHeight="1">
      <c r="A31" s="1772"/>
      <c r="B31" s="1772"/>
      <c r="C31" s="1772"/>
      <c r="D31" s="1772"/>
      <c r="E31" s="1772"/>
      <c r="F31" s="1772"/>
      <c r="G31" s="1772"/>
      <c r="H31" s="1772"/>
      <c r="I31" s="1772"/>
      <c r="J31" s="1772"/>
      <c r="K31" s="1772"/>
      <c r="L31" s="1772"/>
      <c r="M31" s="1772"/>
    </row>
    <row r="32" spans="1:13" ht="28.5" customHeight="1">
      <c r="A32" s="1776" t="s">
        <v>1913</v>
      </c>
      <c r="B32" s="1775" t="s">
        <v>3926</v>
      </c>
      <c r="C32" s="1775"/>
      <c r="D32" s="1775"/>
      <c r="E32" s="1775"/>
      <c r="F32" s="1775"/>
      <c r="G32" s="1775"/>
      <c r="H32" s="1775"/>
      <c r="I32" s="1775"/>
      <c r="J32" s="1775"/>
      <c r="K32" s="1775"/>
      <c r="L32" s="1775"/>
      <c r="M32" s="1775"/>
    </row>
    <row r="33" spans="1:13" ht="3" customHeight="1">
      <c r="A33" s="1772"/>
      <c r="B33" s="1772"/>
      <c r="C33" s="1772"/>
      <c r="D33" s="1772"/>
      <c r="E33" s="1772"/>
      <c r="F33" s="1772"/>
      <c r="G33" s="1772"/>
      <c r="H33" s="1772"/>
      <c r="I33" s="1772"/>
      <c r="J33" s="1772"/>
      <c r="K33" s="1772"/>
      <c r="L33" s="1772"/>
      <c r="M33" s="1772"/>
    </row>
    <row r="34" spans="1:13" ht="43.5" customHeight="1">
      <c r="A34" s="1776" t="s">
        <v>1913</v>
      </c>
      <c r="B34" s="1775" t="s">
        <v>3927</v>
      </c>
      <c r="C34" s="1775"/>
      <c r="D34" s="1775"/>
      <c r="E34" s="1775"/>
      <c r="F34" s="1775"/>
      <c r="G34" s="1775"/>
      <c r="H34" s="1775"/>
      <c r="I34" s="1775"/>
      <c r="J34" s="1775"/>
      <c r="K34" s="1775"/>
      <c r="L34" s="1775"/>
      <c r="M34" s="1775"/>
    </row>
    <row r="35" spans="1:13" ht="3" customHeight="1">
      <c r="A35" s="1772"/>
      <c r="B35" s="1772"/>
      <c r="C35" s="1772"/>
      <c r="D35" s="1772"/>
      <c r="E35" s="1772"/>
      <c r="F35" s="1772"/>
      <c r="G35" s="1772"/>
      <c r="H35" s="1772"/>
      <c r="I35" s="1772"/>
      <c r="J35" s="1772"/>
      <c r="K35" s="1772"/>
      <c r="L35" s="1772"/>
      <c r="M35" s="1772"/>
    </row>
    <row r="36" spans="1:13" ht="72.75" customHeight="1">
      <c r="A36" s="1776" t="s">
        <v>1913</v>
      </c>
      <c r="B36" s="1775" t="s">
        <v>3928</v>
      </c>
      <c r="C36" s="1775"/>
      <c r="D36" s="1775"/>
      <c r="E36" s="1775"/>
      <c r="F36" s="1775"/>
      <c r="G36" s="1775"/>
      <c r="H36" s="1775"/>
      <c r="I36" s="1775"/>
      <c r="J36" s="1775"/>
      <c r="K36" s="1775"/>
      <c r="L36" s="1775"/>
      <c r="M36" s="1775"/>
    </row>
    <row r="37" spans="1:13" ht="9" customHeight="1">
      <c r="A37" s="1772"/>
      <c r="B37" s="1772"/>
      <c r="C37" s="1772"/>
      <c r="D37" s="1772"/>
      <c r="E37" s="1772"/>
      <c r="F37" s="1772"/>
      <c r="G37" s="1772"/>
      <c r="H37" s="1772"/>
      <c r="I37" s="1772"/>
      <c r="J37" s="1772"/>
      <c r="K37" s="1772"/>
      <c r="L37" s="1772"/>
      <c r="M37" s="1772"/>
    </row>
    <row r="38" spans="1:13" ht="29.25" customHeight="1">
      <c r="A38" s="1775" t="s">
        <v>1342</v>
      </c>
      <c r="B38" s="1775"/>
      <c r="C38" s="1775"/>
      <c r="D38" s="1775"/>
      <c r="E38" s="1775"/>
      <c r="F38" s="1775"/>
      <c r="G38" s="1775"/>
      <c r="H38" s="1775"/>
      <c r="I38" s="1775"/>
      <c r="J38" s="1775"/>
      <c r="K38" s="1775"/>
      <c r="L38" s="1775"/>
      <c r="M38" s="1775"/>
    </row>
    <row r="39" spans="1:13" ht="3" customHeight="1">
      <c r="A39" s="1772"/>
      <c r="B39" s="1772"/>
      <c r="C39" s="1772"/>
      <c r="D39" s="1772"/>
      <c r="E39" s="1772"/>
      <c r="F39" s="1772"/>
      <c r="G39" s="1772"/>
      <c r="H39" s="1772"/>
      <c r="I39" s="1772"/>
      <c r="J39" s="1772"/>
      <c r="K39" s="1772"/>
      <c r="L39" s="1772"/>
      <c r="M39" s="1772"/>
    </row>
    <row r="40" spans="1:13" ht="29.25" customHeight="1">
      <c r="A40" s="1775" t="s">
        <v>3929</v>
      </c>
      <c r="B40" s="1775"/>
      <c r="C40" s="1775"/>
      <c r="D40" s="1775"/>
      <c r="E40" s="1775"/>
      <c r="F40" s="1775"/>
      <c r="G40" s="1775"/>
      <c r="H40" s="1775"/>
      <c r="I40" s="1775"/>
      <c r="J40" s="1775"/>
      <c r="K40" s="1775"/>
      <c r="L40" s="1775"/>
      <c r="M40" s="1775"/>
    </row>
    <row r="41" spans="1:13" ht="3" customHeight="1">
      <c r="A41" s="1772"/>
      <c r="B41" s="1772"/>
      <c r="C41" s="1772"/>
      <c r="D41" s="1772"/>
      <c r="E41" s="1772"/>
      <c r="F41" s="1772"/>
      <c r="G41" s="1772"/>
      <c r="H41" s="1772"/>
      <c r="I41" s="1772"/>
      <c r="J41" s="1772"/>
      <c r="K41" s="1772"/>
      <c r="L41" s="1772"/>
      <c r="M41" s="1772"/>
    </row>
    <row r="42" spans="1:13">
      <c r="A42" s="1772" t="s">
        <v>1318</v>
      </c>
      <c r="B42" s="1772"/>
      <c r="C42" s="1772"/>
      <c r="D42" s="1772"/>
      <c r="E42" s="1772"/>
      <c r="F42" s="1772"/>
      <c r="G42" s="1772"/>
      <c r="H42" s="1772"/>
      <c r="I42" s="1772"/>
      <c r="J42" s="1772"/>
      <c r="K42" s="1772"/>
      <c r="L42" s="1772"/>
      <c r="M42" s="1772"/>
    </row>
    <row r="43" spans="1:13">
      <c r="A43" s="1777"/>
      <c r="B43" s="1777"/>
      <c r="C43" s="1777"/>
      <c r="D43" s="1777"/>
      <c r="E43" s="1777"/>
      <c r="F43" s="1777"/>
      <c r="G43" s="1777"/>
      <c r="H43" s="1777"/>
      <c r="I43" s="1777"/>
      <c r="J43" s="1777"/>
      <c r="K43" s="1777"/>
      <c r="L43" s="1777"/>
      <c r="M43" s="1777"/>
    </row>
    <row r="44" spans="1:13">
      <c r="A44" s="1778"/>
      <c r="B44" s="1778"/>
      <c r="C44" s="1778"/>
      <c r="D44" s="1778"/>
      <c r="E44" s="1778"/>
      <c r="F44" s="1778"/>
      <c r="G44" s="1779"/>
      <c r="H44" s="1778"/>
      <c r="I44" s="1778"/>
      <c r="J44" s="1778"/>
      <c r="K44" s="1778"/>
      <c r="L44" s="1778"/>
      <c r="M44" s="1778"/>
    </row>
    <row r="45" spans="1:13" ht="12" customHeight="1">
      <c r="A45" s="1780" t="s">
        <v>1319</v>
      </c>
      <c r="B45" s="1780"/>
      <c r="C45" s="1780"/>
      <c r="D45" s="1780"/>
      <c r="E45" s="1780"/>
      <c r="F45" s="1780"/>
      <c r="G45" s="1779"/>
      <c r="H45" s="1780" t="s">
        <v>2692</v>
      </c>
      <c r="I45" s="1780"/>
      <c r="J45" s="1780"/>
      <c r="K45" s="1780"/>
      <c r="L45" s="1780"/>
      <c r="M45" s="1780"/>
    </row>
    <row r="46" spans="1:13">
      <c r="A46" s="1779"/>
      <c r="B46" s="1779"/>
      <c r="C46" s="1779"/>
      <c r="D46" s="1779"/>
      <c r="E46" s="1779"/>
      <c r="F46" s="1779"/>
      <c r="G46" s="1779"/>
      <c r="H46" s="1779"/>
      <c r="I46" s="1779"/>
      <c r="J46" s="1779"/>
      <c r="K46" s="1779"/>
      <c r="L46" s="1779"/>
      <c r="M46" s="1779"/>
    </row>
    <row r="47" spans="1:13">
      <c r="A47" s="1778"/>
      <c r="B47" s="1778"/>
      <c r="C47" s="1778"/>
      <c r="D47" s="1778"/>
      <c r="E47" s="1778"/>
      <c r="F47" s="1778"/>
      <c r="G47" s="1779"/>
      <c r="H47" s="1781"/>
      <c r="I47" s="1781"/>
      <c r="J47" s="1781"/>
      <c r="K47" s="1781"/>
      <c r="L47" s="1781"/>
      <c r="M47" s="1781"/>
    </row>
    <row r="48" spans="1:13" ht="12" customHeight="1">
      <c r="A48" s="1780" t="s">
        <v>1320</v>
      </c>
      <c r="B48" s="1780"/>
      <c r="C48" s="1780"/>
      <c r="D48" s="1780"/>
      <c r="E48" s="1780"/>
      <c r="F48" s="1780"/>
      <c r="G48" s="1779"/>
      <c r="H48" s="1780" t="s">
        <v>1321</v>
      </c>
      <c r="I48" s="1780"/>
      <c r="J48" s="1780"/>
      <c r="K48" s="1780"/>
      <c r="L48" s="1780"/>
      <c r="M48" s="1780"/>
    </row>
    <row r="49" spans="1:13" ht="11.45" customHeight="1">
      <c r="A49" s="1772"/>
      <c r="B49" s="1772"/>
      <c r="C49" s="1772"/>
      <c r="D49" s="1772"/>
      <c r="E49" s="1772"/>
      <c r="F49" s="1772"/>
      <c r="G49" s="1772"/>
      <c r="H49" s="1772"/>
      <c r="I49" s="1772"/>
      <c r="J49" s="1772"/>
      <c r="K49" s="1772"/>
      <c r="L49" s="1772"/>
      <c r="M49" s="1772"/>
    </row>
    <row r="50" spans="1:13" ht="11.45" customHeight="1">
      <c r="A50" s="1769"/>
      <c r="B50" s="1769"/>
      <c r="C50" s="1769"/>
      <c r="D50" s="1769"/>
      <c r="E50" s="1769"/>
      <c r="F50" s="1769"/>
      <c r="G50" s="1769"/>
      <c r="H50" s="1782" t="s">
        <v>1322</v>
      </c>
      <c r="I50" s="1782"/>
      <c r="J50" s="1782"/>
      <c r="K50" s="1782"/>
      <c r="L50" s="1782"/>
      <c r="M50" s="1782"/>
    </row>
    <row r="51" spans="1:13" ht="11.45" customHeight="1">
      <c r="A51" s="1769"/>
      <c r="B51" s="1769"/>
      <c r="C51" s="1769"/>
      <c r="D51" s="1769"/>
      <c r="E51" s="1769"/>
      <c r="F51" s="1769"/>
      <c r="G51" s="1769"/>
    </row>
    <row r="52" spans="1:13" ht="11.45" customHeight="1">
      <c r="A52" s="1769"/>
      <c r="B52" s="1769"/>
      <c r="C52" s="1769"/>
      <c r="D52" s="1769"/>
      <c r="E52" s="1769"/>
      <c r="F52" s="1769"/>
      <c r="G52" s="1769"/>
      <c r="H52" s="1769"/>
      <c r="I52" s="1769"/>
      <c r="J52" s="1769"/>
      <c r="K52" s="1769"/>
      <c r="L52" s="1769"/>
      <c r="M52" s="1769"/>
    </row>
    <row r="53" spans="1:13" ht="11.45" customHeight="1">
      <c r="A53" s="1769"/>
      <c r="B53" s="1769"/>
      <c r="C53" s="1769"/>
      <c r="D53" s="1769"/>
      <c r="E53" s="1769"/>
      <c r="F53" s="1769"/>
      <c r="G53" s="1769"/>
      <c r="H53" s="1769"/>
      <c r="I53" s="1769"/>
      <c r="J53" s="1769"/>
      <c r="K53" s="1769"/>
      <c r="L53" s="1769"/>
      <c r="M53" s="1769"/>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6872380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7559615</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3539</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3644</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3540</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3640</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3544</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3541</v>
      </c>
      <c r="G45" s="218"/>
      <c r="H45" s="216"/>
      <c r="I45" s="216"/>
      <c r="J45" s="218" t="s">
        <v>3542</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61" t="s">
        <v>3131</v>
      </c>
      <c r="R53" s="1161"/>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3535</v>
      </c>
      <c r="B71" s="218"/>
      <c r="C71" s="218"/>
      <c r="D71" s="216"/>
      <c r="E71" s="216"/>
      <c r="F71" s="218" t="s">
        <v>3399</v>
      </c>
      <c r="G71" s="218"/>
      <c r="H71" s="216"/>
      <c r="I71" s="216"/>
      <c r="J71" s="218" t="s">
        <v>3537</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3398</v>
      </c>
      <c r="G72" s="218"/>
      <c r="H72" s="216"/>
      <c r="I72" s="216"/>
      <c r="J72" s="218" t="s">
        <v>3537</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3537</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3536</v>
      </c>
      <c r="G74" s="218"/>
      <c r="H74" s="216"/>
      <c r="I74" s="216"/>
      <c r="J74" s="218" t="s">
        <v>3538</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Davidson Senior Manor</v>
      </c>
    </row>
    <row r="3" spans="1:6" ht="16.5">
      <c r="A3" s="1282" t="str">
        <f>CONCATENATE('Part I-Project Information'!F26,", ", 'Part I-Project Information'!J27," County")</f>
        <v>Augusta, Richmond County</v>
      </c>
    </row>
    <row r="4" spans="1:6" ht="12" customHeight="1"/>
    <row r="5" spans="1:6" ht="111" customHeight="1">
      <c r="A5" s="1283" t="s">
        <v>4140</v>
      </c>
      <c r="B5" s="816" t="s">
        <v>3598</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- 2013-036 Davidson Senior Manor, Augusta, Richmond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25" t="s">
        <v>3551</v>
      </c>
      <c r="P3" s="825"/>
    </row>
    <row r="4" spans="1:16" s="386" customFormat="1" ht="12" customHeight="1" thickBot="1">
      <c r="A4" s="687"/>
      <c r="B4" s="389"/>
      <c r="C4" s="389"/>
      <c r="F4" s="390"/>
      <c r="G4" s="352" t="s">
        <v>569</v>
      </c>
      <c r="H4" s="792"/>
      <c r="I4" s="792"/>
      <c r="J4" s="792"/>
      <c r="O4" s="1284" t="s">
        <v>4161</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3133</v>
      </c>
      <c r="D6" s="353"/>
      <c r="E6" s="391"/>
      <c r="F6" s="392" t="s">
        <v>2407</v>
      </c>
      <c r="J6" s="833">
        <f>'Part IV-Uses of Funds'!J172</f>
        <v>582441</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286" t="s">
        <v>4067</v>
      </c>
      <c r="G9" s="1287"/>
      <c r="H9" s="1288"/>
      <c r="I9" s="426"/>
      <c r="J9" s="773" t="s">
        <v>3969</v>
      </c>
      <c r="K9" s="398"/>
      <c r="L9" s="792"/>
      <c r="O9" s="1289" t="s">
        <v>4120</v>
      </c>
      <c r="P9" s="1290"/>
    </row>
    <row r="10" spans="1:16" s="386" customFormat="1" ht="12.75" customHeight="1">
      <c r="A10" s="687"/>
      <c r="B10" s="389"/>
      <c r="H10" s="792"/>
      <c r="J10" s="774" t="s">
        <v>3735</v>
      </c>
      <c r="K10" s="350"/>
      <c r="M10" s="792"/>
      <c r="O10" s="1291" t="s">
        <v>4087</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293" t="s">
        <v>4071</v>
      </c>
      <c r="G14" s="1294"/>
      <c r="H14" s="1294"/>
      <c r="I14" s="1294"/>
      <c r="J14" s="1294"/>
      <c r="K14" s="1294"/>
      <c r="L14" s="1295"/>
      <c r="M14" s="778" t="s">
        <v>2692</v>
      </c>
      <c r="N14" s="1293"/>
      <c r="O14" s="1294"/>
      <c r="P14" s="1295"/>
    </row>
    <row r="15" spans="1:16" s="386" customFormat="1" ht="13.15" customHeight="1">
      <c r="C15" s="392" t="s">
        <v>2693</v>
      </c>
      <c r="F15" s="1293" t="s">
        <v>4069</v>
      </c>
      <c r="G15" s="1294"/>
      <c r="H15" s="1294"/>
      <c r="I15" s="1294"/>
      <c r="J15" s="1294"/>
      <c r="K15" s="1294"/>
      <c r="L15" s="1295"/>
      <c r="M15" s="778" t="s">
        <v>2413</v>
      </c>
      <c r="O15" s="1296"/>
      <c r="P15" s="1297"/>
    </row>
    <row r="16" spans="1:16" s="386" customFormat="1" ht="13.15" customHeight="1">
      <c r="C16" s="392" t="s">
        <v>798</v>
      </c>
      <c r="F16" s="1298" t="s">
        <v>4070</v>
      </c>
      <c r="G16" s="1299"/>
      <c r="H16" s="1300"/>
      <c r="M16" s="778" t="s">
        <v>2498</v>
      </c>
      <c r="O16" s="1301">
        <v>5374483551</v>
      </c>
      <c r="P16" s="1302"/>
    </row>
    <row r="17" spans="1:16" s="386" customFormat="1" ht="13.15" customHeight="1">
      <c r="C17" s="392" t="s">
        <v>2495</v>
      </c>
      <c r="F17" s="1303" t="s">
        <v>1776</v>
      </c>
      <c r="I17" s="792" t="s">
        <v>2955</v>
      </c>
      <c r="J17" s="1304">
        <v>638370000</v>
      </c>
      <c r="K17" s="1305"/>
      <c r="M17" s="778" t="s">
        <v>2691</v>
      </c>
      <c r="O17" s="1301"/>
      <c r="P17" s="1302"/>
    </row>
    <row r="18" spans="1:16" s="386" customFormat="1" ht="13.15" customHeight="1">
      <c r="B18" s="786"/>
      <c r="C18" s="392" t="s">
        <v>2412</v>
      </c>
      <c r="F18" s="1301">
        <v>5734483000</v>
      </c>
      <c r="G18" s="1306"/>
      <c r="H18" s="1302"/>
      <c r="I18" s="781" t="s">
        <v>2411</v>
      </c>
      <c r="J18" s="1307"/>
      <c r="K18" s="792" t="s">
        <v>2696</v>
      </c>
      <c r="L18" s="1293" t="s">
        <v>4073</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4105</v>
      </c>
      <c r="G23" s="1309"/>
      <c r="H23" s="1309"/>
      <c r="I23" s="1309"/>
      <c r="J23" s="1309"/>
      <c r="K23" s="1309"/>
      <c r="L23" s="1310"/>
      <c r="M23" s="778" t="s">
        <v>2912</v>
      </c>
      <c r="O23" s="1293" t="s">
        <v>4087</v>
      </c>
      <c r="P23" s="1295"/>
    </row>
    <row r="24" spans="1:16" s="386" customFormat="1" ht="13.15" customHeight="1">
      <c r="A24" s="399"/>
      <c r="B24" s="389"/>
      <c r="C24" s="386" t="s">
        <v>3605</v>
      </c>
      <c r="D24" s="400"/>
      <c r="F24" s="1293" t="s">
        <v>4106</v>
      </c>
      <c r="G24" s="1294"/>
      <c r="H24" s="1294"/>
      <c r="I24" s="1294"/>
      <c r="J24" s="1294"/>
      <c r="K24" s="1294"/>
      <c r="L24" s="1295"/>
      <c r="M24" s="778" t="s">
        <v>2766</v>
      </c>
      <c r="O24" s="1293" t="s">
        <v>4087</v>
      </c>
      <c r="P24" s="1295"/>
    </row>
    <row r="25" spans="1:16" s="386" customFormat="1" ht="13.15" customHeight="1">
      <c r="A25" s="399"/>
      <c r="B25" s="389"/>
      <c r="C25" s="386" t="s">
        <v>3749</v>
      </c>
      <c r="D25" s="400"/>
      <c r="F25" s="1293"/>
      <c r="G25" s="1294"/>
      <c r="H25" s="1294"/>
      <c r="I25" s="1294"/>
      <c r="J25" s="1294"/>
      <c r="K25" s="1294"/>
      <c r="L25" s="1295"/>
      <c r="M25" s="778" t="s">
        <v>3750</v>
      </c>
      <c r="O25" s="1311"/>
      <c r="P25" s="1312"/>
    </row>
    <row r="26" spans="1:16" s="386" customFormat="1" ht="13.15" customHeight="1">
      <c r="A26" s="687"/>
      <c r="B26" s="389"/>
      <c r="C26" s="386" t="s">
        <v>798</v>
      </c>
      <c r="F26" s="1293" t="s">
        <v>1764</v>
      </c>
      <c r="G26" s="1294"/>
      <c r="H26" s="1295"/>
      <c r="I26" s="404" t="s">
        <v>3606</v>
      </c>
      <c r="J26" s="1304">
        <v>309010000</v>
      </c>
      <c r="K26" s="1305"/>
      <c r="L26" s="472" t="str">
        <f>IF(AND(NOT(F23=""),NOT(F26="Select from list"),J26=""),"Enter Zip!","")</f>
        <v/>
      </c>
      <c r="M26" s="778" t="s">
        <v>3012</v>
      </c>
      <c r="O26" s="1313">
        <v>1.84</v>
      </c>
      <c r="P26" s="1314"/>
    </row>
    <row r="27" spans="1:16" s="386" customFormat="1" ht="13.15" customHeight="1">
      <c r="A27" s="687"/>
      <c r="B27" s="389"/>
      <c r="C27" s="824" t="s">
        <v>2765</v>
      </c>
      <c r="D27" s="824"/>
      <c r="F27" s="1315" t="s">
        <v>4088</v>
      </c>
      <c r="I27" s="401" t="s">
        <v>799</v>
      </c>
      <c r="J27" s="1316" t="str">
        <f>IF($F$26="","",VLOOKUP($F$26,$N$177:$O$780,2,FALSE))</f>
        <v>Richmond</v>
      </c>
      <c r="K27" s="1317"/>
      <c r="M27" s="402" t="s">
        <v>3024</v>
      </c>
      <c r="O27" s="1293">
        <v>13245000700</v>
      </c>
      <c r="P27" s="1318"/>
    </row>
    <row r="28" spans="1:16" s="386" customFormat="1" ht="13.15" customHeight="1">
      <c r="A28" s="687"/>
      <c r="B28" s="389"/>
      <c r="C28" s="386" t="s">
        <v>2018</v>
      </c>
      <c r="F28" s="1319" t="s">
        <v>4087</v>
      </c>
      <c r="H28" s="394" t="s">
        <v>3412</v>
      </c>
      <c r="I28" s="565" t="str">
        <f>VLOOKUP($J$27,$C$177:$F$336,4)</f>
        <v>MSA</v>
      </c>
      <c r="J28" s="1320" t="str">
        <f>IF($F$26="","",VLOOKUP($J$27,$C$177:$H$336,3,FALSE))</f>
        <v>Augusta-Richmond Co.</v>
      </c>
      <c r="K28" s="1321"/>
      <c r="L28" s="1322"/>
      <c r="M28" s="778" t="s">
        <v>578</v>
      </c>
      <c r="N28" s="1323" t="s">
        <v>4088</v>
      </c>
      <c r="O28" s="394" t="s">
        <v>579</v>
      </c>
      <c r="P28" s="1323" t="s">
        <v>4087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3767</v>
      </c>
      <c r="F30" s="832" t="s">
        <v>3960</v>
      </c>
      <c r="G30" s="832"/>
      <c r="H30" s="831" t="s">
        <v>1041</v>
      </c>
      <c r="I30" s="831"/>
      <c r="J30" s="831" t="s">
        <v>1042</v>
      </c>
      <c r="K30" s="831"/>
      <c r="L30" s="764" t="s">
        <v>3607</v>
      </c>
    </row>
    <row r="31" spans="1:16" s="386" customFormat="1" ht="13.15" customHeight="1">
      <c r="A31" s="687"/>
      <c r="B31" s="389"/>
      <c r="C31" s="386" t="s">
        <v>3959</v>
      </c>
      <c r="D31" s="389"/>
      <c r="F31" s="1324">
        <v>22</v>
      </c>
      <c r="G31" s="1325"/>
      <c r="H31" s="1324">
        <v>12</v>
      </c>
      <c r="I31" s="1325"/>
      <c r="J31" s="1324">
        <v>124</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3958</v>
      </c>
      <c r="N32" s="843" t="s">
        <v>3956</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4107</v>
      </c>
      <c r="G34" s="1327"/>
      <c r="H34" s="1327"/>
      <c r="I34" s="1327"/>
      <c r="J34" s="1328"/>
      <c r="K34" s="1329"/>
      <c r="M34" s="749" t="s">
        <v>3623</v>
      </c>
      <c r="N34" s="1330" t="s">
        <v>4112</v>
      </c>
      <c r="O34" s="1331"/>
      <c r="P34" s="1332"/>
    </row>
    <row r="35" spans="1:19" s="386" customFormat="1" ht="13.15" customHeight="1">
      <c r="A35" s="687"/>
      <c r="B35" s="687"/>
      <c r="C35" s="386" t="s">
        <v>818</v>
      </c>
      <c r="F35" s="1333" t="s">
        <v>4108</v>
      </c>
      <c r="G35" s="1334"/>
      <c r="H35" s="1335"/>
      <c r="I35" s="782" t="s">
        <v>2692</v>
      </c>
      <c r="J35" s="1330" t="s">
        <v>4109</v>
      </c>
      <c r="K35" s="1331"/>
      <c r="L35" s="1332"/>
      <c r="M35" s="392" t="s">
        <v>2496</v>
      </c>
      <c r="N35" s="1333" t="s">
        <v>4110</v>
      </c>
      <c r="O35" s="1334"/>
      <c r="P35" s="1335"/>
    </row>
    <row r="36" spans="1:19" s="386" customFormat="1" ht="13.15" customHeight="1">
      <c r="A36" s="687"/>
      <c r="B36" s="687"/>
      <c r="C36" s="386" t="s">
        <v>2693</v>
      </c>
      <c r="F36" s="1333" t="s">
        <v>4111</v>
      </c>
      <c r="G36" s="1334"/>
      <c r="H36" s="1334"/>
      <c r="I36" s="1334"/>
      <c r="J36" s="1336"/>
      <c r="K36" s="1337"/>
      <c r="M36" s="424" t="s">
        <v>798</v>
      </c>
      <c r="N36" s="1330" t="s">
        <v>1764</v>
      </c>
      <c r="O36" s="1331"/>
      <c r="P36" s="1332"/>
    </row>
    <row r="37" spans="1:19" s="386" customFormat="1" ht="13.15" customHeight="1">
      <c r="A37" s="687"/>
      <c r="B37" s="687"/>
      <c r="C37" s="778" t="s">
        <v>2955</v>
      </c>
      <c r="F37" s="1338">
        <v>309010000</v>
      </c>
      <c r="G37" s="1339"/>
      <c r="H37" s="781" t="s">
        <v>2694</v>
      </c>
      <c r="I37" s="1340">
        <v>7068211833</v>
      </c>
      <c r="J37" s="1341"/>
      <c r="K37" s="1342"/>
      <c r="M37" s="392" t="s">
        <v>2498</v>
      </c>
      <c r="N37" s="1343">
        <v>7068211835</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1307"/>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92"/>
    </row>
    <row r="44" spans="1:19" ht="13.15" customHeight="1">
      <c r="B44" s="687"/>
      <c r="C44" s="386" t="s">
        <v>3025</v>
      </c>
      <c r="D44" s="386"/>
      <c r="E44" s="386"/>
      <c r="F44" s="407">
        <f>'Part VI-Revenues &amp; Expenses'!$M$74</f>
        <v>48</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3744</v>
      </c>
      <c r="H46" s="386" t="s">
        <v>380</v>
      </c>
      <c r="M46" s="1345"/>
      <c r="Q46" s="792"/>
    </row>
    <row r="47" spans="1:19" s="386" customFormat="1" ht="3.6" customHeight="1">
      <c r="A47" s="687"/>
      <c r="P47" s="786"/>
    </row>
    <row r="48" spans="1:19" s="386" customFormat="1" ht="13.15" customHeight="1">
      <c r="A48" s="687"/>
      <c r="B48" s="399" t="s">
        <v>1054</v>
      </c>
      <c r="C48" s="398" t="s">
        <v>3005</v>
      </c>
      <c r="D48" s="786"/>
      <c r="I48" s="826" t="s">
        <v>1859</v>
      </c>
      <c r="J48" s="399" t="s">
        <v>2831</v>
      </c>
      <c r="K48" s="409" t="s">
        <v>3032</v>
      </c>
      <c r="M48" s="786"/>
      <c r="N48" s="786"/>
      <c r="O48" s="786"/>
      <c r="P48" s="792"/>
      <c r="Q48" s="792"/>
      <c r="R48" s="792"/>
      <c r="S48" s="786"/>
    </row>
    <row r="49" spans="1:16" s="386" customFormat="1" ht="13.15" customHeight="1">
      <c r="A49" s="687"/>
      <c r="B49" s="783"/>
      <c r="C49" s="396" t="s">
        <v>3006</v>
      </c>
      <c r="D49" s="786"/>
      <c r="E49" s="786"/>
      <c r="H49" s="410">
        <f>SUM(H50:H51)</f>
        <v>48</v>
      </c>
      <c r="I49" s="827"/>
      <c r="J49" s="687"/>
      <c r="K49" s="396" t="s">
        <v>3033</v>
      </c>
      <c r="M49" s="786"/>
      <c r="N49" s="786"/>
      <c r="O49" s="786"/>
      <c r="P49" s="410">
        <f>'Part VI-Revenues &amp; Expenses'!$M$96</f>
        <v>41147</v>
      </c>
    </row>
    <row r="50" spans="1:16" s="386" customFormat="1" ht="13.15" customHeight="1">
      <c r="A50" s="687"/>
      <c r="B50" s="406"/>
      <c r="D50" s="411" t="s">
        <v>419</v>
      </c>
      <c r="E50" s="411"/>
      <c r="H50" s="410">
        <f>'Part VI-Revenues &amp; Expenses'!$M$57</f>
        <v>8</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40</v>
      </c>
      <c r="I51" s="410">
        <f>'Part VI-Revenues &amp; Expenses'!$M$64</f>
        <v>0</v>
      </c>
      <c r="K51" s="396" t="s">
        <v>3034</v>
      </c>
      <c r="M51" s="786"/>
      <c r="N51" s="786"/>
      <c r="O51" s="786"/>
      <c r="P51" s="410">
        <f>+P49+P50</f>
        <v>41147</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3173</v>
      </c>
      <c r="D53" s="786"/>
      <c r="E53" s="786"/>
      <c r="H53" s="410">
        <f>+H49+H52</f>
        <v>48</v>
      </c>
      <c r="J53" s="687"/>
      <c r="K53" s="396" t="s">
        <v>1861</v>
      </c>
      <c r="M53" s="786"/>
      <c r="N53" s="786"/>
      <c r="O53" s="786"/>
      <c r="P53" s="410">
        <f>+P51+P52</f>
        <v>41147</v>
      </c>
    </row>
    <row r="54" spans="1:16" s="386" customFormat="1" ht="13.15" customHeight="1">
      <c r="A54" s="687"/>
      <c r="C54" s="396" t="s">
        <v>3174</v>
      </c>
      <c r="D54" s="786"/>
      <c r="E54" s="786"/>
      <c r="H54" s="410">
        <f>'Part VI-Revenues &amp; Expenses'!$M$61</f>
        <v>0</v>
      </c>
      <c r="J54" s="687"/>
    </row>
    <row r="55" spans="1:16" s="386" customFormat="1" ht="13.15" customHeight="1">
      <c r="A55" s="687"/>
      <c r="C55" s="396" t="s">
        <v>2489</v>
      </c>
      <c r="D55" s="786"/>
      <c r="E55" s="786"/>
      <c r="H55" s="410">
        <f>+H53+H54</f>
        <v>48</v>
      </c>
      <c r="J55" s="786"/>
    </row>
    <row r="56" spans="1:16" s="386" customFormat="1" ht="3" customHeight="1">
      <c r="A56" s="687"/>
      <c r="I56" s="792"/>
      <c r="L56" s="792"/>
      <c r="M56" s="792"/>
      <c r="N56" s="786"/>
      <c r="P56" s="397"/>
    </row>
    <row r="57" spans="1:16" s="386" customFormat="1" ht="13.15" customHeight="1">
      <c r="A57" s="687"/>
      <c r="B57" s="687" t="s">
        <v>2428</v>
      </c>
      <c r="C57" s="398" t="s">
        <v>3027</v>
      </c>
      <c r="D57" s="411" t="s">
        <v>2709</v>
      </c>
      <c r="G57" s="786"/>
      <c r="H57" s="1346">
        <v>1</v>
      </c>
      <c r="K57" s="396" t="s">
        <v>1536</v>
      </c>
      <c r="O57" s="786"/>
      <c r="P57" s="1346">
        <v>13000</v>
      </c>
    </row>
    <row r="58" spans="1:16" s="386" customFormat="1" ht="13.15" customHeight="1">
      <c r="A58" s="687"/>
      <c r="B58" s="687"/>
      <c r="D58" s="783" t="s">
        <v>2710</v>
      </c>
      <c r="H58" s="1346">
        <v>0</v>
      </c>
      <c r="I58" s="786"/>
      <c r="K58" s="396" t="s">
        <v>276</v>
      </c>
      <c r="O58" s="786"/>
      <c r="P58" s="410">
        <f>+P53+P57</f>
        <v>54147</v>
      </c>
    </row>
    <row r="59" spans="1:16" s="386" customFormat="1" ht="13.15" customHeight="1">
      <c r="A59" s="687"/>
      <c r="B59" s="687"/>
      <c r="D59" s="783" t="s">
        <v>2711</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87</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2695</v>
      </c>
      <c r="C65" s="350" t="s">
        <v>3597</v>
      </c>
      <c r="D65" s="779"/>
      <c r="E65" s="779"/>
      <c r="F65" s="786"/>
      <c r="G65" s="792"/>
      <c r="H65" s="1347" t="s">
        <v>4113</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2698</v>
      </c>
      <c r="C67" s="398" t="s">
        <v>1851</v>
      </c>
      <c r="D67" s="786"/>
      <c r="E67" s="411"/>
      <c r="F67" s="783" t="s">
        <v>1189</v>
      </c>
      <c r="H67" s="1346">
        <v>3</v>
      </c>
      <c r="K67" s="824" t="s">
        <v>687</v>
      </c>
      <c r="L67" s="824"/>
      <c r="P67" s="414">
        <f>IF('Part VI-Revenues &amp; Expenses'!$M$62=0,0,$H67/'Part VI-Revenues &amp; Expenses'!$M$62)</f>
        <v>6.25E-2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2545</v>
      </c>
      <c r="D69" s="411"/>
      <c r="E69" s="411"/>
      <c r="F69" s="783" t="s">
        <v>1189</v>
      </c>
      <c r="H69" s="1346">
        <v>1</v>
      </c>
      <c r="K69" s="824" t="s">
        <v>687</v>
      </c>
      <c r="L69" s="824"/>
      <c r="P69" s="414">
        <f>IF('Part VI-Revenues &amp; Expenses'!$M$62=0,0,$H69/'Part VI-Revenues &amp; Expenses'!$M$62)</f>
        <v>2.0833333333333332E-2</v>
      </c>
    </row>
    <row r="70" spans="1:16" s="386" customFormat="1" ht="3" customHeight="1">
      <c r="A70" s="687"/>
      <c r="B70" s="687"/>
      <c r="D70" s="783"/>
      <c r="E70" s="783"/>
      <c r="F70" s="783"/>
      <c r="I70" s="792"/>
      <c r="K70" s="778"/>
      <c r="L70" s="778"/>
      <c r="M70" s="792"/>
      <c r="P70" s="792"/>
    </row>
    <row r="71" spans="1:16" s="386" customFormat="1" ht="13.15" customHeight="1">
      <c r="A71" s="687"/>
      <c r="B71" s="687" t="s">
        <v>2831</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3135</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2695</v>
      </c>
      <c r="C75" s="350" t="s">
        <v>3134</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2698</v>
      </c>
      <c r="C77" s="389" t="s">
        <v>1991</v>
      </c>
      <c r="K77" s="392" t="s">
        <v>1263</v>
      </c>
      <c r="N77" s="416"/>
      <c r="P77" s="1307"/>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2756</v>
      </c>
      <c r="D79" s="783"/>
    </row>
    <row r="80" spans="1:16" s="386" customFormat="1" ht="3" customHeight="1">
      <c r="A80" s="687"/>
      <c r="B80" s="687"/>
      <c r="D80" s="783"/>
      <c r="N80" s="786"/>
      <c r="P80" s="397"/>
    </row>
    <row r="81" spans="1:16" s="386" customFormat="1" ht="13.15" customHeight="1">
      <c r="A81" s="415"/>
      <c r="B81" s="687" t="s">
        <v>2695</v>
      </c>
      <c r="C81" s="389" t="s">
        <v>3641</v>
      </c>
      <c r="F81" s="411" t="s">
        <v>3399</v>
      </c>
      <c r="H81" s="1307"/>
      <c r="I81" s="394" t="s">
        <v>3398</v>
      </c>
      <c r="J81" s="1307"/>
      <c r="L81" s="394" t="s">
        <v>565</v>
      </c>
      <c r="M81" s="1307"/>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2698</v>
      </c>
      <c r="C83" s="389" t="s">
        <v>3642</v>
      </c>
      <c r="F83" s="778" t="s">
        <v>3536</v>
      </c>
      <c r="H83" s="1307"/>
      <c r="I83" s="672" t="s">
        <v>3643</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2495</v>
      </c>
      <c r="I90" s="1307"/>
      <c r="J90" s="417" t="s">
        <v>2955</v>
      </c>
      <c r="K90" s="1304"/>
      <c r="L90" s="1355"/>
      <c r="M90" s="353"/>
      <c r="N90" s="353"/>
      <c r="O90" s="353"/>
      <c r="P90" s="353"/>
    </row>
    <row r="91" spans="1:16" s="386" customFormat="1" ht="13.15" customHeight="1">
      <c r="C91" s="386" t="s">
        <v>2914</v>
      </c>
      <c r="E91" s="1293"/>
      <c r="F91" s="1354"/>
      <c r="G91" s="1355"/>
      <c r="H91" s="792" t="s">
        <v>2692</v>
      </c>
      <c r="I91" s="1293"/>
      <c r="J91" s="1354"/>
      <c r="K91" s="1355"/>
      <c r="L91" s="799" t="s">
        <v>2696</v>
      </c>
      <c r="M91" s="1293"/>
      <c r="N91" s="1354"/>
      <c r="O91" s="1354"/>
      <c r="P91" s="1355"/>
    </row>
    <row r="92" spans="1:16" s="386" customFormat="1" ht="13.15" customHeight="1">
      <c r="C92" s="392" t="s">
        <v>2913</v>
      </c>
      <c r="E92" s="1301"/>
      <c r="F92" s="1306"/>
      <c r="G92" s="1302"/>
      <c r="H92" s="792" t="s">
        <v>2498</v>
      </c>
      <c r="I92" s="1340"/>
      <c r="J92" s="1355"/>
      <c r="K92" s="417" t="s">
        <v>2499</v>
      </c>
      <c r="L92" s="1340"/>
      <c r="M92" s="1355"/>
      <c r="N92" s="417" t="s">
        <v>2691</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79" t="s">
        <v>1852</v>
      </c>
      <c r="D98" s="783"/>
      <c r="E98" s="783"/>
      <c r="F98" s="792"/>
      <c r="G98" s="792"/>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79" t="s">
        <v>451</v>
      </c>
      <c r="D100" s="783"/>
      <c r="E100" s="783"/>
      <c r="F100" s="792"/>
      <c r="G100" s="792"/>
      <c r="H100" s="1357">
        <v>582441</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2852</v>
      </c>
      <c r="D103" s="783"/>
      <c r="F103" s="783" t="s">
        <v>1546</v>
      </c>
      <c r="G103" s="792"/>
      <c r="H103" s="792"/>
      <c r="I103" s="792"/>
      <c r="J103" s="783" t="s">
        <v>2852</v>
      </c>
      <c r="K103" s="783"/>
      <c r="M103" s="783" t="s">
        <v>1546</v>
      </c>
      <c r="N103" s="792"/>
      <c r="O103" s="792"/>
      <c r="P103" s="792"/>
    </row>
    <row r="104" spans="1:16" s="386" customFormat="1" ht="13.15" customHeight="1">
      <c r="A104" s="687"/>
      <c r="B104" s="687"/>
      <c r="C104" s="1358" t="s">
        <v>4121</v>
      </c>
      <c r="D104" s="1359"/>
      <c r="E104" s="1359"/>
      <c r="F104" s="1359" t="s">
        <v>4105</v>
      </c>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22" t="s">
        <v>2552</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2852</v>
      </c>
      <c r="D112" s="783"/>
      <c r="F112" s="783" t="s">
        <v>1546</v>
      </c>
      <c r="G112" s="792"/>
      <c r="H112" s="792"/>
      <c r="I112" s="792"/>
      <c r="J112" s="783" t="s">
        <v>2852</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3186</v>
      </c>
      <c r="D119" s="412"/>
      <c r="E119" s="412"/>
      <c r="F119" s="412"/>
      <c r="H119" s="1307" t="s">
        <v>4087</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2695</v>
      </c>
      <c r="C121" s="393" t="s">
        <v>2403</v>
      </c>
      <c r="H121" s="1307"/>
      <c r="M121" s="792"/>
      <c r="N121" s="786"/>
      <c r="O121" s="786"/>
      <c r="P121" s="397"/>
    </row>
    <row r="122" spans="1:16" s="386" customFormat="1" ht="13.15" customHeight="1">
      <c r="A122" s="687"/>
      <c r="B122" s="687"/>
      <c r="C122" s="783" t="s">
        <v>3188</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3189</v>
      </c>
      <c r="D124" s="783"/>
      <c r="E124" s="783"/>
      <c r="F124" s="792"/>
      <c r="H124" s="1367"/>
      <c r="K124" s="353" t="s">
        <v>2974</v>
      </c>
      <c r="O124" s="1293" t="s">
        <v>617</v>
      </c>
      <c r="P124" s="1295"/>
    </row>
    <row r="125" spans="1:16" s="386" customFormat="1" ht="13.15" customHeight="1">
      <c r="A125" s="687"/>
      <c r="B125" s="687"/>
      <c r="C125" s="783" t="s">
        <v>3187</v>
      </c>
      <c r="F125" s="792"/>
      <c r="H125" s="1356"/>
      <c r="K125" s="353" t="s">
        <v>2975</v>
      </c>
      <c r="O125" s="1293" t="s">
        <v>617</v>
      </c>
      <c r="P125" s="1295"/>
    </row>
    <row r="126" spans="1:16" s="386" customFormat="1" ht="13.15" customHeight="1">
      <c r="A126" s="687"/>
      <c r="B126" s="687"/>
      <c r="C126" s="783" t="s">
        <v>2885</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2698</v>
      </c>
      <c r="C128" s="779" t="s">
        <v>3273</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3608</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2695</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2886</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78" t="s">
        <v>2496</v>
      </c>
      <c r="M140" s="1308"/>
      <c r="N140" s="1309"/>
      <c r="O140" s="1309"/>
      <c r="P140" s="1310"/>
    </row>
    <row r="141" spans="1:16" s="386" customFormat="1" ht="12.6" customHeight="1">
      <c r="A141" s="687"/>
      <c r="B141" s="687"/>
      <c r="C141" s="392" t="s">
        <v>798</v>
      </c>
      <c r="E141" s="1293"/>
      <c r="F141" s="1294"/>
      <c r="G141" s="1294"/>
      <c r="H141" s="1295"/>
      <c r="I141" s="417" t="s">
        <v>2955</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2691</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2698</v>
      </c>
      <c r="C144" s="779" t="s">
        <v>3621</v>
      </c>
      <c r="D144" s="779"/>
      <c r="E144" s="779"/>
      <c r="F144" s="779"/>
      <c r="G144" s="779"/>
      <c r="I144" s="1356"/>
      <c r="J144" s="820" t="s">
        <v>1067</v>
      </c>
      <c r="K144" s="821"/>
      <c r="L144" s="1356"/>
      <c r="M144" s="817" t="s">
        <v>3058</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3622</v>
      </c>
      <c r="D146" s="779"/>
      <c r="E146" s="779"/>
      <c r="F146" s="779"/>
      <c r="G146" s="779"/>
      <c r="I146" s="1356" t="s">
        <v>4088</v>
      </c>
      <c r="J146" s="820" t="s">
        <v>1067</v>
      </c>
      <c r="K146" s="821"/>
      <c r="L146" s="1356">
        <v>2035</v>
      </c>
      <c r="M146" s="817" t="s">
        <v>3058</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4087</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2831</v>
      </c>
      <c r="C150" s="841" t="s">
        <v>2690</v>
      </c>
      <c r="D150" s="841"/>
      <c r="E150" s="841"/>
      <c r="F150" s="841"/>
      <c r="G150" s="779"/>
      <c r="I150" s="1356" t="s">
        <v>4087</v>
      </c>
      <c r="J150" s="428" t="s">
        <v>3941</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2935</v>
      </c>
      <c r="D154" s="398"/>
      <c r="E154" s="786"/>
      <c r="F154" s="786"/>
      <c r="I154" s="1356" t="s">
        <v>4087</v>
      </c>
      <c r="L154" s="786" t="s">
        <v>3675</v>
      </c>
      <c r="M154" s="786"/>
      <c r="P154" s="1356" t="s">
        <v>4087</v>
      </c>
    </row>
    <row r="155" spans="1:16" s="386" customFormat="1" ht="12.6" customHeight="1">
      <c r="A155" s="687"/>
      <c r="B155" s="687"/>
      <c r="C155" s="786" t="s">
        <v>2937</v>
      </c>
      <c r="I155" s="1356" t="s">
        <v>4087</v>
      </c>
      <c r="L155" s="786" t="s">
        <v>2076</v>
      </c>
      <c r="M155" s="786"/>
      <c r="N155" s="786"/>
      <c r="P155" s="1356" t="s">
        <v>4088</v>
      </c>
    </row>
    <row r="156" spans="1:16" s="386" customFormat="1" ht="12.6" customHeight="1">
      <c r="A156" s="687"/>
      <c r="C156" s="786" t="s">
        <v>3674</v>
      </c>
      <c r="I156" s="1356" t="s">
        <v>4088</v>
      </c>
      <c r="L156" s="786" t="s">
        <v>1995</v>
      </c>
      <c r="M156" s="786"/>
      <c r="N156" s="786"/>
      <c r="P156" s="1356" t="s">
        <v>4087</v>
      </c>
    </row>
    <row r="157" spans="1:16" s="386" customFormat="1" ht="12.6" customHeight="1">
      <c r="A157" s="687"/>
      <c r="B157" s="687"/>
      <c r="C157" s="786" t="s">
        <v>1716</v>
      </c>
      <c r="D157" s="429"/>
      <c r="I157" s="1356" t="s">
        <v>4087</v>
      </c>
      <c r="K157" s="398"/>
      <c r="L157" s="786" t="s">
        <v>3593</v>
      </c>
      <c r="N157" s="1370"/>
      <c r="O157" s="1371"/>
      <c r="P157" s="1356"/>
    </row>
    <row r="158" spans="1:16" s="386" customFormat="1" ht="12.6" customHeight="1">
      <c r="A158" s="687"/>
      <c r="B158" s="389"/>
      <c r="C158" s="786" t="s">
        <v>2506</v>
      </c>
      <c r="I158" s="1356" t="s">
        <v>4087</v>
      </c>
      <c r="J158" s="428" t="s">
        <v>3942</v>
      </c>
      <c r="O158" s="1372"/>
      <c r="P158" s="1373"/>
    </row>
    <row r="159" spans="1:16" s="386" customFormat="1" ht="12.6" customHeight="1">
      <c r="A159" s="687"/>
      <c r="B159" s="687"/>
      <c r="C159" s="786" t="s">
        <v>3673</v>
      </c>
      <c r="I159" s="1356" t="s">
        <v>4087</v>
      </c>
      <c r="J159" s="428" t="s">
        <v>3942</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3025</v>
      </c>
      <c r="D164" s="783"/>
      <c r="E164" s="783"/>
      <c r="F164" s="792"/>
      <c r="G164" s="792"/>
      <c r="H164" s="1352">
        <v>42156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3598</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381"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80"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381"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381"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381"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80"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381"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80"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381"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381"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381"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381"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381" t="s">
        <v>2858</v>
      </c>
    </row>
    <row r="354" spans="2:16" s="723" customFormat="1" ht="12" customHeight="1">
      <c r="B354" s="722"/>
      <c r="J354" s="735" t="s">
        <v>1552</v>
      </c>
      <c r="K354" s="736"/>
      <c r="L354" s="727"/>
      <c r="M354" s="728"/>
      <c r="N354" s="626" t="s">
        <v>3371</v>
      </c>
      <c r="O354" s="626" t="s">
        <v>3321</v>
      </c>
      <c r="P354" s="1381"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381" t="s">
        <v>2858</v>
      </c>
    </row>
    <row r="370" spans="2:16" s="723" customFormat="1" ht="12" customHeight="1">
      <c r="B370" s="722"/>
      <c r="J370" s="735" t="s">
        <v>2646</v>
      </c>
      <c r="K370" s="736"/>
      <c r="L370" s="727"/>
      <c r="M370" s="728"/>
      <c r="N370" s="626" t="s">
        <v>3372</v>
      </c>
      <c r="O370" s="626" t="s">
        <v>2892</v>
      </c>
      <c r="P370" s="1381" t="s">
        <v>2858</v>
      </c>
    </row>
    <row r="371" spans="2:16" s="723" customFormat="1" ht="12" customHeight="1">
      <c r="B371" s="722"/>
      <c r="J371" s="735" t="s">
        <v>2648</v>
      </c>
      <c r="K371" s="736"/>
      <c r="L371" s="727"/>
      <c r="M371" s="728"/>
      <c r="N371" s="626" t="s">
        <v>3373</v>
      </c>
      <c r="O371" s="626" t="s">
        <v>3269</v>
      </c>
      <c r="P371" s="1381"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381"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81"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81"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81"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81"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381"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381"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381"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381" t="s">
        <v>2858</v>
      </c>
    </row>
    <row r="477" spans="2:16" s="723" customFormat="1" ht="12" customHeight="1">
      <c r="B477" s="722"/>
      <c r="J477" s="735" t="s">
        <v>3178</v>
      </c>
      <c r="K477" s="736"/>
      <c r="L477" s="727"/>
      <c r="M477" s="728"/>
      <c r="N477" s="626" t="s">
        <v>1463</v>
      </c>
      <c r="O477" s="626" t="s">
        <v>1518</v>
      </c>
      <c r="P477" s="1381"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381"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381"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381"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81"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381"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381" t="s">
        <v>2858</v>
      </c>
    </row>
    <row r="566" spans="2:16" s="723" customFormat="1" ht="12" customHeight="1">
      <c r="B566" s="722"/>
      <c r="J566" s="735" t="s">
        <v>2043</v>
      </c>
      <c r="K566" s="736"/>
      <c r="L566" s="727"/>
      <c r="M566" s="728"/>
      <c r="N566" s="626" t="s">
        <v>1469</v>
      </c>
      <c r="O566" s="626" t="s">
        <v>808</v>
      </c>
      <c r="P566" s="1381" t="s">
        <v>2858</v>
      </c>
    </row>
    <row r="567" spans="2:16" s="723" customFormat="1" ht="12" customHeight="1">
      <c r="B567" s="722"/>
      <c r="J567" s="735" t="s">
        <v>2045</v>
      </c>
      <c r="K567" s="736"/>
      <c r="L567" s="727"/>
      <c r="M567" s="728"/>
      <c r="N567" s="626" t="s">
        <v>1470</v>
      </c>
      <c r="O567" s="626" t="s">
        <v>808</v>
      </c>
      <c r="P567" s="1381"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80"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381" t="s">
        <v>2858</v>
      </c>
    </row>
    <row r="596" spans="2:20" s="723" customFormat="1" ht="12" customHeight="1">
      <c r="B596" s="722"/>
      <c r="J596" s="735" t="s">
        <v>1884</v>
      </c>
      <c r="K596" s="736"/>
      <c r="L596" s="727"/>
      <c r="M596" s="728"/>
      <c r="N596" s="626" t="s">
        <v>1472</v>
      </c>
      <c r="O596" s="626" t="s">
        <v>2349</v>
      </c>
      <c r="P596" s="1381" t="s">
        <v>2858</v>
      </c>
      <c r="R596" s="626" t="s">
        <v>3361</v>
      </c>
      <c r="S596" s="626" t="s">
        <v>351</v>
      </c>
      <c r="T596" s="1381"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381" t="s">
        <v>2858</v>
      </c>
    </row>
    <row r="598" spans="2:20" s="723" customFormat="1" ht="12" customHeight="1">
      <c r="B598" s="722"/>
      <c r="J598" s="735" t="s">
        <v>2015</v>
      </c>
      <c r="K598" s="736"/>
      <c r="L598" s="727"/>
      <c r="M598" s="728"/>
      <c r="N598" s="737" t="s">
        <v>2016</v>
      </c>
      <c r="O598" s="737" t="s">
        <v>347</v>
      </c>
      <c r="P598" s="728" t="s">
        <v>990</v>
      </c>
      <c r="R598" s="626" t="s">
        <v>3363</v>
      </c>
      <c r="S598" s="626"/>
      <c r="T598" s="1381"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381"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381"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381"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381"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381"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381"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381"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381"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381"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381"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381" t="s">
        <v>2858</v>
      </c>
    </row>
    <row r="610" spans="2:20" s="723" customFormat="1" ht="12" customHeight="1">
      <c r="B610" s="722"/>
      <c r="J610" s="735" t="s">
        <v>1432</v>
      </c>
      <c r="K610" s="736"/>
      <c r="L610" s="727"/>
      <c r="M610" s="728"/>
      <c r="N610" s="737" t="s">
        <v>2514</v>
      </c>
      <c r="O610" s="737" t="s">
        <v>116</v>
      </c>
      <c r="P610" s="1380" t="s">
        <v>1218</v>
      </c>
      <c r="R610" s="626" t="s">
        <v>3374</v>
      </c>
      <c r="S610" s="626" t="s">
        <v>2720</v>
      </c>
      <c r="T610" s="1381"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2858</v>
      </c>
    </row>
    <row r="612" spans="2:20" s="723" customFormat="1" ht="12" customHeight="1">
      <c r="B612" s="722"/>
      <c r="J612" s="735" t="s">
        <v>2515</v>
      </c>
      <c r="K612" s="736"/>
      <c r="L612" s="727"/>
      <c r="M612" s="728"/>
      <c r="N612" s="626" t="s">
        <v>1473</v>
      </c>
      <c r="O612" s="626" t="s">
        <v>1352</v>
      </c>
      <c r="P612" s="1381" t="s">
        <v>2858</v>
      </c>
      <c r="R612" s="626" t="s">
        <v>1300</v>
      </c>
      <c r="S612" s="626" t="s">
        <v>1511</v>
      </c>
      <c r="T612" s="1381"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81" t="s">
        <v>2858</v>
      </c>
    </row>
    <row r="615" spans="2:20" s="723" customFormat="1" ht="12" customHeight="1">
      <c r="B615" s="722"/>
      <c r="J615" s="735" t="s">
        <v>436</v>
      </c>
      <c r="K615" s="736"/>
      <c r="L615" s="727"/>
      <c r="M615" s="728"/>
      <c r="N615" s="626" t="s">
        <v>1474</v>
      </c>
      <c r="O615" s="626" t="s">
        <v>128</v>
      </c>
      <c r="P615" s="1381" t="s">
        <v>2858</v>
      </c>
      <c r="R615" s="626" t="s">
        <v>1456</v>
      </c>
      <c r="S615" s="626" t="s">
        <v>2718</v>
      </c>
      <c r="T615" s="1381" t="s">
        <v>2858</v>
      </c>
    </row>
    <row r="616" spans="2:20" s="723" customFormat="1" ht="12" customHeight="1">
      <c r="B616" s="722"/>
      <c r="J616" s="735" t="s">
        <v>4</v>
      </c>
      <c r="K616" s="736"/>
      <c r="L616" s="727"/>
      <c r="M616" s="728"/>
      <c r="N616" s="737" t="s">
        <v>5</v>
      </c>
      <c r="O616" s="737" t="s">
        <v>1751</v>
      </c>
      <c r="P616" s="728" t="s">
        <v>5</v>
      </c>
      <c r="R616" s="626" t="s">
        <v>1457</v>
      </c>
      <c r="S616" s="626" t="s">
        <v>1504</v>
      </c>
      <c r="T616" s="1381" t="s">
        <v>2858</v>
      </c>
    </row>
    <row r="617" spans="2:20" s="723" customFormat="1" ht="12" customHeight="1">
      <c r="B617" s="722"/>
      <c r="J617" s="735" t="s">
        <v>6</v>
      </c>
      <c r="K617" s="736"/>
      <c r="L617" s="727"/>
      <c r="M617" s="728"/>
      <c r="N617" s="737" t="s">
        <v>7</v>
      </c>
      <c r="O617" s="737" t="s">
        <v>3158</v>
      </c>
      <c r="P617" s="728" t="s">
        <v>1005</v>
      </c>
      <c r="Q617" s="1382"/>
      <c r="R617" s="626" t="s">
        <v>1458</v>
      </c>
      <c r="S617" s="626" t="s">
        <v>1977</v>
      </c>
      <c r="T617" s="1381" t="s">
        <v>2858</v>
      </c>
    </row>
    <row r="618" spans="2:20" s="723" customFormat="1" ht="12" customHeight="1">
      <c r="B618" s="722"/>
      <c r="J618" s="735" t="s">
        <v>8</v>
      </c>
      <c r="K618" s="736"/>
      <c r="L618" s="727"/>
      <c r="M618" s="728"/>
      <c r="N618" s="737" t="s">
        <v>9</v>
      </c>
      <c r="O618" s="737" t="s">
        <v>2627</v>
      </c>
      <c r="P618" s="728" t="s">
        <v>1006</v>
      </c>
      <c r="R618" s="626" t="s">
        <v>1459</v>
      </c>
      <c r="S618" s="626" t="s">
        <v>3266</v>
      </c>
      <c r="T618" s="1381" t="s">
        <v>2858</v>
      </c>
    </row>
    <row r="619" spans="2:20" s="723" customFormat="1" ht="12" customHeight="1">
      <c r="B619" s="722"/>
      <c r="J619" s="735" t="s">
        <v>10</v>
      </c>
      <c r="K619" s="736"/>
      <c r="L619" s="727"/>
      <c r="M619" s="728"/>
      <c r="N619" s="626" t="s">
        <v>1475</v>
      </c>
      <c r="O619" s="626" t="s">
        <v>808</v>
      </c>
      <c r="P619" s="1381" t="s">
        <v>2858</v>
      </c>
      <c r="R619" s="626" t="s">
        <v>1460</v>
      </c>
      <c r="S619" s="626" t="s">
        <v>175</v>
      </c>
      <c r="T619" s="1381" t="s">
        <v>2858</v>
      </c>
    </row>
    <row r="620" spans="2:20" s="723" customFormat="1" ht="12" customHeight="1">
      <c r="B620" s="722"/>
      <c r="J620" s="735" t="s">
        <v>2861</v>
      </c>
      <c r="K620" s="736"/>
      <c r="L620" s="727"/>
      <c r="M620" s="728"/>
      <c r="N620" s="626" t="s">
        <v>1476</v>
      </c>
      <c r="O620" s="626" t="s">
        <v>348</v>
      </c>
      <c r="P620" s="1381" t="s">
        <v>2858</v>
      </c>
      <c r="R620" s="626" t="s">
        <v>1461</v>
      </c>
      <c r="S620" s="626" t="s">
        <v>1768</v>
      </c>
      <c r="T620" s="1381"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81"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381"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81"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81"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381"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381" t="s">
        <v>2858</v>
      </c>
    </row>
    <row r="627" spans="2:20" s="723" customFormat="1" ht="12" customHeight="1">
      <c r="B627" s="722"/>
      <c r="J627" s="735" t="s">
        <v>1971</v>
      </c>
      <c r="K627" s="736"/>
      <c r="L627" s="727"/>
      <c r="M627" s="728"/>
      <c r="N627" s="737" t="s">
        <v>1970</v>
      </c>
      <c r="O627" s="737" t="s">
        <v>2905</v>
      </c>
      <c r="P627" s="728" t="s">
        <v>1013</v>
      </c>
      <c r="R627" s="626" t="s">
        <v>1466</v>
      </c>
      <c r="S627" s="626"/>
      <c r="T627" s="1381"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381"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381"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381"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381" t="s">
        <v>2858</v>
      </c>
    </row>
    <row r="638" spans="2:20" s="723" customFormat="1" ht="12" customHeight="1">
      <c r="B638" s="722"/>
      <c r="J638" s="735" t="s">
        <v>1594</v>
      </c>
      <c r="K638" s="736"/>
      <c r="L638" s="727"/>
      <c r="M638" s="728"/>
      <c r="N638" s="626" t="s">
        <v>1477</v>
      </c>
      <c r="O638" s="626" t="s">
        <v>352</v>
      </c>
      <c r="P638" s="1381" t="s">
        <v>2858</v>
      </c>
      <c r="R638" s="626" t="s">
        <v>1475</v>
      </c>
      <c r="S638" s="626" t="s">
        <v>808</v>
      </c>
      <c r="T638" s="1381"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81"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381"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381"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381"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381"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381"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381" t="s">
        <v>2858</v>
      </c>
    </row>
    <row r="647" spans="2:20" s="723" customFormat="1" ht="12" customHeight="1">
      <c r="B647" s="722"/>
      <c r="J647" s="735" t="s">
        <v>2213</v>
      </c>
      <c r="K647" s="736"/>
      <c r="L647" s="727"/>
      <c r="M647" s="728"/>
      <c r="N647" s="737" t="s">
        <v>1226</v>
      </c>
      <c r="O647" s="737" t="s">
        <v>1747</v>
      </c>
      <c r="P647" s="1380" t="s">
        <v>1218</v>
      </c>
      <c r="R647" s="626" t="s">
        <v>1483</v>
      </c>
      <c r="S647" s="626" t="s">
        <v>2621</v>
      </c>
      <c r="T647" s="1381" t="s">
        <v>2858</v>
      </c>
    </row>
    <row r="648" spans="2:20" s="723" customFormat="1" ht="12" customHeight="1">
      <c r="B648" s="722"/>
      <c r="J648" s="735" t="s">
        <v>2214</v>
      </c>
      <c r="K648" s="736"/>
      <c r="L648" s="727"/>
      <c r="M648" s="728"/>
      <c r="N648" s="626" t="s">
        <v>1226</v>
      </c>
      <c r="O648" s="626" t="s">
        <v>1747</v>
      </c>
      <c r="P648" s="1381" t="s">
        <v>2858</v>
      </c>
      <c r="R648" s="626" t="s">
        <v>1484</v>
      </c>
      <c r="S648" s="626" t="s">
        <v>2718</v>
      </c>
      <c r="T648" s="1381"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381"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2858</v>
      </c>
    </row>
    <row r="651" spans="2:20" s="723" customFormat="1" ht="12" customHeight="1">
      <c r="B651" s="722"/>
      <c r="J651" s="735" t="s">
        <v>2219</v>
      </c>
      <c r="K651" s="736"/>
      <c r="L651" s="727"/>
      <c r="M651" s="728"/>
      <c r="N651" s="626" t="s">
        <v>1479</v>
      </c>
      <c r="O651" s="626" t="s">
        <v>1977</v>
      </c>
      <c r="P651" s="1381" t="s">
        <v>2858</v>
      </c>
      <c r="R651" s="626" t="s">
        <v>1487</v>
      </c>
      <c r="S651" s="626" t="s">
        <v>3269</v>
      </c>
      <c r="T651" s="1381"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381"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381"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381"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381" t="s">
        <v>2858</v>
      </c>
    </row>
    <row r="694" spans="2:16" s="723" customFormat="1" ht="12" customHeight="1">
      <c r="B694" s="722"/>
      <c r="J694" s="735" t="s">
        <v>3287</v>
      </c>
      <c r="K694" s="736"/>
      <c r="L694" s="727"/>
      <c r="M694" s="728"/>
      <c r="N694" s="626" t="s">
        <v>1484</v>
      </c>
      <c r="O694" s="626" t="s">
        <v>2718</v>
      </c>
      <c r="P694" s="1381"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382"/>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80"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37"/>
      <c r="K716" s="838"/>
      <c r="L716" s="838"/>
      <c r="M716" s="839"/>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381"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2013-036 Davidson Senior Manor, Augusta, Richmond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3" t="s">
        <v>4095</v>
      </c>
      <c r="I5" s="1354"/>
      <c r="J5" s="1354"/>
      <c r="K5" s="1354"/>
      <c r="L5" s="1354"/>
      <c r="M5" s="1354"/>
      <c r="N5" s="1355"/>
      <c r="O5" s="778" t="s">
        <v>2702</v>
      </c>
      <c r="P5" s="778"/>
      <c r="Q5" s="1293" t="s">
        <v>4071</v>
      </c>
      <c r="R5" s="1354"/>
      <c r="S5" s="1355"/>
    </row>
    <row r="6" spans="1:26" s="386" customFormat="1" ht="12.6" customHeight="1">
      <c r="D6" s="431"/>
      <c r="E6" s="392" t="s">
        <v>1424</v>
      </c>
      <c r="F6" s="400"/>
      <c r="H6" s="1293" t="s">
        <v>4069</v>
      </c>
      <c r="I6" s="1354"/>
      <c r="J6" s="1354"/>
      <c r="K6" s="1354"/>
      <c r="L6" s="1354"/>
      <c r="M6" s="1354"/>
      <c r="N6" s="1355"/>
      <c r="O6" s="778" t="s">
        <v>2441</v>
      </c>
      <c r="Q6" s="1293" t="s">
        <v>4072</v>
      </c>
      <c r="R6" s="1354"/>
      <c r="S6" s="1355"/>
    </row>
    <row r="7" spans="1:26" s="386" customFormat="1" ht="12.6" customHeight="1">
      <c r="D7" s="431"/>
      <c r="E7" s="392" t="s">
        <v>798</v>
      </c>
      <c r="H7" s="1293" t="s">
        <v>4070</v>
      </c>
      <c r="I7" s="1354"/>
      <c r="J7" s="1355"/>
      <c r="K7" s="1383" t="s">
        <v>1068</v>
      </c>
      <c r="L7" s="1293"/>
      <c r="M7" s="1354"/>
      <c r="N7" s="1355"/>
      <c r="O7" s="778" t="s">
        <v>2499</v>
      </c>
      <c r="Q7" s="1301"/>
      <c r="R7" s="1306"/>
      <c r="S7" s="1302"/>
    </row>
    <row r="8" spans="1:26" s="386" customFormat="1" ht="12.6" customHeight="1">
      <c r="D8" s="431"/>
      <c r="E8" s="392" t="s">
        <v>2495</v>
      </c>
      <c r="H8" s="1307" t="s">
        <v>1776</v>
      </c>
      <c r="I8" s="792" t="s">
        <v>1711</v>
      </c>
      <c r="J8" s="1304">
        <v>638370000</v>
      </c>
      <c r="K8" s="1355"/>
      <c r="L8" s="351" t="s">
        <v>3746</v>
      </c>
      <c r="M8" s="1384"/>
      <c r="N8" s="1385"/>
      <c r="O8" s="778" t="s">
        <v>2691</v>
      </c>
      <c r="Q8" s="1301"/>
      <c r="R8" s="1306"/>
      <c r="S8" s="1302"/>
    </row>
    <row r="9" spans="1:26" s="386" customFormat="1" ht="12.6" customHeight="1">
      <c r="D9" s="431"/>
      <c r="E9" s="392" t="s">
        <v>2697</v>
      </c>
      <c r="H9" s="1301">
        <v>5734483000</v>
      </c>
      <c r="I9" s="1302"/>
      <c r="J9" s="1386"/>
      <c r="K9" s="792" t="s">
        <v>2498</v>
      </c>
      <c r="L9" s="1340">
        <v>5374483551</v>
      </c>
      <c r="M9" s="1387"/>
      <c r="N9" s="394" t="s">
        <v>2696</v>
      </c>
      <c r="O9" s="1308" t="s">
        <v>4073</v>
      </c>
      <c r="P9" s="1309"/>
      <c r="Q9" s="1309"/>
      <c r="R9" s="1309"/>
      <c r="S9" s="1310"/>
    </row>
    <row r="10" spans="1:26" s="386" customFormat="1" ht="13.15" customHeight="1">
      <c r="D10" s="431"/>
      <c r="E10" s="377" t="s">
        <v>3745</v>
      </c>
      <c r="H10" s="425"/>
      <c r="K10" s="351" t="s">
        <v>3747</v>
      </c>
      <c r="M10" s="1356">
        <v>8</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3918</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3957</v>
      </c>
      <c r="P14" s="763" t="s">
        <v>3956</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2832</v>
      </c>
      <c r="E16" s="386" t="s">
        <v>2561</v>
      </c>
      <c r="H16" s="1293" t="s">
        <v>4068</v>
      </c>
      <c r="I16" s="1354"/>
      <c r="J16" s="1354"/>
      <c r="K16" s="1354"/>
      <c r="L16" s="1354"/>
      <c r="M16" s="1354"/>
      <c r="N16" s="1355"/>
      <c r="O16" s="778" t="s">
        <v>2702</v>
      </c>
      <c r="P16" s="778"/>
      <c r="Q16" s="1293" t="s">
        <v>4071</v>
      </c>
      <c r="R16" s="1354"/>
      <c r="S16" s="1355"/>
    </row>
    <row r="17" spans="4:19" s="386" customFormat="1" ht="12.6" customHeight="1">
      <c r="D17" s="431"/>
      <c r="E17" s="392" t="s">
        <v>1424</v>
      </c>
      <c r="F17" s="400"/>
      <c r="H17" s="1293" t="s">
        <v>4069</v>
      </c>
      <c r="I17" s="1354"/>
      <c r="J17" s="1354"/>
      <c r="K17" s="1354"/>
      <c r="L17" s="1354"/>
      <c r="M17" s="1354"/>
      <c r="N17" s="1355"/>
      <c r="O17" s="778" t="s">
        <v>2441</v>
      </c>
      <c r="Q17" s="1293" t="s">
        <v>4072</v>
      </c>
      <c r="R17" s="1354"/>
      <c r="S17" s="1355"/>
    </row>
    <row r="18" spans="4:19" s="386" customFormat="1" ht="12.6" customHeight="1">
      <c r="D18" s="431"/>
      <c r="E18" s="392" t="s">
        <v>798</v>
      </c>
      <c r="H18" s="1293" t="s">
        <v>4070</v>
      </c>
      <c r="I18" s="1354"/>
      <c r="J18" s="1355"/>
      <c r="O18" s="778" t="s">
        <v>2499</v>
      </c>
      <c r="Q18" s="1301"/>
      <c r="R18" s="1306"/>
      <c r="S18" s="1302"/>
    </row>
    <row r="19" spans="4:19" s="386" customFormat="1" ht="12.6" customHeight="1">
      <c r="D19" s="389"/>
      <c r="E19" s="392" t="s">
        <v>2495</v>
      </c>
      <c r="H19" s="1307" t="s">
        <v>1776</v>
      </c>
      <c r="I19" s="792" t="s">
        <v>1711</v>
      </c>
      <c r="J19" s="1304">
        <v>638370000</v>
      </c>
      <c r="K19" s="1355"/>
      <c r="L19" s="351" t="s">
        <v>1713</v>
      </c>
      <c r="N19" s="1356">
        <v>8</v>
      </c>
      <c r="O19" s="778" t="s">
        <v>2691</v>
      </c>
      <c r="Q19" s="1301"/>
      <c r="R19" s="1306"/>
      <c r="S19" s="1302"/>
    </row>
    <row r="20" spans="4:19" s="386" customFormat="1" ht="12.6" customHeight="1">
      <c r="D20" s="431"/>
      <c r="E20" s="392" t="s">
        <v>2697</v>
      </c>
      <c r="H20" s="1301">
        <v>5734483000</v>
      </c>
      <c r="I20" s="1302"/>
      <c r="J20" s="1386"/>
      <c r="K20" s="792" t="s">
        <v>2498</v>
      </c>
      <c r="L20" s="1340">
        <v>5734483551</v>
      </c>
      <c r="M20" s="1355"/>
      <c r="N20" s="394" t="s">
        <v>2696</v>
      </c>
      <c r="O20" s="1308" t="s">
        <v>4073</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2833</v>
      </c>
      <c r="E22" s="386" t="s">
        <v>2562</v>
      </c>
      <c r="F22" s="786"/>
      <c r="H22" s="1293"/>
      <c r="I22" s="1354"/>
      <c r="J22" s="1354"/>
      <c r="K22" s="1354"/>
      <c r="L22" s="1354"/>
      <c r="M22" s="1354"/>
      <c r="N22" s="1355"/>
      <c r="O22" s="778" t="s">
        <v>2702</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2499</v>
      </c>
      <c r="Q24" s="1301"/>
      <c r="R24" s="1306"/>
      <c r="S24" s="1302"/>
    </row>
    <row r="25" spans="4:19" s="386" customFormat="1" ht="12.6" customHeight="1">
      <c r="E25" s="392" t="s">
        <v>2495</v>
      </c>
      <c r="H25" s="1307"/>
      <c r="I25" s="417" t="s">
        <v>2955</v>
      </c>
      <c r="J25" s="1304"/>
      <c r="K25" s="1355"/>
      <c r="O25" s="778" t="s">
        <v>2691</v>
      </c>
      <c r="Q25" s="1301"/>
      <c r="R25" s="1306"/>
      <c r="S25" s="1302"/>
    </row>
    <row r="26" spans="4:19" s="386" customFormat="1" ht="12.6" customHeight="1">
      <c r="D26" s="431"/>
      <c r="E26" s="392" t="s">
        <v>2697</v>
      </c>
      <c r="H26" s="1301"/>
      <c r="I26" s="1302"/>
      <c r="J26" s="1386"/>
      <c r="K26" s="792" t="s">
        <v>2498</v>
      </c>
      <c r="L26" s="1340"/>
      <c r="M26" s="1355"/>
      <c r="N26" s="394" t="s">
        <v>2696</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2562</v>
      </c>
      <c r="F28" s="786"/>
      <c r="H28" s="1293"/>
      <c r="I28" s="1354"/>
      <c r="J28" s="1354"/>
      <c r="K28" s="1354"/>
      <c r="L28" s="1354"/>
      <c r="M28" s="1354"/>
      <c r="N28" s="1355"/>
      <c r="O28" s="778" t="s">
        <v>2702</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2499</v>
      </c>
      <c r="Q30" s="1301"/>
      <c r="R30" s="1306"/>
      <c r="S30" s="1302"/>
    </row>
    <row r="31" spans="4:19" s="386" customFormat="1" ht="12.6" customHeight="1">
      <c r="E31" s="392" t="s">
        <v>2495</v>
      </c>
      <c r="H31" s="1307"/>
      <c r="I31" s="417" t="s">
        <v>2955</v>
      </c>
      <c r="J31" s="1304"/>
      <c r="K31" s="1355"/>
      <c r="O31" s="778" t="s">
        <v>2691</v>
      </c>
      <c r="Q31" s="1301"/>
      <c r="R31" s="1306"/>
      <c r="S31" s="1302"/>
    </row>
    <row r="32" spans="4:19" s="386" customFormat="1" ht="12.6" customHeight="1">
      <c r="D32" s="431"/>
      <c r="E32" s="392" t="s">
        <v>2697</v>
      </c>
      <c r="H32" s="1301"/>
      <c r="I32" s="1302"/>
      <c r="J32" s="1386"/>
      <c r="K32" s="792" t="s">
        <v>2498</v>
      </c>
      <c r="L32" s="1340"/>
      <c r="M32" s="1355"/>
      <c r="N32" s="394" t="s">
        <v>2696</v>
      </c>
      <c r="O32" s="1308"/>
      <c r="P32" s="1309"/>
      <c r="Q32" s="1309"/>
      <c r="R32" s="1309"/>
      <c r="S32" s="1310"/>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2832</v>
      </c>
      <c r="E36" s="386" t="s">
        <v>1055</v>
      </c>
      <c r="H36" s="1293" t="s">
        <v>4074</v>
      </c>
      <c r="I36" s="1354"/>
      <c r="J36" s="1354"/>
      <c r="K36" s="1354"/>
      <c r="L36" s="1354"/>
      <c r="M36" s="1354"/>
      <c r="N36" s="1355"/>
      <c r="O36" s="778" t="s">
        <v>2702</v>
      </c>
      <c r="P36" s="778"/>
      <c r="Q36" s="1293" t="s">
        <v>4076</v>
      </c>
      <c r="R36" s="1354"/>
      <c r="S36" s="1355"/>
    </row>
    <row r="37" spans="3:19" s="386" customFormat="1" ht="12.6" customHeight="1">
      <c r="D37" s="431"/>
      <c r="E37" s="392" t="s">
        <v>1424</v>
      </c>
      <c r="F37" s="400"/>
      <c r="H37" s="1293" t="s">
        <v>4075</v>
      </c>
      <c r="I37" s="1354"/>
      <c r="J37" s="1354"/>
      <c r="K37" s="1354"/>
      <c r="L37" s="1354"/>
      <c r="M37" s="1354"/>
      <c r="N37" s="1355"/>
      <c r="O37" s="778" t="s">
        <v>2441</v>
      </c>
      <c r="Q37" s="1293" t="s">
        <v>4077</v>
      </c>
      <c r="R37" s="1354"/>
      <c r="S37" s="1355"/>
    </row>
    <row r="38" spans="3:19" s="386" customFormat="1" ht="12.6" customHeight="1">
      <c r="D38" s="431"/>
      <c r="E38" s="392" t="s">
        <v>798</v>
      </c>
      <c r="H38" s="1293" t="s">
        <v>3318</v>
      </c>
      <c r="I38" s="1354"/>
      <c r="J38" s="1355"/>
      <c r="O38" s="778" t="s">
        <v>2499</v>
      </c>
      <c r="Q38" s="1301"/>
      <c r="R38" s="1306"/>
      <c r="S38" s="1302"/>
    </row>
    <row r="39" spans="3:19" s="386" customFormat="1" ht="12.6" customHeight="1">
      <c r="E39" s="392" t="s">
        <v>2495</v>
      </c>
      <c r="H39" s="1307" t="s">
        <v>1776</v>
      </c>
      <c r="I39" s="417" t="s">
        <v>2955</v>
      </c>
      <c r="J39" s="1304">
        <v>652030000</v>
      </c>
      <c r="K39" s="1355"/>
      <c r="O39" s="778" t="s">
        <v>2691</v>
      </c>
      <c r="Q39" s="1301"/>
      <c r="R39" s="1306"/>
      <c r="S39" s="1302"/>
    </row>
    <row r="40" spans="3:19" s="386" customFormat="1" ht="12.6" customHeight="1">
      <c r="D40" s="431"/>
      <c r="E40" s="392" t="s">
        <v>2697</v>
      </c>
      <c r="H40" s="1301">
        <v>5734432021</v>
      </c>
      <c r="I40" s="1302"/>
      <c r="J40" s="1386"/>
      <c r="K40" s="792" t="s">
        <v>2498</v>
      </c>
      <c r="L40" s="1340">
        <v>5738747116</v>
      </c>
      <c r="M40" s="1355"/>
      <c r="N40" s="394" t="s">
        <v>2696</v>
      </c>
      <c r="O40" s="1308" t="s">
        <v>4078</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2833</v>
      </c>
      <c r="E42" s="386" t="s">
        <v>1056</v>
      </c>
      <c r="F42" s="389"/>
      <c r="H42" s="1293" t="s">
        <v>4074</v>
      </c>
      <c r="I42" s="1354"/>
      <c r="J42" s="1354"/>
      <c r="K42" s="1354"/>
      <c r="L42" s="1354"/>
      <c r="M42" s="1354"/>
      <c r="N42" s="1355"/>
      <c r="O42" s="778" t="s">
        <v>2702</v>
      </c>
      <c r="P42" s="778"/>
      <c r="Q42" s="1293" t="s">
        <v>4076</v>
      </c>
      <c r="R42" s="1354"/>
      <c r="S42" s="1355"/>
    </row>
    <row r="43" spans="3:19" s="386" customFormat="1" ht="12.6" customHeight="1">
      <c r="D43" s="431"/>
      <c r="E43" s="392" t="s">
        <v>1424</v>
      </c>
      <c r="F43" s="400"/>
      <c r="H43" s="1293" t="s">
        <v>4075</v>
      </c>
      <c r="I43" s="1354"/>
      <c r="J43" s="1354"/>
      <c r="K43" s="1354"/>
      <c r="L43" s="1354"/>
      <c r="M43" s="1354"/>
      <c r="N43" s="1355"/>
      <c r="O43" s="778" t="s">
        <v>2441</v>
      </c>
      <c r="Q43" s="1293" t="s">
        <v>4077</v>
      </c>
      <c r="R43" s="1354"/>
      <c r="S43" s="1355"/>
    </row>
    <row r="44" spans="3:19" s="386" customFormat="1" ht="12.6" customHeight="1">
      <c r="D44" s="431"/>
      <c r="E44" s="392" t="s">
        <v>798</v>
      </c>
      <c r="H44" s="1293" t="s">
        <v>3318</v>
      </c>
      <c r="I44" s="1354"/>
      <c r="J44" s="1355"/>
      <c r="O44" s="778" t="s">
        <v>2499</v>
      </c>
      <c r="Q44" s="1301"/>
      <c r="R44" s="1306"/>
      <c r="S44" s="1302"/>
    </row>
    <row r="45" spans="3:19" s="386" customFormat="1" ht="12.6" customHeight="1">
      <c r="D45" s="389"/>
      <c r="E45" s="392" t="s">
        <v>2495</v>
      </c>
      <c r="H45" s="1307" t="s">
        <v>1776</v>
      </c>
      <c r="I45" s="417" t="s">
        <v>2955</v>
      </c>
      <c r="J45" s="1304">
        <v>652030000</v>
      </c>
      <c r="K45" s="1355"/>
      <c r="O45" s="778" t="s">
        <v>2691</v>
      </c>
      <c r="Q45" s="1301"/>
      <c r="R45" s="1306"/>
      <c r="S45" s="1302"/>
    </row>
    <row r="46" spans="3:19" s="386" customFormat="1" ht="12.6" customHeight="1">
      <c r="D46" s="431"/>
      <c r="E46" s="392" t="s">
        <v>2697</v>
      </c>
      <c r="H46" s="1301">
        <v>5734432021</v>
      </c>
      <c r="I46" s="1302"/>
      <c r="J46" s="1386"/>
      <c r="K46" s="792" t="s">
        <v>2498</v>
      </c>
      <c r="L46" s="1340">
        <v>5738747116</v>
      </c>
      <c r="M46" s="1355"/>
      <c r="N46" s="394" t="s">
        <v>2696</v>
      </c>
      <c r="O46" s="1308" t="s">
        <v>4078</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3324</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2702</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2499</v>
      </c>
      <c r="Q52" s="1301"/>
      <c r="R52" s="1306"/>
      <c r="S52" s="1302"/>
    </row>
    <row r="53" spans="1:19" s="386" customFormat="1" ht="12.6" customHeight="1">
      <c r="E53" s="392" t="s">
        <v>2495</v>
      </c>
      <c r="H53" s="1307"/>
      <c r="I53" s="417" t="s">
        <v>2955</v>
      </c>
      <c r="J53" s="1304"/>
      <c r="K53" s="1355"/>
      <c r="O53" s="778" t="s">
        <v>2691</v>
      </c>
      <c r="Q53" s="1301"/>
      <c r="R53" s="1306"/>
      <c r="S53" s="1302"/>
    </row>
    <row r="54" spans="1:19" s="386" customFormat="1" ht="12.6" customHeight="1">
      <c r="D54" s="431"/>
      <c r="E54" s="392" t="s">
        <v>2697</v>
      </c>
      <c r="H54" s="1301"/>
      <c r="I54" s="1302"/>
      <c r="J54" s="1386"/>
      <c r="K54" s="792" t="s">
        <v>2498</v>
      </c>
      <c r="L54" s="1340"/>
      <c r="M54" s="1355"/>
      <c r="N54" s="394" t="s">
        <v>2696</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2695</v>
      </c>
      <c r="C58" s="389" t="s">
        <v>312</v>
      </c>
      <c r="H58" s="1293" t="s">
        <v>4079</v>
      </c>
      <c r="I58" s="1354"/>
      <c r="J58" s="1354"/>
      <c r="K58" s="1354"/>
      <c r="L58" s="1354"/>
      <c r="M58" s="1354"/>
      <c r="N58" s="1355"/>
      <c r="O58" s="778" t="s">
        <v>2702</v>
      </c>
      <c r="P58" s="778"/>
      <c r="Q58" s="1293" t="s">
        <v>4071</v>
      </c>
      <c r="R58" s="1354"/>
      <c r="S58" s="1355"/>
    </row>
    <row r="59" spans="1:19" s="386" customFormat="1" ht="13.15" customHeight="1">
      <c r="D59" s="431"/>
      <c r="E59" s="392" t="s">
        <v>1424</v>
      </c>
      <c r="F59" s="400"/>
      <c r="H59" s="1293" t="s">
        <v>4069</v>
      </c>
      <c r="I59" s="1354"/>
      <c r="J59" s="1354"/>
      <c r="K59" s="1354"/>
      <c r="L59" s="1354"/>
      <c r="M59" s="1354"/>
      <c r="N59" s="1355"/>
      <c r="O59" s="778" t="s">
        <v>2441</v>
      </c>
      <c r="Q59" s="1293" t="s">
        <v>4072</v>
      </c>
      <c r="R59" s="1354"/>
      <c r="S59" s="1355"/>
    </row>
    <row r="60" spans="1:19" s="386" customFormat="1" ht="13.15" customHeight="1">
      <c r="D60" s="431"/>
      <c r="E60" s="392" t="s">
        <v>798</v>
      </c>
      <c r="H60" s="1293" t="s">
        <v>4070</v>
      </c>
      <c r="I60" s="1354"/>
      <c r="J60" s="1355"/>
      <c r="O60" s="778" t="s">
        <v>2499</v>
      </c>
      <c r="Q60" s="1301"/>
      <c r="R60" s="1306"/>
      <c r="S60" s="1302"/>
    </row>
    <row r="61" spans="1:19" s="386" customFormat="1" ht="13.15" customHeight="1">
      <c r="E61" s="392" t="s">
        <v>2495</v>
      </c>
      <c r="H61" s="1307" t="s">
        <v>1776</v>
      </c>
      <c r="I61" s="417" t="s">
        <v>2955</v>
      </c>
      <c r="J61" s="1304">
        <v>638370000</v>
      </c>
      <c r="K61" s="1355"/>
      <c r="O61" s="778" t="s">
        <v>2691</v>
      </c>
      <c r="Q61" s="1301"/>
      <c r="R61" s="1306"/>
      <c r="S61" s="1302"/>
    </row>
    <row r="62" spans="1:19" s="386" customFormat="1" ht="13.15" customHeight="1">
      <c r="D62" s="431"/>
      <c r="E62" s="392" t="s">
        <v>2697</v>
      </c>
      <c r="H62" s="1301">
        <v>5734483000</v>
      </c>
      <c r="I62" s="1302"/>
      <c r="J62" s="1386"/>
      <c r="K62" s="792" t="s">
        <v>2498</v>
      </c>
      <c r="L62" s="1340">
        <v>5734483551</v>
      </c>
      <c r="M62" s="1355"/>
      <c r="N62" s="394" t="s">
        <v>2696</v>
      </c>
      <c r="O62" s="1308" t="s">
        <v>4073</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2698</v>
      </c>
      <c r="C64" s="389" t="s">
        <v>313</v>
      </c>
      <c r="H64" s="1293"/>
      <c r="I64" s="1354"/>
      <c r="J64" s="1354"/>
      <c r="K64" s="1354"/>
      <c r="L64" s="1354"/>
      <c r="M64" s="1354"/>
      <c r="N64" s="1355"/>
      <c r="O64" s="778" t="s">
        <v>2702</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2499</v>
      </c>
      <c r="Q66" s="1301"/>
      <c r="R66" s="1306"/>
      <c r="S66" s="1302"/>
    </row>
    <row r="67" spans="2:19" s="386" customFormat="1" ht="13.15" customHeight="1">
      <c r="E67" s="392" t="s">
        <v>2495</v>
      </c>
      <c r="H67" s="1307"/>
      <c r="I67" s="417" t="s">
        <v>2955</v>
      </c>
      <c r="J67" s="1304"/>
      <c r="K67" s="1355"/>
      <c r="O67" s="778" t="s">
        <v>2691</v>
      </c>
      <c r="Q67" s="1301"/>
      <c r="R67" s="1306"/>
      <c r="S67" s="1302"/>
    </row>
    <row r="68" spans="2:19" s="386" customFormat="1" ht="13.15" customHeight="1">
      <c r="D68" s="431"/>
      <c r="E68" s="392" t="s">
        <v>2697</v>
      </c>
      <c r="H68" s="1301"/>
      <c r="I68" s="1302"/>
      <c r="J68" s="1386"/>
      <c r="K68" s="792" t="s">
        <v>2498</v>
      </c>
      <c r="L68" s="1340"/>
      <c r="M68" s="1355"/>
      <c r="N68" s="394" t="s">
        <v>2696</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2702</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2499</v>
      </c>
      <c r="Q72" s="1301"/>
      <c r="R72" s="1306"/>
      <c r="S72" s="1302"/>
    </row>
    <row r="73" spans="2:19" s="386" customFormat="1" ht="13.15" customHeight="1">
      <c r="E73" s="392" t="s">
        <v>2495</v>
      </c>
      <c r="H73" s="1307"/>
      <c r="I73" s="417" t="s">
        <v>2955</v>
      </c>
      <c r="J73" s="1304"/>
      <c r="K73" s="1355"/>
      <c r="O73" s="778" t="s">
        <v>2691</v>
      </c>
      <c r="Q73" s="1301"/>
      <c r="R73" s="1306"/>
      <c r="S73" s="1302"/>
    </row>
    <row r="74" spans="2:19" s="386" customFormat="1" ht="13.15" customHeight="1">
      <c r="D74" s="431"/>
      <c r="E74" s="392" t="s">
        <v>2697</v>
      </c>
      <c r="H74" s="1301"/>
      <c r="I74" s="1302"/>
      <c r="J74" s="1386"/>
      <c r="K74" s="792" t="s">
        <v>2498</v>
      </c>
      <c r="L74" s="1340"/>
      <c r="M74" s="1355"/>
      <c r="N74" s="394" t="s">
        <v>2696</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2831</v>
      </c>
      <c r="C76" s="389" t="s">
        <v>314</v>
      </c>
      <c r="H76" s="1293"/>
      <c r="I76" s="1354"/>
      <c r="J76" s="1354"/>
      <c r="K76" s="1354"/>
      <c r="L76" s="1354"/>
      <c r="M76" s="1354"/>
      <c r="N76" s="1355"/>
      <c r="O76" s="778" t="s">
        <v>2702</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2499</v>
      </c>
      <c r="Q78" s="1301"/>
      <c r="R78" s="1306"/>
      <c r="S78" s="1302"/>
    </row>
    <row r="79" spans="2:19" s="386" customFormat="1" ht="13.15" customHeight="1">
      <c r="E79" s="392" t="s">
        <v>2495</v>
      </c>
      <c r="H79" s="1307"/>
      <c r="I79" s="417" t="s">
        <v>2955</v>
      </c>
      <c r="J79" s="1304"/>
      <c r="K79" s="1355"/>
      <c r="O79" s="778" t="s">
        <v>2691</v>
      </c>
      <c r="Q79" s="1301"/>
      <c r="R79" s="1306"/>
      <c r="S79" s="1302"/>
    </row>
    <row r="80" spans="2:19" s="386" customFormat="1" ht="13.15" customHeight="1">
      <c r="D80" s="431"/>
      <c r="E80" s="392" t="s">
        <v>2697</v>
      </c>
      <c r="H80" s="1301"/>
      <c r="I80" s="1302"/>
      <c r="J80" s="1386"/>
      <c r="K80" s="792" t="s">
        <v>2498</v>
      </c>
      <c r="L80" s="1340"/>
      <c r="M80" s="1355"/>
      <c r="N80" s="394" t="s">
        <v>2696</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2695</v>
      </c>
      <c r="C84" s="389" t="s">
        <v>316</v>
      </c>
      <c r="H84" s="1293"/>
      <c r="I84" s="1354"/>
      <c r="J84" s="1354"/>
      <c r="K84" s="1354"/>
      <c r="L84" s="1354"/>
      <c r="M84" s="1354"/>
      <c r="N84" s="1355"/>
      <c r="O84" s="778" t="s">
        <v>2702</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2499</v>
      </c>
      <c r="Q86" s="1301"/>
      <c r="R86" s="1306"/>
      <c r="S86" s="1302"/>
    </row>
    <row r="87" spans="1:19" s="386" customFormat="1" ht="13.15" customHeight="1">
      <c r="E87" s="392" t="s">
        <v>2495</v>
      </c>
      <c r="H87" s="1307"/>
      <c r="I87" s="417" t="s">
        <v>2955</v>
      </c>
      <c r="J87" s="1304"/>
      <c r="K87" s="1355"/>
      <c r="O87" s="778" t="s">
        <v>2691</v>
      </c>
      <c r="Q87" s="1301"/>
      <c r="R87" s="1306"/>
      <c r="S87" s="1302"/>
    </row>
    <row r="88" spans="1:19" s="386" customFormat="1" ht="13.15" customHeight="1">
      <c r="D88" s="431"/>
      <c r="E88" s="392" t="s">
        <v>2697</v>
      </c>
      <c r="H88" s="1301"/>
      <c r="I88" s="1302"/>
      <c r="J88" s="1386"/>
      <c r="K88" s="792" t="s">
        <v>2498</v>
      </c>
      <c r="L88" s="1340"/>
      <c r="M88" s="1355"/>
      <c r="N88" s="394" t="s">
        <v>2696</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2698</v>
      </c>
      <c r="C90" s="389" t="s">
        <v>317</v>
      </c>
      <c r="H90" s="1293" t="s">
        <v>4080</v>
      </c>
      <c r="I90" s="1354"/>
      <c r="J90" s="1354"/>
      <c r="K90" s="1354"/>
      <c r="L90" s="1354"/>
      <c r="M90" s="1354"/>
      <c r="N90" s="1355"/>
      <c r="O90" s="778" t="s">
        <v>2702</v>
      </c>
      <c r="P90" s="778"/>
      <c r="Q90" s="1293" t="s">
        <v>4076</v>
      </c>
      <c r="R90" s="1354"/>
      <c r="S90" s="1355"/>
    </row>
    <row r="91" spans="1:19" s="386" customFormat="1" ht="13.15" customHeight="1">
      <c r="D91" s="431"/>
      <c r="E91" s="392" t="s">
        <v>1424</v>
      </c>
      <c r="F91" s="400"/>
      <c r="H91" s="1293" t="s">
        <v>4075</v>
      </c>
      <c r="I91" s="1354"/>
      <c r="J91" s="1354"/>
      <c r="K91" s="1354"/>
      <c r="L91" s="1354"/>
      <c r="M91" s="1354"/>
      <c r="N91" s="1355"/>
      <c r="O91" s="778" t="s">
        <v>2441</v>
      </c>
      <c r="Q91" s="1293" t="s">
        <v>4077</v>
      </c>
      <c r="R91" s="1354"/>
      <c r="S91" s="1355"/>
    </row>
    <row r="92" spans="1:19" s="386" customFormat="1" ht="13.15" customHeight="1">
      <c r="D92" s="431"/>
      <c r="E92" s="392" t="s">
        <v>798</v>
      </c>
      <c r="H92" s="1293" t="s">
        <v>3318</v>
      </c>
      <c r="I92" s="1354"/>
      <c r="J92" s="1355"/>
      <c r="O92" s="778" t="s">
        <v>2499</v>
      </c>
      <c r="Q92" s="1301"/>
      <c r="R92" s="1306"/>
      <c r="S92" s="1302"/>
    </row>
    <row r="93" spans="1:19" s="386" customFormat="1" ht="13.15" customHeight="1">
      <c r="E93" s="392" t="s">
        <v>2495</v>
      </c>
      <c r="H93" s="1307" t="s">
        <v>1776</v>
      </c>
      <c r="I93" s="417" t="s">
        <v>2955</v>
      </c>
      <c r="J93" s="1304">
        <v>652030000</v>
      </c>
      <c r="K93" s="1355"/>
      <c r="O93" s="778" t="s">
        <v>2691</v>
      </c>
      <c r="Q93" s="1301"/>
      <c r="R93" s="1306"/>
      <c r="S93" s="1302"/>
    </row>
    <row r="94" spans="1:19" s="386" customFormat="1" ht="13.15" customHeight="1">
      <c r="D94" s="431"/>
      <c r="E94" s="392" t="s">
        <v>2697</v>
      </c>
      <c r="H94" s="1301">
        <v>5734432021</v>
      </c>
      <c r="I94" s="1302"/>
      <c r="J94" s="1386"/>
      <c r="K94" s="792" t="s">
        <v>2498</v>
      </c>
      <c r="L94" s="1340">
        <v>5732563215</v>
      </c>
      <c r="M94" s="1355"/>
      <c r="N94" s="394" t="s">
        <v>2696</v>
      </c>
      <c r="O94" s="1308" t="s">
        <v>4122</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4081</v>
      </c>
      <c r="I96" s="1354"/>
      <c r="J96" s="1354"/>
      <c r="K96" s="1354"/>
      <c r="L96" s="1354"/>
      <c r="M96" s="1354"/>
      <c r="N96" s="1355"/>
      <c r="O96" s="778" t="s">
        <v>2702</v>
      </c>
      <c r="P96" s="778"/>
      <c r="Q96" s="1293" t="s">
        <v>4076</v>
      </c>
      <c r="R96" s="1354"/>
      <c r="S96" s="1355"/>
    </row>
    <row r="97" spans="2:19" s="386" customFormat="1" ht="13.15" customHeight="1">
      <c r="D97" s="431"/>
      <c r="E97" s="392" t="s">
        <v>1424</v>
      </c>
      <c r="F97" s="400"/>
      <c r="H97" s="1293" t="s">
        <v>4082</v>
      </c>
      <c r="I97" s="1354"/>
      <c r="J97" s="1354"/>
      <c r="K97" s="1354"/>
      <c r="L97" s="1354"/>
      <c r="M97" s="1354"/>
      <c r="N97" s="1355"/>
      <c r="O97" s="778" t="s">
        <v>2441</v>
      </c>
      <c r="Q97" s="1293" t="s">
        <v>4077</v>
      </c>
      <c r="R97" s="1354"/>
      <c r="S97" s="1355"/>
    </row>
    <row r="98" spans="2:19" s="386" customFormat="1" ht="13.15" customHeight="1">
      <c r="D98" s="431"/>
      <c r="E98" s="392" t="s">
        <v>798</v>
      </c>
      <c r="H98" s="1293" t="s">
        <v>1626</v>
      </c>
      <c r="I98" s="1354"/>
      <c r="J98" s="1355"/>
      <c r="O98" s="778" t="s">
        <v>2499</v>
      </c>
      <c r="Q98" s="1301"/>
      <c r="R98" s="1306"/>
      <c r="S98" s="1302"/>
    </row>
    <row r="99" spans="2:19" s="386" customFormat="1" ht="13.15" customHeight="1">
      <c r="D99" s="431"/>
      <c r="E99" s="392" t="s">
        <v>2495</v>
      </c>
      <c r="H99" s="1307" t="s">
        <v>1242</v>
      </c>
      <c r="I99" s="417" t="s">
        <v>2955</v>
      </c>
      <c r="J99" s="1304">
        <v>303270000</v>
      </c>
      <c r="K99" s="1355"/>
      <c r="O99" s="778" t="s">
        <v>2691</v>
      </c>
      <c r="Q99" s="1301"/>
      <c r="R99" s="1306"/>
      <c r="S99" s="1302"/>
    </row>
    <row r="100" spans="2:19" s="386" customFormat="1" ht="13.15" customHeight="1">
      <c r="D100" s="431"/>
      <c r="E100" s="392" t="s">
        <v>2697</v>
      </c>
      <c r="H100" s="1301">
        <v>5734432021</v>
      </c>
      <c r="I100" s="1302"/>
      <c r="J100" s="1386"/>
      <c r="K100" s="792" t="s">
        <v>2498</v>
      </c>
      <c r="L100" s="1340">
        <v>5734483551</v>
      </c>
      <c r="M100" s="1355"/>
      <c r="N100" s="394" t="s">
        <v>2696</v>
      </c>
      <c r="O100" s="1308" t="s">
        <v>4096</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2831</v>
      </c>
      <c r="C102" s="389" t="s">
        <v>319</v>
      </c>
      <c r="H102" s="1293" t="s">
        <v>4083</v>
      </c>
      <c r="I102" s="1354"/>
      <c r="J102" s="1354"/>
      <c r="K102" s="1354"/>
      <c r="L102" s="1354"/>
      <c r="M102" s="1354"/>
      <c r="N102" s="1355"/>
      <c r="O102" s="778" t="s">
        <v>2702</v>
      </c>
      <c r="P102" s="778"/>
      <c r="Q102" s="1293" t="s">
        <v>4097</v>
      </c>
      <c r="R102" s="1354"/>
      <c r="S102" s="1355"/>
    </row>
    <row r="103" spans="2:19" s="386" customFormat="1" ht="13.15" customHeight="1">
      <c r="D103" s="431"/>
      <c r="E103" s="392" t="s">
        <v>1424</v>
      </c>
      <c r="F103" s="400"/>
      <c r="H103" s="1293" t="s">
        <v>4084</v>
      </c>
      <c r="I103" s="1354"/>
      <c r="J103" s="1354"/>
      <c r="K103" s="1354"/>
      <c r="L103" s="1354"/>
      <c r="M103" s="1354"/>
      <c r="N103" s="1355"/>
      <c r="O103" s="778" t="s">
        <v>2441</v>
      </c>
      <c r="Q103" s="1293" t="s">
        <v>4098</v>
      </c>
      <c r="R103" s="1354"/>
      <c r="S103" s="1355"/>
    </row>
    <row r="104" spans="2:19" s="386" customFormat="1" ht="13.15" customHeight="1">
      <c r="D104" s="431"/>
      <c r="E104" s="392" t="s">
        <v>798</v>
      </c>
      <c r="H104" s="1293" t="s">
        <v>3318</v>
      </c>
      <c r="I104" s="1354"/>
      <c r="J104" s="1355"/>
      <c r="O104" s="778" t="s">
        <v>2499</v>
      </c>
      <c r="Q104" s="1301"/>
      <c r="R104" s="1306"/>
      <c r="S104" s="1302"/>
    </row>
    <row r="105" spans="2:19" s="386" customFormat="1" ht="13.15" customHeight="1">
      <c r="D105" s="431"/>
      <c r="E105" s="392" t="s">
        <v>2495</v>
      </c>
      <c r="H105" s="1307" t="s">
        <v>1776</v>
      </c>
      <c r="I105" s="417" t="s">
        <v>2955</v>
      </c>
      <c r="J105" s="1304">
        <v>652030000</v>
      </c>
      <c r="K105" s="1355"/>
      <c r="O105" s="778" t="s">
        <v>2691</v>
      </c>
      <c r="Q105" s="1301"/>
      <c r="R105" s="1306"/>
      <c r="S105" s="1302"/>
    </row>
    <row r="106" spans="2:19" ht="13.15" customHeight="1">
      <c r="E106" s="392" t="s">
        <v>2697</v>
      </c>
      <c r="F106" s="386"/>
      <c r="G106" s="386"/>
      <c r="H106" s="1301">
        <v>5738747777</v>
      </c>
      <c r="I106" s="1302"/>
      <c r="J106" s="1386"/>
      <c r="K106" s="792" t="s">
        <v>2498</v>
      </c>
      <c r="L106" s="1340">
        <v>5738750017</v>
      </c>
      <c r="M106" s="1355"/>
      <c r="N106" s="394" t="s">
        <v>2696</v>
      </c>
      <c r="O106" s="1308" t="s">
        <v>4099</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4085</v>
      </c>
      <c r="I109" s="1354"/>
      <c r="J109" s="1354"/>
      <c r="K109" s="1354"/>
      <c r="L109" s="1354"/>
      <c r="M109" s="1354"/>
      <c r="N109" s="1355"/>
      <c r="O109" s="778" t="s">
        <v>2702</v>
      </c>
      <c r="P109" s="778"/>
      <c r="Q109" s="1293"/>
      <c r="R109" s="1354"/>
      <c r="S109" s="1355"/>
    </row>
    <row r="110" spans="2:19" s="386" customFormat="1" ht="13.15" customHeight="1">
      <c r="D110" s="431"/>
      <c r="E110" s="392" t="s">
        <v>1424</v>
      </c>
      <c r="F110" s="400"/>
      <c r="H110" s="1293" t="s">
        <v>4086</v>
      </c>
      <c r="I110" s="1354"/>
      <c r="J110" s="1354"/>
      <c r="K110" s="1354"/>
      <c r="L110" s="1354"/>
      <c r="M110" s="1354"/>
      <c r="N110" s="1355"/>
      <c r="O110" s="778" t="s">
        <v>2441</v>
      </c>
      <c r="Q110" s="1293"/>
      <c r="R110" s="1354"/>
      <c r="S110" s="1355"/>
    </row>
    <row r="111" spans="2:19" s="386" customFormat="1" ht="13.15" customHeight="1">
      <c r="D111" s="431"/>
      <c r="E111" s="392" t="s">
        <v>798</v>
      </c>
      <c r="H111" s="1293" t="s">
        <v>3305</v>
      </c>
      <c r="I111" s="1354"/>
      <c r="J111" s="1355"/>
      <c r="O111" s="778" t="s">
        <v>2499</v>
      </c>
      <c r="Q111" s="1301"/>
      <c r="R111" s="1306"/>
      <c r="S111" s="1302"/>
    </row>
    <row r="112" spans="2:19" s="386" customFormat="1" ht="13.15" customHeight="1">
      <c r="D112" s="431"/>
      <c r="E112" s="392" t="s">
        <v>2495</v>
      </c>
      <c r="H112" s="1307" t="s">
        <v>1776</v>
      </c>
      <c r="I112" s="417" t="s">
        <v>2955</v>
      </c>
      <c r="J112" s="1304">
        <v>658010000</v>
      </c>
      <c r="K112" s="1355"/>
      <c r="O112" s="778" t="s">
        <v>2691</v>
      </c>
      <c r="Q112" s="1301"/>
      <c r="R112" s="1306"/>
      <c r="S112" s="1302"/>
    </row>
    <row r="113" spans="1:19" ht="13.15" customHeight="1">
      <c r="E113" s="392" t="s">
        <v>2697</v>
      </c>
      <c r="F113" s="386"/>
      <c r="G113" s="386"/>
      <c r="H113" s="1301">
        <v>4178658701</v>
      </c>
      <c r="I113" s="1302"/>
      <c r="J113" s="1386"/>
      <c r="K113" s="792" t="s">
        <v>2498</v>
      </c>
      <c r="L113" s="1340"/>
      <c r="M113" s="1355"/>
      <c r="N113" s="394" t="s">
        <v>2696</v>
      </c>
      <c r="O113" s="1308"/>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4100</v>
      </c>
      <c r="I115" s="1354"/>
      <c r="J115" s="1354"/>
      <c r="K115" s="1354"/>
      <c r="L115" s="1354"/>
      <c r="M115" s="1354"/>
      <c r="N115" s="1355"/>
      <c r="O115" s="778" t="s">
        <v>2702</v>
      </c>
      <c r="P115" s="778"/>
      <c r="Q115" s="1293" t="s">
        <v>4102</v>
      </c>
      <c r="R115" s="1354"/>
      <c r="S115" s="1355"/>
    </row>
    <row r="116" spans="1:19" s="386" customFormat="1" ht="13.15" customHeight="1">
      <c r="D116" s="431"/>
      <c r="E116" s="392" t="s">
        <v>1424</v>
      </c>
      <c r="F116" s="400"/>
      <c r="H116" s="1293" t="s">
        <v>4101</v>
      </c>
      <c r="I116" s="1354"/>
      <c r="J116" s="1354"/>
      <c r="K116" s="1354"/>
      <c r="L116" s="1354"/>
      <c r="M116" s="1354"/>
      <c r="N116" s="1355"/>
      <c r="O116" s="778" t="s">
        <v>2441</v>
      </c>
      <c r="Q116" s="1293" t="s">
        <v>4103</v>
      </c>
      <c r="R116" s="1354"/>
      <c r="S116" s="1355"/>
    </row>
    <row r="117" spans="1:19" s="386" customFormat="1" ht="13.15" customHeight="1">
      <c r="D117" s="431"/>
      <c r="E117" s="392" t="s">
        <v>798</v>
      </c>
      <c r="H117" s="1293" t="s">
        <v>214</v>
      </c>
      <c r="I117" s="1354"/>
      <c r="J117" s="1355"/>
      <c r="O117" s="778" t="s">
        <v>2499</v>
      </c>
      <c r="Q117" s="1301"/>
      <c r="R117" s="1306"/>
      <c r="S117" s="1302"/>
    </row>
    <row r="118" spans="1:19" s="386" customFormat="1" ht="13.15" customHeight="1">
      <c r="D118" s="436"/>
      <c r="E118" s="392" t="s">
        <v>2495</v>
      </c>
      <c r="H118" s="1307" t="s">
        <v>1242</v>
      </c>
      <c r="I118" s="417" t="s">
        <v>2955</v>
      </c>
      <c r="J118" s="1304">
        <v>300300000</v>
      </c>
      <c r="K118" s="1355"/>
      <c r="O118" s="778" t="s">
        <v>2691</v>
      </c>
      <c r="Q118" s="1301"/>
      <c r="R118" s="1306"/>
      <c r="S118" s="1302"/>
    </row>
    <row r="119" spans="1:19" s="386" customFormat="1" ht="13.15" customHeight="1">
      <c r="D119" s="436"/>
      <c r="E119" s="392" t="s">
        <v>2697</v>
      </c>
      <c r="H119" s="1301">
        <v>4043732800</v>
      </c>
      <c r="I119" s="1302"/>
      <c r="J119" s="1386"/>
      <c r="K119" s="792" t="s">
        <v>2498</v>
      </c>
      <c r="L119" s="1340">
        <v>4043732888</v>
      </c>
      <c r="M119" s="1355"/>
      <c r="N119" s="394" t="s">
        <v>2696</v>
      </c>
      <c r="O119" s="1308" t="s">
        <v>4104</v>
      </c>
      <c r="P119" s="1309"/>
      <c r="Q119" s="1309"/>
      <c r="R119" s="1309"/>
      <c r="S119" s="1310"/>
    </row>
    <row r="120" spans="1:19" ht="13.15" customHeight="1"/>
    <row r="121" spans="1:19" s="386" customFormat="1" ht="13.15" customHeight="1">
      <c r="A121" s="389" t="s">
        <v>2488</v>
      </c>
      <c r="B121" s="389" t="s">
        <v>3402</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3953</v>
      </c>
      <c r="F123" s="853" t="s">
        <v>3099</v>
      </c>
      <c r="G123" s="846" t="s">
        <v>3100</v>
      </c>
      <c r="H123" s="857"/>
      <c r="I123" s="858"/>
      <c r="J123" s="846" t="s">
        <v>3101</v>
      </c>
      <c r="K123" s="864"/>
      <c r="L123" s="846" t="s">
        <v>3102</v>
      </c>
      <c r="M123" s="869"/>
      <c r="N123" s="846" t="s">
        <v>3103</v>
      </c>
      <c r="O123" s="858"/>
      <c r="P123" s="846" t="s">
        <v>3104</v>
      </c>
      <c r="Q123" s="858"/>
      <c r="R123" s="846" t="s">
        <v>3105</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3098</v>
      </c>
      <c r="B128" s="788"/>
      <c r="C128" s="788"/>
      <c r="D128" s="789"/>
      <c r="E128" s="1403" t="s">
        <v>4087</v>
      </c>
      <c r="F128" s="1403" t="s">
        <v>4087</v>
      </c>
      <c r="G128" s="1404" t="s">
        <v>4087</v>
      </c>
      <c r="H128" s="1405"/>
      <c r="I128" s="1406"/>
      <c r="J128" s="1404" t="s">
        <v>4088</v>
      </c>
      <c r="K128" s="1406"/>
      <c r="L128" s="1404" t="s">
        <v>4087</v>
      </c>
      <c r="M128" s="1406"/>
      <c r="N128" s="1404" t="s">
        <v>4087</v>
      </c>
      <c r="O128" s="1406"/>
      <c r="P128" s="1407" t="s">
        <v>4089</v>
      </c>
      <c r="Q128" s="1408"/>
      <c r="R128" s="1409">
        <v>1E-4</v>
      </c>
      <c r="S128" s="1410"/>
    </row>
    <row r="129" spans="1:19" s="386" customFormat="1" ht="15" customHeight="1">
      <c r="A129" s="785" t="s">
        <v>3088</v>
      </c>
      <c r="B129" s="786"/>
      <c r="C129" s="786"/>
      <c r="D129" s="790"/>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3089</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3090</v>
      </c>
      <c r="B131" s="786"/>
      <c r="C131" s="786"/>
      <c r="D131" s="790"/>
      <c r="E131" s="1411" t="s">
        <v>4087</v>
      </c>
      <c r="F131" s="1411" t="s">
        <v>4087</v>
      </c>
      <c r="G131" s="1412" t="s">
        <v>4087</v>
      </c>
      <c r="H131" s="1413"/>
      <c r="I131" s="1414"/>
      <c r="J131" s="1412" t="s">
        <v>4088</v>
      </c>
      <c r="K131" s="1414"/>
      <c r="L131" s="1412" t="s">
        <v>4087</v>
      </c>
      <c r="M131" s="1414"/>
      <c r="N131" s="1412" t="s">
        <v>4087</v>
      </c>
      <c r="O131" s="1414"/>
      <c r="P131" s="1415" t="s">
        <v>4089</v>
      </c>
      <c r="Q131" s="1416"/>
      <c r="R131" s="1417">
        <v>0.9899</v>
      </c>
      <c r="S131" s="1418"/>
    </row>
    <row r="132" spans="1:19" s="386" customFormat="1" ht="15" customHeight="1">
      <c r="A132" s="785" t="s">
        <v>3091</v>
      </c>
      <c r="B132" s="786"/>
      <c r="C132" s="786"/>
      <c r="D132" s="790"/>
      <c r="E132" s="1411" t="s">
        <v>4087</v>
      </c>
      <c r="F132" s="1411" t="s">
        <v>4087</v>
      </c>
      <c r="G132" s="1412" t="s">
        <v>4087</v>
      </c>
      <c r="H132" s="1413"/>
      <c r="I132" s="1414"/>
      <c r="J132" s="1412" t="s">
        <v>4088</v>
      </c>
      <c r="K132" s="1414"/>
      <c r="L132" s="1412" t="s">
        <v>4087</v>
      </c>
      <c r="M132" s="1414"/>
      <c r="N132" s="1412" t="s">
        <v>4087</v>
      </c>
      <c r="O132" s="1414"/>
      <c r="P132" s="1415" t="s">
        <v>4089</v>
      </c>
      <c r="Q132" s="1416"/>
      <c r="R132" s="1417">
        <v>0.01</v>
      </c>
      <c r="S132" s="1418"/>
    </row>
    <row r="133" spans="1:19" s="386" customFormat="1" ht="15" customHeight="1">
      <c r="A133" s="785" t="s">
        <v>3092</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4087</v>
      </c>
      <c r="F134" s="1411" t="s">
        <v>4087</v>
      </c>
      <c r="G134" s="1412" t="s">
        <v>4087</v>
      </c>
      <c r="H134" s="1413"/>
      <c r="I134" s="1414"/>
      <c r="J134" s="1412" t="s">
        <v>4088</v>
      </c>
      <c r="K134" s="1414"/>
      <c r="L134" s="1412" t="s">
        <v>4087</v>
      </c>
      <c r="M134" s="1414"/>
      <c r="N134" s="1412" t="s">
        <v>4087</v>
      </c>
      <c r="O134" s="1414"/>
      <c r="P134" s="1415" t="s">
        <v>4089</v>
      </c>
      <c r="Q134" s="1416"/>
      <c r="R134" s="1417"/>
      <c r="S134" s="1418"/>
    </row>
    <row r="135" spans="1:19" s="386" customFormat="1" ht="15" customHeight="1">
      <c r="A135" s="785" t="s">
        <v>3093</v>
      </c>
      <c r="B135" s="786"/>
      <c r="C135" s="786"/>
      <c r="D135" s="790"/>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3094</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3095</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3096</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4087</v>
      </c>
      <c r="F139" s="1411" t="s">
        <v>4087</v>
      </c>
      <c r="G139" s="1412" t="s">
        <v>4087</v>
      </c>
      <c r="H139" s="1413"/>
      <c r="I139" s="1414"/>
      <c r="J139" s="1412" t="s">
        <v>4088</v>
      </c>
      <c r="K139" s="1414"/>
      <c r="L139" s="1412" t="s">
        <v>4087</v>
      </c>
      <c r="M139" s="1414"/>
      <c r="N139" s="1412" t="s">
        <v>4087</v>
      </c>
      <c r="O139" s="1414"/>
      <c r="P139" s="1415" t="s">
        <v>4089</v>
      </c>
      <c r="Q139" s="1416"/>
      <c r="R139" s="1417"/>
      <c r="S139" s="1418"/>
    </row>
    <row r="140" spans="1:19" s="386" customFormat="1" ht="15" customHeight="1">
      <c r="A140" s="794" t="s">
        <v>3097</v>
      </c>
      <c r="B140" s="795"/>
      <c r="C140" s="795"/>
      <c r="D140" s="437"/>
      <c r="E140" s="1419" t="s">
        <v>4087</v>
      </c>
      <c r="F140" s="1419" t="s">
        <v>4087</v>
      </c>
      <c r="G140" s="1420" t="s">
        <v>4087</v>
      </c>
      <c r="H140" s="1421"/>
      <c r="I140" s="1422"/>
      <c r="J140" s="1420" t="s">
        <v>4088</v>
      </c>
      <c r="K140" s="1422"/>
      <c r="L140" s="1420" t="s">
        <v>4087</v>
      </c>
      <c r="M140" s="1422"/>
      <c r="N140" s="1420" t="s">
        <v>4087</v>
      </c>
      <c r="O140" s="1422"/>
      <c r="P140" s="1423" t="s">
        <v>4089</v>
      </c>
      <c r="Q140" s="1424"/>
      <c r="R140" s="1425"/>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4123</v>
      </c>
      <c r="B145" s="1375"/>
      <c r="C145" s="1375"/>
      <c r="D145" s="1375"/>
      <c r="E145" s="1375"/>
      <c r="F145" s="1375"/>
      <c r="G145" s="1375"/>
      <c r="H145" s="1375"/>
      <c r="I145" s="1375"/>
      <c r="J145" s="1375"/>
      <c r="K145" s="1375"/>
      <c r="L145" s="1375"/>
      <c r="M145" s="1376"/>
      <c r="N145" s="1377"/>
      <c r="O145" s="1378"/>
      <c r="P145" s="1378"/>
      <c r="Q145" s="1378"/>
      <c r="R145" s="1378"/>
      <c r="S145" s="1379"/>
      <c r="T145" s="816" t="s">
        <v>3598</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2013-036 Davidson Senior Manor, Augusta, Richmond County</v>
      </c>
      <c r="B1" s="875"/>
      <c r="C1" s="875"/>
      <c r="D1" s="875"/>
      <c r="E1" s="875"/>
      <c r="F1" s="875"/>
      <c r="G1" s="875"/>
      <c r="H1" s="875"/>
      <c r="I1" s="875"/>
      <c r="J1" s="875"/>
      <c r="K1" s="875"/>
      <c r="L1" s="875"/>
      <c r="M1" s="875"/>
      <c r="N1" s="875"/>
      <c r="O1" s="875"/>
      <c r="P1" s="875"/>
      <c r="Q1" s="876"/>
      <c r="S1" s="882" t="str">
        <f>$A$1</f>
        <v>PART THREE - SOURCES OF FUNDS  -  2013-036 Davidson Senior Manor, Augusta, Richmond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3550</v>
      </c>
      <c r="T4" s="883"/>
    </row>
    <row r="5" spans="1:20" s="351" customFormat="1" ht="16.899999999999999" customHeight="1">
      <c r="A5" s="687"/>
      <c r="B5" s="1307" t="s">
        <v>4088</v>
      </c>
      <c r="C5" s="778" t="s">
        <v>3176</v>
      </c>
      <c r="D5" s="386"/>
      <c r="E5" s="1307"/>
      <c r="F5" s="783" t="s">
        <v>2343</v>
      </c>
      <c r="G5" s="386"/>
      <c r="J5" s="1429"/>
      <c r="K5" s="1430"/>
      <c r="M5" s="1307"/>
      <c r="N5" s="386" t="s">
        <v>3411</v>
      </c>
      <c r="S5" s="1431"/>
      <c r="T5" s="1432"/>
    </row>
    <row r="6" spans="1:20" s="351" customFormat="1" ht="16.899999999999999" customHeight="1">
      <c r="A6" s="687"/>
      <c r="B6" s="1307"/>
      <c r="C6" s="778" t="s">
        <v>2500</v>
      </c>
      <c r="D6" s="386"/>
      <c r="E6" s="1307"/>
      <c r="F6" s="386" t="s">
        <v>3409</v>
      </c>
      <c r="H6" s="1307"/>
      <c r="I6" s="392" t="s">
        <v>3408</v>
      </c>
      <c r="J6" s="778"/>
      <c r="K6" s="377"/>
      <c r="L6" s="377"/>
      <c r="M6" s="1307"/>
      <c r="N6" s="778" t="s">
        <v>716</v>
      </c>
      <c r="Q6" s="765"/>
      <c r="S6" s="1433"/>
      <c r="T6" s="1434"/>
    </row>
    <row r="7" spans="1:20" s="351" customFormat="1" ht="16.899999999999999" customHeight="1">
      <c r="A7" s="386"/>
      <c r="B7" s="1307"/>
      <c r="C7" s="778" t="s">
        <v>2501</v>
      </c>
      <c r="E7" s="1307"/>
      <c r="F7" s="783" t="s">
        <v>2921</v>
      </c>
      <c r="G7" s="386"/>
      <c r="H7" s="1307"/>
      <c r="I7" s="778" t="s">
        <v>1996</v>
      </c>
      <c r="J7" s="377"/>
      <c r="K7" s="1307"/>
      <c r="L7" s="778" t="s">
        <v>718</v>
      </c>
      <c r="M7" s="1307"/>
      <c r="N7" s="392" t="s">
        <v>3410</v>
      </c>
      <c r="Q7" s="766"/>
      <c r="S7" s="1433"/>
      <c r="T7" s="1434"/>
    </row>
    <row r="8" spans="1:20" s="351" customFormat="1" ht="16.899999999999999" customHeight="1">
      <c r="A8" s="687"/>
      <c r="B8" s="1307"/>
      <c r="C8" s="786" t="s">
        <v>3400</v>
      </c>
      <c r="D8" s="386"/>
      <c r="E8" s="1307"/>
      <c r="F8" s="411" t="s">
        <v>3401</v>
      </c>
      <c r="H8" s="1307"/>
      <c r="I8" s="778" t="s">
        <v>717</v>
      </c>
      <c r="J8" s="377"/>
      <c r="K8" s="392"/>
      <c r="L8" s="424"/>
      <c r="M8" s="1307"/>
      <c r="N8" s="1293" t="s">
        <v>2851</v>
      </c>
      <c r="O8" s="1294"/>
      <c r="P8" s="1294"/>
      <c r="Q8" s="1295"/>
      <c r="S8" s="1435"/>
      <c r="T8" s="1436"/>
    </row>
    <row r="9" spans="1:20" s="351" customFormat="1" ht="16.899999999999999" customHeight="1">
      <c r="A9" s="687"/>
      <c r="B9" s="351" t="s">
        <v>3954</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2577</v>
      </c>
      <c r="C13" s="386"/>
      <c r="D13" s="386"/>
      <c r="E13" s="386"/>
      <c r="F13" s="386"/>
      <c r="G13" s="386"/>
      <c r="H13" s="902" t="s">
        <v>1731</v>
      </c>
      <c r="I13" s="902"/>
      <c r="J13" s="902"/>
      <c r="K13" s="902"/>
      <c r="L13" s="831" t="s">
        <v>2703</v>
      </c>
      <c r="M13" s="831"/>
      <c r="N13" s="831" t="s">
        <v>1964</v>
      </c>
      <c r="O13" s="831"/>
      <c r="P13" s="831" t="s">
        <v>2233</v>
      </c>
      <c r="Q13" s="831"/>
      <c r="S13" s="883" t="s">
        <v>3550</v>
      </c>
      <c r="T13" s="883"/>
    </row>
    <row r="14" spans="1:20" s="351" customFormat="1" ht="16.899999999999999" customHeight="1">
      <c r="A14" s="386"/>
      <c r="B14" s="886" t="s">
        <v>2051</v>
      </c>
      <c r="C14" s="887"/>
      <c r="D14" s="887"/>
      <c r="E14" s="788"/>
      <c r="F14" s="788"/>
      <c r="G14" s="788"/>
      <c r="H14" s="1293" t="s">
        <v>4090</v>
      </c>
      <c r="I14" s="1294"/>
      <c r="J14" s="1294"/>
      <c r="K14" s="1295"/>
      <c r="L14" s="1437">
        <v>4267986</v>
      </c>
      <c r="M14" s="1438"/>
      <c r="N14" s="1439">
        <v>5.5E-2</v>
      </c>
      <c r="O14" s="1440"/>
      <c r="P14" s="1441">
        <v>18</v>
      </c>
      <c r="Q14" s="1442"/>
      <c r="S14" s="1431"/>
      <c r="T14" s="1432"/>
    </row>
    <row r="15" spans="1:20" s="351" customFormat="1" ht="16.899999999999999" customHeight="1">
      <c r="A15" s="386"/>
      <c r="B15" s="884" t="s">
        <v>2052</v>
      </c>
      <c r="C15" s="885"/>
      <c r="D15" s="885"/>
      <c r="E15" s="786"/>
      <c r="F15" s="786"/>
      <c r="G15" s="786"/>
      <c r="H15" s="1293" t="s">
        <v>4124</v>
      </c>
      <c r="I15" s="1294"/>
      <c r="J15" s="1294"/>
      <c r="K15" s="1295"/>
      <c r="L15" s="1437">
        <v>450000</v>
      </c>
      <c r="M15" s="1438"/>
      <c r="N15" s="1439">
        <v>0.01</v>
      </c>
      <c r="O15" s="1440"/>
      <c r="P15" s="1443">
        <v>24</v>
      </c>
      <c r="Q15" s="1444"/>
      <c r="S15" s="1433"/>
      <c r="T15" s="1434"/>
    </row>
    <row r="16" spans="1:20" s="351" customFormat="1" ht="16.899999999999999" customHeight="1">
      <c r="A16" s="386"/>
      <c r="B16" s="891" t="s">
        <v>2053</v>
      </c>
      <c r="C16" s="892"/>
      <c r="D16" s="892"/>
      <c r="E16" s="795"/>
      <c r="F16" s="795"/>
      <c r="G16" s="795"/>
      <c r="H16" s="1293"/>
      <c r="I16" s="1294"/>
      <c r="J16" s="1294"/>
      <c r="K16" s="1295"/>
      <c r="L16" s="1437"/>
      <c r="M16" s="1438"/>
      <c r="N16" s="1439"/>
      <c r="O16" s="1440"/>
      <c r="P16" s="1443"/>
      <c r="Q16" s="1444"/>
      <c r="S16" s="1433"/>
      <c r="T16" s="1434"/>
    </row>
    <row r="17" spans="1:20" s="351" customFormat="1" ht="16.899999999999999" customHeight="1">
      <c r="A17" s="386"/>
      <c r="B17" s="886" t="s">
        <v>2939</v>
      </c>
      <c r="C17" s="887"/>
      <c r="D17" s="887"/>
      <c r="E17" s="786"/>
      <c r="F17" s="786"/>
      <c r="G17" s="786"/>
      <c r="H17" s="1293"/>
      <c r="I17" s="1294"/>
      <c r="J17" s="1294"/>
      <c r="K17" s="1295"/>
      <c r="L17" s="1437"/>
      <c r="M17" s="1438"/>
      <c r="N17" s="888"/>
      <c r="O17" s="889"/>
      <c r="P17" s="890"/>
      <c r="Q17" s="890"/>
      <c r="S17" s="1433"/>
      <c r="T17" s="1434"/>
    </row>
    <row r="18" spans="1:20" s="351" customFormat="1" ht="16.899999999999999" customHeight="1">
      <c r="A18" s="386"/>
      <c r="B18" s="884" t="s">
        <v>1194</v>
      </c>
      <c r="C18" s="885"/>
      <c r="D18" s="885"/>
      <c r="E18" s="786"/>
      <c r="H18" s="1293"/>
      <c r="I18" s="1294"/>
      <c r="J18" s="1294"/>
      <c r="K18" s="1295"/>
      <c r="L18" s="1437"/>
      <c r="M18" s="1438"/>
      <c r="N18" s="888"/>
      <c r="O18" s="889"/>
      <c r="P18" s="890"/>
      <c r="Q18" s="890"/>
      <c r="S18" s="1433"/>
      <c r="T18" s="1434"/>
    </row>
    <row r="19" spans="1:20" s="351" customFormat="1" ht="16.899999999999999" customHeight="1">
      <c r="A19" s="386"/>
      <c r="B19" s="884" t="s">
        <v>821</v>
      </c>
      <c r="C19" s="885"/>
      <c r="D19" s="885"/>
      <c r="E19" s="786"/>
      <c r="H19" s="1293"/>
      <c r="I19" s="1294"/>
      <c r="J19" s="1294"/>
      <c r="K19" s="1295"/>
      <c r="L19" s="1437"/>
      <c r="M19" s="1438"/>
      <c r="N19" s="888"/>
      <c r="O19" s="889"/>
      <c r="P19" s="890"/>
      <c r="Q19" s="890"/>
      <c r="S19" s="1433"/>
      <c r="T19" s="1434"/>
    </row>
    <row r="20" spans="1:20" s="351" customFormat="1" ht="16.899999999999999" customHeight="1">
      <c r="A20" s="386"/>
      <c r="B20" s="884" t="s">
        <v>1195</v>
      </c>
      <c r="C20" s="885"/>
      <c r="D20" s="885"/>
      <c r="E20" s="786"/>
      <c r="H20" s="1293" t="s">
        <v>4074</v>
      </c>
      <c r="I20" s="1294"/>
      <c r="J20" s="1294"/>
      <c r="K20" s="1295"/>
      <c r="L20" s="1437">
        <v>980250</v>
      </c>
      <c r="M20" s="1438"/>
      <c r="N20" s="386"/>
      <c r="O20" s="386"/>
      <c r="P20" s="386"/>
      <c r="Q20" s="386"/>
      <c r="S20" s="1435"/>
      <c r="T20" s="1436"/>
    </row>
    <row r="21" spans="1:20" s="351" customFormat="1" ht="16.899999999999999" customHeight="1">
      <c r="A21" s="386"/>
      <c r="B21" s="884" t="s">
        <v>1196</v>
      </c>
      <c r="C21" s="885"/>
      <c r="D21" s="885"/>
      <c r="E21" s="786"/>
      <c r="H21" s="1293" t="s">
        <v>4074</v>
      </c>
      <c r="I21" s="1294"/>
      <c r="J21" s="1294"/>
      <c r="K21" s="1295"/>
      <c r="L21" s="1437">
        <v>301122</v>
      </c>
      <c r="M21" s="1438"/>
      <c r="N21" s="386"/>
      <c r="O21" s="386"/>
      <c r="P21" s="386"/>
      <c r="Q21" s="386"/>
      <c r="S21" s="1431"/>
      <c r="T21" s="1432"/>
    </row>
    <row r="22" spans="1:20" s="351" customFormat="1" ht="16.899999999999999" customHeight="1">
      <c r="A22" s="386"/>
      <c r="B22" s="785" t="s">
        <v>265</v>
      </c>
      <c r="C22" s="786"/>
      <c r="D22" s="1445" t="s">
        <v>4091</v>
      </c>
      <c r="E22" s="1445"/>
      <c r="F22" s="1445"/>
      <c r="G22" s="1445"/>
      <c r="H22" s="1293"/>
      <c r="I22" s="1294"/>
      <c r="J22" s="1294"/>
      <c r="K22" s="1295"/>
      <c r="L22" s="1437">
        <v>110</v>
      </c>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4" t="s">
        <v>265</v>
      </c>
      <c r="C24" s="795"/>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7">
        <f>SUM(L14:L24)</f>
        <v>5999468</v>
      </c>
      <c r="M25" s="908"/>
      <c r="N25" s="406"/>
      <c r="O25" s="406"/>
      <c r="P25" s="406"/>
      <c r="Q25" s="406"/>
      <c r="S25" s="1433"/>
      <c r="T25" s="1434"/>
    </row>
    <row r="26" spans="1:20" s="351" customFormat="1" ht="16.899999999999999" customHeight="1">
      <c r="A26" s="386"/>
      <c r="B26" s="778"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5999467.5</v>
      </c>
      <c r="M26" s="1447"/>
      <c r="N26" s="905"/>
      <c r="O26" s="906"/>
      <c r="P26" s="906"/>
      <c r="Q26" s="906"/>
      <c r="S26" s="1433"/>
      <c r="T26" s="1434"/>
    </row>
    <row r="27" spans="1:20" s="351" customFormat="1" ht="16.899999999999999" customHeight="1">
      <c r="A27" s="386"/>
      <c r="B27" s="392" t="s">
        <v>2875</v>
      </c>
      <c r="C27" s="386"/>
      <c r="D27" s="386"/>
      <c r="E27" s="386"/>
      <c r="F27" s="386"/>
      <c r="G27" s="386"/>
      <c r="H27" s="386"/>
      <c r="I27" s="386"/>
      <c r="L27" s="909">
        <f>L25-L26</f>
        <v>0.5</v>
      </c>
      <c r="M27" s="910"/>
      <c r="N27" s="905"/>
      <c r="O27" s="906"/>
      <c r="P27" s="906"/>
      <c r="Q27" s="906"/>
      <c r="S27" s="1435"/>
      <c r="T27" s="1436"/>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2815</v>
      </c>
      <c r="K30" s="792" t="s">
        <v>1729</v>
      </c>
      <c r="L30" s="792" t="s">
        <v>1734</v>
      </c>
      <c r="M30" s="826" t="s">
        <v>37</v>
      </c>
      <c r="N30" s="826"/>
      <c r="O30" s="781"/>
      <c r="P30" s="792"/>
      <c r="Q30" s="900" t="s">
        <v>3076</v>
      </c>
      <c r="S30" s="440"/>
    </row>
    <row r="31" spans="1:20" s="351" customFormat="1" ht="13.15" customHeight="1">
      <c r="A31" s="386"/>
      <c r="B31" s="791" t="s">
        <v>2577</v>
      </c>
      <c r="C31" s="795"/>
      <c r="D31" s="795"/>
      <c r="E31" s="885" t="s">
        <v>1731</v>
      </c>
      <c r="F31" s="885"/>
      <c r="G31" s="885"/>
      <c r="H31" s="831" t="s">
        <v>622</v>
      </c>
      <c r="I31" s="831"/>
      <c r="J31" s="780" t="s">
        <v>2505</v>
      </c>
      <c r="K31" s="780" t="s">
        <v>2938</v>
      </c>
      <c r="L31" s="780" t="s">
        <v>2938</v>
      </c>
      <c r="M31" s="1448"/>
      <c r="N31" s="1448"/>
      <c r="O31" s="831" t="s">
        <v>78</v>
      </c>
      <c r="P31" s="831"/>
      <c r="Q31" s="901"/>
      <c r="S31" s="883" t="s">
        <v>3550</v>
      </c>
      <c r="T31" s="883"/>
    </row>
    <row r="32" spans="1:20" s="351" customFormat="1" ht="13.15" customHeight="1">
      <c r="A32" s="386"/>
      <c r="B32" s="886" t="s">
        <v>3416</v>
      </c>
      <c r="C32" s="887"/>
      <c r="D32" s="887"/>
      <c r="E32" s="1330" t="s">
        <v>4124</v>
      </c>
      <c r="F32" s="1449"/>
      <c r="G32" s="1450"/>
      <c r="H32" s="1451">
        <v>450000</v>
      </c>
      <c r="I32" s="1452"/>
      <c r="J32" s="1453">
        <v>0.01</v>
      </c>
      <c r="K32" s="1307">
        <v>10</v>
      </c>
      <c r="L32" s="1307">
        <v>10</v>
      </c>
      <c r="M32" s="1454">
        <f t="shared" ref="M32:M37" si="0">IF(OR(H32&lt;=0,H32=""),"",IF(O32="Amortizing",-PMT(J32/12,L32*12,H32,0,0)*12,""))</f>
        <v>47306.225539888634</v>
      </c>
      <c r="N32" s="1455"/>
      <c r="O32" s="1289" t="s">
        <v>4125</v>
      </c>
      <c r="P32" s="1290"/>
      <c r="Q32" s="1456">
        <v>1.2</v>
      </c>
      <c r="S32" s="1431"/>
      <c r="T32" s="1432"/>
    </row>
    <row r="33" spans="1:20" s="351" customFormat="1" ht="13.15" customHeight="1">
      <c r="A33" s="386"/>
      <c r="B33" s="884" t="s">
        <v>3417</v>
      </c>
      <c r="C33" s="885"/>
      <c r="D33" s="885"/>
      <c r="E33" s="1298"/>
      <c r="F33" s="1457"/>
      <c r="G33" s="1458"/>
      <c r="H33" s="1459"/>
      <c r="I33" s="1452"/>
      <c r="J33" s="1453"/>
      <c r="K33" s="1307"/>
      <c r="L33" s="1307"/>
      <c r="M33" s="1454" t="str">
        <f t="shared" si="0"/>
        <v/>
      </c>
      <c r="N33" s="1455"/>
      <c r="O33" s="1289"/>
      <c r="P33" s="1290"/>
      <c r="Q33" s="1456"/>
      <c r="S33" s="1433"/>
      <c r="T33" s="1434"/>
    </row>
    <row r="34" spans="1:20" s="351" customFormat="1" ht="13.15" customHeight="1">
      <c r="A34" s="386"/>
      <c r="B34" s="884" t="s">
        <v>3418</v>
      </c>
      <c r="C34" s="885"/>
      <c r="D34" s="885"/>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3776</v>
      </c>
      <c r="C36" s="786"/>
      <c r="D36" s="790"/>
      <c r="E36" s="1293"/>
      <c r="F36" s="1460"/>
      <c r="G36" s="1452"/>
      <c r="H36" s="1459"/>
      <c r="I36" s="1452"/>
      <c r="J36" s="648"/>
      <c r="K36" s="784"/>
      <c r="L36" s="784"/>
      <c r="M36" s="917" t="str">
        <f t="shared" si="0"/>
        <v/>
      </c>
      <c r="N36" s="917"/>
      <c r="O36" s="916"/>
      <c r="P36" s="916"/>
      <c r="Q36" s="649"/>
      <c r="S36" s="1433"/>
      <c r="T36" s="1434"/>
    </row>
    <row r="37" spans="1:20" s="351" customFormat="1" ht="13.15" customHeight="1">
      <c r="A37" s="386"/>
      <c r="B37" s="794" t="s">
        <v>249</v>
      </c>
      <c r="C37" s="795"/>
      <c r="D37" s="475">
        <f>IF(OR(H37="",H37=0,'Part IV-Uses of Funds'!$G$115="",'Part IV-Uses of Funds'!$G$115=0),"",H37/'Part IV-Uses of Funds'!$G$115)</f>
        <v>1.7031242837834321E-2</v>
      </c>
      <c r="E37" s="1293" t="s">
        <v>4126</v>
      </c>
      <c r="F37" s="1460"/>
      <c r="G37" s="1452"/>
      <c r="H37" s="1459">
        <v>13747.5</v>
      </c>
      <c r="I37" s="1452"/>
      <c r="J37" s="1453">
        <v>0</v>
      </c>
      <c r="K37" s="1307"/>
      <c r="L37" s="1307"/>
      <c r="M37" s="1454" t="str">
        <f t="shared" si="0"/>
        <v/>
      </c>
      <c r="N37" s="1455"/>
      <c r="O37" s="1289"/>
      <c r="P37" s="1290"/>
      <c r="Q37" s="1456"/>
      <c r="S37" s="1433"/>
      <c r="T37" s="1434"/>
    </row>
    <row r="38" spans="1:20" s="351" customFormat="1" ht="13.15" customHeight="1">
      <c r="A38" s="386"/>
      <c r="B38" s="886" t="s">
        <v>2939</v>
      </c>
      <c r="C38" s="887"/>
      <c r="D38" s="911"/>
      <c r="E38" s="1293"/>
      <c r="F38" s="1460"/>
      <c r="G38" s="1452"/>
      <c r="H38" s="1461"/>
      <c r="I38" s="1462"/>
      <c r="K38" s="476"/>
      <c r="L38" s="476"/>
      <c r="M38" s="476"/>
      <c r="N38" s="476"/>
      <c r="O38" s="476"/>
      <c r="P38" s="476"/>
      <c r="Q38" s="476"/>
      <c r="S38" s="1431"/>
      <c r="T38" s="1432"/>
    </row>
    <row r="39" spans="1:20" s="351" customFormat="1" ht="13.15" customHeight="1">
      <c r="A39" s="386"/>
      <c r="B39" s="884" t="s">
        <v>1194</v>
      </c>
      <c r="C39" s="885"/>
      <c r="D39" s="893"/>
      <c r="E39" s="1293"/>
      <c r="F39" s="1460"/>
      <c r="G39" s="1452"/>
      <c r="H39" s="1461"/>
      <c r="I39" s="1462"/>
      <c r="J39" s="896" t="s">
        <v>684</v>
      </c>
      <c r="K39" s="897"/>
      <c r="L39" s="895" t="s">
        <v>685</v>
      </c>
      <c r="M39" s="895"/>
      <c r="O39" s="528" t="s">
        <v>683</v>
      </c>
      <c r="P39" s="477"/>
      <c r="Q39" s="476"/>
      <c r="S39" s="1433"/>
      <c r="T39" s="1434"/>
    </row>
    <row r="40" spans="1:20" s="351" customFormat="1" ht="13.15" customHeight="1">
      <c r="A40" s="386"/>
      <c r="B40" s="884" t="s">
        <v>1195</v>
      </c>
      <c r="C40" s="885"/>
      <c r="D40" s="893"/>
      <c r="E40" s="1293" t="s">
        <v>4074</v>
      </c>
      <c r="F40" s="1294"/>
      <c r="G40" s="1295"/>
      <c r="H40" s="1459">
        <v>4901246</v>
      </c>
      <c r="I40" s="1463"/>
      <c r="J40" s="898">
        <f>'Part IV-Uses of Funds'!$J$172*10*'Part IV-Uses of Funds'!$N$165</f>
        <v>4950748.5</v>
      </c>
      <c r="K40" s="899"/>
      <c r="L40" s="894">
        <f>H40-J40</f>
        <v>-49502.5</v>
      </c>
      <c r="M40" s="894"/>
      <c r="O40" s="529" t="s">
        <v>3359</v>
      </c>
      <c r="P40" s="477"/>
      <c r="Q40" s="476"/>
      <c r="S40" s="1433"/>
      <c r="T40" s="1434"/>
    </row>
    <row r="41" spans="1:20" s="351" customFormat="1" ht="13.15" customHeight="1">
      <c r="A41" s="386"/>
      <c r="B41" s="884" t="s">
        <v>1196</v>
      </c>
      <c r="C41" s="885"/>
      <c r="D41" s="893"/>
      <c r="E41" s="1293" t="s">
        <v>4074</v>
      </c>
      <c r="F41" s="1294"/>
      <c r="G41" s="1295"/>
      <c r="H41" s="1459">
        <v>1505609</v>
      </c>
      <c r="I41" s="1463"/>
      <c r="J41" s="898">
        <f>'Part IV-Uses of Funds'!$J$172*10*'Part IV-Uses of Funds'!$Q$165</f>
        <v>1456102.5</v>
      </c>
      <c r="K41" s="899"/>
      <c r="L41" s="894">
        <f>H41-J41</f>
        <v>49506.5</v>
      </c>
      <c r="M41" s="894"/>
      <c r="O41" s="530">
        <f>H40/H50</f>
        <v>0.71335338220017208</v>
      </c>
      <c r="P41" s="477"/>
      <c r="Q41" s="476"/>
      <c r="S41" s="1433"/>
      <c r="T41" s="1434"/>
    </row>
    <row r="42" spans="1:20" s="351" customFormat="1" ht="13.15" customHeight="1">
      <c r="A42" s="386"/>
      <c r="B42" s="884" t="s">
        <v>1850</v>
      </c>
      <c r="C42" s="885"/>
      <c r="D42" s="893"/>
      <c r="E42" s="1293"/>
      <c r="F42" s="1294"/>
      <c r="G42" s="1295"/>
      <c r="H42" s="1459"/>
      <c r="I42" s="1463"/>
      <c r="M42" s="477"/>
      <c r="O42" s="530">
        <f>H41/H50</f>
        <v>0.21913433286576903</v>
      </c>
      <c r="P42" s="477"/>
      <c r="Q42" s="476"/>
      <c r="S42" s="1435"/>
      <c r="T42" s="1436"/>
    </row>
    <row r="43" spans="1:20" s="351" customFormat="1" ht="13.15" customHeight="1">
      <c r="A43" s="386"/>
      <c r="B43" s="785" t="s">
        <v>698</v>
      </c>
      <c r="C43" s="786"/>
      <c r="D43" s="790"/>
      <c r="E43" s="1293"/>
      <c r="F43" s="1294"/>
      <c r="G43" s="1295"/>
      <c r="H43" s="1459"/>
      <c r="I43" s="1463"/>
      <c r="K43" s="386"/>
      <c r="L43" s="386"/>
      <c r="M43" s="477"/>
      <c r="O43" s="531">
        <f>SUM(O41:O42)</f>
        <v>0.93248771506594108</v>
      </c>
      <c r="P43" s="477"/>
      <c r="Q43" s="476"/>
      <c r="S43" s="1433"/>
      <c r="T43" s="1434"/>
    </row>
    <row r="44" spans="1:20" s="351" customFormat="1" ht="13.15" customHeight="1">
      <c r="A44" s="386"/>
      <c r="B44" s="785" t="s">
        <v>2575</v>
      </c>
      <c r="C44" s="786"/>
      <c r="D44" s="790"/>
      <c r="E44" s="1293"/>
      <c r="F44" s="1294"/>
      <c r="G44" s="1295"/>
      <c r="H44" s="1459"/>
      <c r="I44" s="1463"/>
      <c r="J44" s="386"/>
      <c r="M44" s="477"/>
      <c r="N44" s="477"/>
      <c r="O44" s="477"/>
      <c r="P44" s="477"/>
      <c r="Q44" s="476"/>
      <c r="S44" s="1433"/>
      <c r="T44" s="1434"/>
    </row>
    <row r="45" spans="1:20" s="351" customFormat="1" ht="13.15" customHeight="1">
      <c r="A45" s="386"/>
      <c r="B45" s="785" t="s">
        <v>2576</v>
      </c>
      <c r="C45" s="786"/>
      <c r="D45" s="790"/>
      <c r="E45" s="1293"/>
      <c r="F45" s="1294"/>
      <c r="G45" s="1295"/>
      <c r="H45" s="1459"/>
      <c r="I45" s="1463"/>
      <c r="J45" s="386"/>
      <c r="M45" s="477"/>
      <c r="N45" s="477"/>
      <c r="O45" s="477"/>
      <c r="P45" s="477"/>
      <c r="Q45" s="476"/>
      <c r="S45" s="1433"/>
      <c r="T45" s="1434"/>
    </row>
    <row r="46" spans="1:20" s="351" customFormat="1" ht="13.15" customHeight="1">
      <c r="A46" s="386"/>
      <c r="B46" s="785" t="s">
        <v>1046</v>
      </c>
      <c r="C46" s="1293" t="s">
        <v>4091</v>
      </c>
      <c r="D46" s="1295"/>
      <c r="E46" s="1293"/>
      <c r="F46" s="1294"/>
      <c r="G46" s="1295"/>
      <c r="H46" s="1459">
        <v>110</v>
      </c>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4"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78" t="s">
        <v>2940</v>
      </c>
      <c r="C49" s="386"/>
      <c r="D49" s="386"/>
      <c r="E49" s="386"/>
      <c r="F49" s="386"/>
      <c r="G49" s="386"/>
      <c r="H49" s="914">
        <f>SUM(H32:I48)</f>
        <v>6870712.5</v>
      </c>
      <c r="I49" s="915"/>
      <c r="J49" s="406"/>
      <c r="K49" s="386"/>
      <c r="L49" s="478"/>
      <c r="M49" s="477"/>
      <c r="N49" s="477"/>
      <c r="O49" s="477"/>
      <c r="P49" s="477"/>
      <c r="Q49" s="476"/>
      <c r="S49" s="1433"/>
      <c r="T49" s="1434"/>
    </row>
    <row r="50" spans="1:23" s="351" customFormat="1" ht="13.15" customHeight="1" thickBot="1">
      <c r="A50" s="386"/>
      <c r="B50" s="778" t="s">
        <v>2941</v>
      </c>
      <c r="C50" s="386"/>
      <c r="D50" s="386"/>
      <c r="E50" s="386"/>
      <c r="F50" s="386"/>
      <c r="G50" s="386"/>
      <c r="H50" s="912">
        <f>'Part IV-Uses of Funds'!$G$129</f>
        <v>6870712.5</v>
      </c>
      <c r="I50" s="913"/>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5"/>
      <c r="T51" s="1436"/>
    </row>
    <row r="52" spans="1:23" s="351" customFormat="1" ht="13.15" customHeight="1">
      <c r="A52" s="386" t="s">
        <v>3777</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c r="B56" s="1465"/>
      <c r="C56" s="1465"/>
      <c r="D56" s="1465"/>
      <c r="E56" s="1465"/>
      <c r="F56" s="1465"/>
      <c r="G56" s="1465"/>
      <c r="H56" s="1465"/>
      <c r="I56" s="1465"/>
      <c r="J56" s="1466"/>
      <c r="K56" s="1377"/>
      <c r="L56" s="1465"/>
      <c r="M56" s="1465"/>
      <c r="N56" s="1465"/>
      <c r="O56" s="1465"/>
      <c r="P56" s="1465"/>
      <c r="Q56" s="1466"/>
      <c r="S56" s="881" t="s">
        <v>3598</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2013-036 Davidson Senior Manor, Augusta, Richmond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3263</v>
      </c>
      <c r="B16" s="261" t="s">
        <v>3260</v>
      </c>
      <c r="C16" s="261" t="s">
        <v>3261</v>
      </c>
      <c r="D16" s="929" t="s">
        <v>2983</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2013-036 Davidson Senior Manor, Augusta, Richmond County</v>
      </c>
      <c r="B58" s="921"/>
      <c r="C58" s="921"/>
      <c r="D58" s="921"/>
      <c r="E58" s="921"/>
      <c r="F58" s="921"/>
      <c r="G58" s="921" t="str">
        <f>CONCATENATE('Part I-Project Information'!$O$4," ",'Part I-Project Information'!$F$23,", ",'Part I-Project Information'!$F$26,", ",'Part I-Project Information'!$J$27," County")</f>
        <v>2013-036 Davidson Senior Manor, Augusta, Richmond County</v>
      </c>
      <c r="H58" s="921"/>
      <c r="I58" s="921"/>
      <c r="J58" s="921"/>
      <c r="K58" s="921"/>
      <c r="L58" s="921"/>
    </row>
    <row r="59" spans="1:12" ht="15">
      <c r="A59" s="918" t="s">
        <v>3254</v>
      </c>
      <c r="B59" s="918"/>
      <c r="C59" s="918"/>
      <c r="D59" s="918"/>
      <c r="E59" s="918"/>
      <c r="F59" s="918"/>
      <c r="G59" s="918" t="s">
        <v>3254</v>
      </c>
      <c r="H59" s="918"/>
      <c r="I59" s="918"/>
      <c r="J59" s="918"/>
      <c r="K59" s="918"/>
      <c r="L59" s="918"/>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2013-036 Davidson Senior Manor, Augusta, Richmond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2984</v>
      </c>
      <c r="D5" s="278"/>
      <c r="E5" s="930" t="s">
        <v>1353</v>
      </c>
      <c r="F5" s="931"/>
      <c r="G5" s="197"/>
    </row>
    <row r="6" spans="1:17">
      <c r="E6" s="931"/>
      <c r="F6" s="931"/>
      <c r="G6" s="197"/>
    </row>
    <row r="7" spans="1:17">
      <c r="A7" s="31" t="s">
        <v>3246</v>
      </c>
      <c r="C7" s="31" t="s">
        <v>3247</v>
      </c>
      <c r="D7" s="279"/>
      <c r="E7" s="931"/>
      <c r="F7" s="931"/>
      <c r="G7" s="197"/>
    </row>
    <row r="8" spans="1:17">
      <c r="C8" s="31" t="s">
        <v>3248</v>
      </c>
      <c r="D8" s="279"/>
      <c r="E8" s="931"/>
      <c r="F8" s="931"/>
      <c r="G8" s="197"/>
    </row>
    <row r="9" spans="1:17">
      <c r="C9" s="31" t="s">
        <v>3249</v>
      </c>
      <c r="D9" s="279"/>
      <c r="E9" s="931"/>
      <c r="F9" s="931"/>
      <c r="G9" s="197"/>
    </row>
    <row r="10" spans="1:17">
      <c r="C10" s="31" t="s">
        <v>3262</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2983</v>
      </c>
      <c r="D26" s="285"/>
      <c r="E26" s="97"/>
      <c r="F26" s="932" t="s">
        <v>2983</v>
      </c>
      <c r="J26" s="290"/>
    </row>
    <row r="27" spans="1:10">
      <c r="A27" s="291" t="s">
        <v>3263</v>
      </c>
      <c r="B27" s="86" t="s">
        <v>1429</v>
      </c>
      <c r="C27" s="933"/>
      <c r="D27" s="292" t="s">
        <v>3263</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2013-036 Davidson Senior Manor, Augusta, Richmond County</v>
      </c>
      <c r="B50" s="921"/>
      <c r="C50" s="921"/>
      <c r="D50" s="921"/>
      <c r="E50" s="921"/>
      <c r="F50" s="921"/>
      <c r="G50" s="272"/>
      <c r="H50" s="272"/>
    </row>
    <row r="51" spans="1:10" ht="15">
      <c r="A51" s="918" t="s">
        <v>3254</v>
      </c>
      <c r="B51" s="918"/>
      <c r="C51" s="918"/>
      <c r="D51" s="918"/>
      <c r="E51" s="918"/>
      <c r="F51" s="918"/>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2013-036 Davidson Senior Manor, Augusta, Richmond County</v>
      </c>
      <c r="B1" s="992"/>
      <c r="C1" s="992"/>
      <c r="D1" s="992"/>
      <c r="E1" s="992"/>
      <c r="F1" s="992"/>
      <c r="G1" s="992"/>
      <c r="H1" s="992"/>
      <c r="I1" s="992"/>
      <c r="J1" s="992"/>
      <c r="K1" s="992"/>
      <c r="L1" s="992"/>
      <c r="M1" s="992"/>
      <c r="N1" s="992"/>
      <c r="O1" s="992"/>
      <c r="P1" s="992"/>
      <c r="Q1" s="992"/>
      <c r="R1" s="992"/>
      <c r="S1" s="992"/>
      <c r="T1" s="992"/>
      <c r="V1" s="990" t="str">
        <f>A1</f>
        <v>PART FOUR -  USES OF FUNDS  -  2013-036 Davidson Senior Manor, Augusta, Richmond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3550</v>
      </c>
      <c r="W6" s="1004"/>
    </row>
    <row r="7" spans="1:23" s="386" customFormat="1" ht="13.15" customHeight="1">
      <c r="B7" s="389" t="s">
        <v>108</v>
      </c>
      <c r="O7" s="687" t="str">
        <f>B7</f>
        <v>PRE-DEVELOPMENT COSTS</v>
      </c>
      <c r="V7" s="386" t="str">
        <f>B7</f>
        <v>PRE-DEVELOPMENT COSTS</v>
      </c>
    </row>
    <row r="8" spans="1:23" s="386" customFormat="1" ht="12.6" customHeight="1">
      <c r="B8" s="386" t="s">
        <v>2713</v>
      </c>
      <c r="G8" s="1437">
        <v>2000</v>
      </c>
      <c r="H8" s="1438"/>
      <c r="J8" s="1437">
        <v>2000</v>
      </c>
      <c r="K8" s="1438"/>
      <c r="L8" s="796"/>
      <c r="M8" s="1437"/>
      <c r="N8" s="1438"/>
      <c r="P8" s="1437"/>
      <c r="Q8" s="1438"/>
      <c r="S8" s="1437"/>
      <c r="T8" s="1438"/>
      <c r="V8" s="1467"/>
      <c r="W8" s="1468"/>
    </row>
    <row r="9" spans="1:23" s="386" customFormat="1" ht="12.6" customHeight="1">
      <c r="B9" s="386" t="s">
        <v>584</v>
      </c>
      <c r="G9" s="1437">
        <v>6500</v>
      </c>
      <c r="H9" s="1438"/>
      <c r="J9" s="1437">
        <v>6500</v>
      </c>
      <c r="K9" s="1438"/>
      <c r="L9" s="796"/>
      <c r="M9" s="1437"/>
      <c r="N9" s="1438"/>
      <c r="P9" s="1437"/>
      <c r="Q9" s="1438"/>
      <c r="S9" s="1437"/>
      <c r="T9" s="1438"/>
      <c r="V9" s="1469"/>
      <c r="W9" s="1470"/>
    </row>
    <row r="10" spans="1:23" s="386" customFormat="1" ht="12.6" customHeight="1">
      <c r="B10" s="386" t="s">
        <v>620</v>
      </c>
      <c r="G10" s="1437">
        <v>4700</v>
      </c>
      <c r="H10" s="1438"/>
      <c r="J10" s="1437">
        <v>4700</v>
      </c>
      <c r="K10" s="1438"/>
      <c r="L10" s="796"/>
      <c r="M10" s="1437"/>
      <c r="N10" s="1438"/>
      <c r="P10" s="1437"/>
      <c r="Q10" s="1438"/>
      <c r="S10" s="1437"/>
      <c r="T10" s="1438"/>
      <c r="V10" s="1469"/>
      <c r="W10" s="1470"/>
    </row>
    <row r="11" spans="1:23" s="386" customFormat="1" ht="12.6" customHeight="1">
      <c r="B11" s="386" t="s">
        <v>621</v>
      </c>
      <c r="G11" s="1437">
        <v>4000</v>
      </c>
      <c r="H11" s="1438"/>
      <c r="J11" s="1437">
        <v>4000</v>
      </c>
      <c r="K11" s="1438"/>
      <c r="L11" s="796"/>
      <c r="M11" s="1437"/>
      <c r="N11" s="1438"/>
      <c r="P11" s="1437"/>
      <c r="Q11" s="1438"/>
      <c r="S11" s="1437"/>
      <c r="T11" s="1438"/>
      <c r="V11" s="1469"/>
      <c r="W11" s="1470"/>
    </row>
    <row r="12" spans="1:23" s="386" customFormat="1" ht="12.6" customHeight="1">
      <c r="B12" s="386" t="s">
        <v>3283</v>
      </c>
      <c r="G12" s="1437">
        <v>15000</v>
      </c>
      <c r="H12" s="1438"/>
      <c r="J12" s="1437">
        <v>15000</v>
      </c>
      <c r="K12" s="1438"/>
      <c r="L12" s="796"/>
      <c r="M12" s="1437"/>
      <c r="N12" s="1438"/>
      <c r="P12" s="1437"/>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t="s">
        <v>3182</v>
      </c>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t="s">
        <v>3182</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t="s">
        <v>3182</v>
      </c>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43">
        <f>SUM(G8:H16)</f>
        <v>32200</v>
      </c>
      <c r="H17" s="944"/>
      <c r="J17" s="943">
        <f>SUM(J8:K16)</f>
        <v>32200</v>
      </c>
      <c r="K17" s="1005"/>
      <c r="L17" s="796"/>
      <c r="M17" s="943">
        <f>SUM(M8:N16)</f>
        <v>0</v>
      </c>
      <c r="N17" s="944"/>
      <c r="P17" s="943">
        <f>SUM(P8:Q16)</f>
        <v>0</v>
      </c>
      <c r="Q17" s="944"/>
      <c r="S17" s="943">
        <f>SUM(S8:T16)</f>
        <v>0</v>
      </c>
      <c r="T17" s="944"/>
      <c r="V17" s="1473"/>
      <c r="W17" s="1474"/>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37">
        <v>450000</v>
      </c>
      <c r="H19" s="1438"/>
      <c r="J19" s="448"/>
      <c r="K19" s="445"/>
      <c r="L19" s="448"/>
      <c r="M19" s="448"/>
      <c r="N19" s="445"/>
      <c r="P19" s="448"/>
      <c r="Q19" s="445"/>
      <c r="S19" s="1437"/>
      <c r="T19" s="1438"/>
      <c r="V19" s="1467"/>
      <c r="W19" s="1468"/>
    </row>
    <row r="20" spans="2:23" s="386" customFormat="1" ht="12.6" customHeight="1">
      <c r="B20" s="386" t="s">
        <v>1527</v>
      </c>
      <c r="G20" s="1437"/>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43">
        <f>SUM(G19:H22)</f>
        <v>450000</v>
      </c>
      <c r="H23" s="944"/>
      <c r="J23" s="448"/>
      <c r="K23" s="445"/>
      <c r="L23" s="448"/>
      <c r="M23" s="943">
        <f>SUM(M21:N22)</f>
        <v>0</v>
      </c>
      <c r="N23" s="944"/>
      <c r="P23" s="448"/>
      <c r="Q23" s="445"/>
      <c r="S23" s="943">
        <f>SUM(S19:T22)</f>
        <v>0</v>
      </c>
      <c r="T23" s="944"/>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730000</v>
      </c>
      <c r="H25" s="1438"/>
      <c r="J25" s="1471">
        <v>693500</v>
      </c>
      <c r="K25" s="1472"/>
      <c r="L25" s="796"/>
      <c r="M25" s="1471"/>
      <c r="N25" s="1472"/>
      <c r="P25" s="1471"/>
      <c r="Q25" s="1472"/>
      <c r="S25" s="1437"/>
      <c r="T25" s="1438"/>
      <c r="V25" s="1467"/>
      <c r="W25" s="1468"/>
    </row>
    <row r="26" spans="2:23" s="386" customFormat="1" ht="12.6" customHeight="1" thickBot="1">
      <c r="B26" s="386" t="s">
        <v>1530</v>
      </c>
      <c r="G26" s="1437"/>
      <c r="H26" s="1438"/>
      <c r="J26" s="1471"/>
      <c r="K26" s="1472"/>
      <c r="L26" s="449"/>
      <c r="M26" s="989"/>
      <c r="N26" s="989"/>
      <c r="P26" s="989"/>
      <c r="Q26" s="989"/>
      <c r="S26" s="1437"/>
      <c r="T26" s="1438"/>
      <c r="V26" s="1469"/>
      <c r="W26" s="1470"/>
    </row>
    <row r="27" spans="2:23" s="386" customFormat="1" ht="12.6" customHeight="1" thickTop="1">
      <c r="F27" s="446" t="s">
        <v>209</v>
      </c>
      <c r="G27" s="943">
        <f>SUM(G25:H26)</f>
        <v>730000</v>
      </c>
      <c r="H27" s="944"/>
      <c r="J27" s="943">
        <f>SUM(J25:K26)</f>
        <v>693500</v>
      </c>
      <c r="K27" s="944"/>
      <c r="L27" s="448"/>
      <c r="M27" s="943">
        <f>M25</f>
        <v>0</v>
      </c>
      <c r="N27" s="944"/>
      <c r="P27" s="943">
        <f>P25</f>
        <v>0</v>
      </c>
      <c r="Q27" s="944"/>
      <c r="S27" s="943">
        <f>SUM(S25:T26)</f>
        <v>0</v>
      </c>
      <c r="T27" s="944"/>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3140526</v>
      </c>
      <c r="H29" s="1438"/>
      <c r="J29" s="1437">
        <v>3140526</v>
      </c>
      <c r="K29" s="1438"/>
      <c r="L29" s="796"/>
      <c r="M29" s="1437"/>
      <c r="N29" s="1438"/>
      <c r="P29" s="1437"/>
      <c r="Q29" s="1438"/>
      <c r="S29" s="1437"/>
      <c r="T29" s="1438"/>
      <c r="V29" s="1467"/>
      <c r="W29" s="1468"/>
    </row>
    <row r="30" spans="2:23" s="386" customFormat="1" ht="12.6" customHeight="1">
      <c r="B30" s="386" t="s">
        <v>1533</v>
      </c>
      <c r="G30" s="1437"/>
      <c r="H30" s="1438"/>
      <c r="J30" s="1437"/>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57"/>
      <c r="D32" s="957"/>
      <c r="E32" s="798"/>
      <c r="F32" s="446" t="s">
        <v>209</v>
      </c>
      <c r="G32" s="943">
        <f>SUM(G29:H31)</f>
        <v>3140526</v>
      </c>
      <c r="H32" s="944"/>
      <c r="J32" s="943">
        <f>SUM(J29:K31)</f>
        <v>3140526</v>
      </c>
      <c r="K32" s="944"/>
      <c r="L32" s="796"/>
      <c r="M32" s="943">
        <f>SUM(M29:N31)</f>
        <v>0</v>
      </c>
      <c r="N32" s="944"/>
      <c r="P32" s="943">
        <f>SUM(P29:Q31)</f>
        <v>0</v>
      </c>
      <c r="Q32" s="944"/>
      <c r="S32" s="943">
        <f>SUM(S29:T31)</f>
        <v>0</v>
      </c>
      <c r="T32" s="944"/>
      <c r="V32" s="1473"/>
      <c r="W32" s="1474"/>
    </row>
    <row r="33" spans="1:23" s="386" customFormat="1" ht="13.1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232231.56</v>
      </c>
      <c r="G34" s="1437">
        <v>232231.5</v>
      </c>
      <c r="H34" s="1438"/>
      <c r="I34" s="406"/>
      <c r="J34" s="1437">
        <v>232231.5</v>
      </c>
      <c r="K34" s="1438"/>
      <c r="L34" s="796"/>
      <c r="M34" s="1437"/>
      <c r="N34" s="1438"/>
      <c r="P34" s="1437"/>
      <c r="Q34" s="1438"/>
      <c r="S34" s="1437"/>
      <c r="T34" s="1438"/>
      <c r="V34" s="1467"/>
      <c r="W34" s="1468"/>
    </row>
    <row r="35" spans="1:23" s="386" customFormat="1" ht="12.6" customHeight="1">
      <c r="B35" s="386" t="s">
        <v>3754</v>
      </c>
      <c r="E35" s="520">
        <f>'DCA Underwriting Assumptions'!$R$37</f>
        <v>0.02</v>
      </c>
      <c r="F35" s="521">
        <f>E35*($G$27+$G$32)</f>
        <v>77410.52</v>
      </c>
      <c r="G35" s="1437">
        <v>77410.5</v>
      </c>
      <c r="H35" s="1438"/>
      <c r="I35" s="406"/>
      <c r="J35" s="1437">
        <v>77411</v>
      </c>
      <c r="K35" s="1438"/>
      <c r="L35" s="796"/>
      <c r="M35" s="1437"/>
      <c r="N35" s="1438"/>
      <c r="P35" s="1437"/>
      <c r="Q35" s="1438"/>
      <c r="S35" s="1437"/>
      <c r="T35" s="1438"/>
      <c r="V35" s="1469"/>
      <c r="W35" s="1470"/>
    </row>
    <row r="36" spans="1:23" s="386" customFormat="1" ht="12.6" customHeight="1" thickBot="1">
      <c r="B36" s="386" t="s">
        <v>3755</v>
      </c>
      <c r="E36" s="520">
        <f>'DCA Underwriting Assumptions'!$R$38</f>
        <v>0.06</v>
      </c>
      <c r="F36" s="521">
        <f>E36*($G$27+$G$32)</f>
        <v>232231.56</v>
      </c>
      <c r="G36" s="1437">
        <v>232231.5</v>
      </c>
      <c r="H36" s="1438"/>
      <c r="I36" s="406"/>
      <c r="J36" s="1437">
        <v>232231.5</v>
      </c>
      <c r="K36" s="1438"/>
      <c r="L36" s="796"/>
      <c r="M36" s="1437"/>
      <c r="N36" s="1438"/>
      <c r="P36" s="1437"/>
      <c r="Q36" s="1438"/>
      <c r="S36" s="1437"/>
      <c r="T36" s="1438"/>
      <c r="V36" s="1469"/>
      <c r="W36" s="1470"/>
    </row>
    <row r="37" spans="1:23" s="386" customFormat="1" ht="12.6" customHeight="1" thickTop="1">
      <c r="B37" s="386" t="s">
        <v>2754</v>
      </c>
      <c r="D37" s="453"/>
      <c r="E37" s="786"/>
      <c r="F37" s="522" t="s">
        <v>209</v>
      </c>
      <c r="G37" s="943">
        <f>SUM(G34:H36)</f>
        <v>541873.5</v>
      </c>
      <c r="H37" s="944"/>
      <c r="J37" s="943">
        <f>SUM(J34:K36)</f>
        <v>541874</v>
      </c>
      <c r="K37" s="944"/>
      <c r="L37" s="448"/>
      <c r="M37" s="943">
        <f>SUM(M34:N36)</f>
        <v>0</v>
      </c>
      <c r="N37" s="944"/>
      <c r="P37" s="943">
        <f>SUM(P34:Q36)</f>
        <v>0</v>
      </c>
      <c r="Q37" s="944"/>
      <c r="S37" s="943">
        <f>SUM(S34:T36)</f>
        <v>0</v>
      </c>
      <c r="T37" s="944"/>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3760</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3182</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3769</v>
      </c>
      <c r="C42" s="455"/>
      <c r="D42" s="996" t="s">
        <v>3768</v>
      </c>
      <c r="E42" s="456">
        <f>B43/'Part VI-Revenues &amp; Expenses'!$M$60</f>
        <v>91924.989583333328</v>
      </c>
      <c r="F42" s="688" t="s">
        <v>3733</v>
      </c>
      <c r="G42" s="998">
        <f>B43/'Part VI-Revenues &amp; Expenses'!$M$62</f>
        <v>91924.989583333328</v>
      </c>
      <c r="H42" s="998"/>
      <c r="I42" s="690"/>
      <c r="J42" s="457" t="s">
        <v>1840</v>
      </c>
      <c r="V42" s="1469"/>
      <c r="W42" s="1470"/>
    </row>
    <row r="43" spans="1:23" s="386" customFormat="1" ht="12.6" customHeight="1">
      <c r="B43" s="999">
        <f>G27+G32+G37+G40</f>
        <v>4412399.5</v>
      </c>
      <c r="C43" s="1000"/>
      <c r="D43" s="997"/>
      <c r="E43" s="797">
        <f>B43/'Part VI-Revenues &amp; Expenses'!$M$98</f>
        <v>107.23502320946849</v>
      </c>
      <c r="F43" s="689" t="s">
        <v>3734</v>
      </c>
      <c r="G43" s="995">
        <f>B43/'Part VI-Revenues &amp; Expenses'!$M$100</f>
        <v>107.23502320946849</v>
      </c>
      <c r="H43" s="995"/>
      <c r="I43" s="795"/>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5.0000005665851423E-2</v>
      </c>
      <c r="G46" s="1437">
        <v>220620</v>
      </c>
      <c r="H46" s="1438"/>
      <c r="I46" s="386"/>
      <c r="J46" s="1437">
        <v>220620</v>
      </c>
      <c r="K46" s="1438"/>
      <c r="L46" s="796"/>
      <c r="M46" s="1437"/>
      <c r="N46" s="1438"/>
      <c r="O46" s="386"/>
      <c r="P46" s="1437"/>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3550</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37">
        <v>42680</v>
      </c>
      <c r="H52" s="1438"/>
      <c r="J52" s="1437">
        <v>42680</v>
      </c>
      <c r="K52" s="1438"/>
      <c r="L52" s="796"/>
      <c r="M52" s="1437"/>
      <c r="N52" s="1438"/>
      <c r="P52" s="1437"/>
      <c r="Q52" s="1438"/>
      <c r="S52" s="1437"/>
      <c r="T52" s="1438"/>
      <c r="V52" s="1467"/>
      <c r="W52" s="1468"/>
    </row>
    <row r="53" spans="1:23" s="386" customFormat="1" ht="12" customHeight="1">
      <c r="B53" s="386" t="s">
        <v>3081</v>
      </c>
      <c r="G53" s="1437">
        <v>170046</v>
      </c>
      <c r="H53" s="1438"/>
      <c r="J53" s="1437">
        <v>146793</v>
      </c>
      <c r="K53" s="1438"/>
      <c r="L53" s="796"/>
      <c r="M53" s="1437"/>
      <c r="N53" s="1438"/>
      <c r="P53" s="1437"/>
      <c r="Q53" s="1438"/>
      <c r="S53" s="1437"/>
      <c r="T53" s="1438"/>
      <c r="V53" s="1469"/>
      <c r="W53" s="1470"/>
    </row>
    <row r="54" spans="1:23" s="386" customFormat="1" ht="12" customHeight="1">
      <c r="B54" s="386" t="s">
        <v>3082</v>
      </c>
      <c r="G54" s="1437"/>
      <c r="H54" s="1438"/>
      <c r="J54" s="1437"/>
      <c r="K54" s="1438"/>
      <c r="L54" s="796"/>
      <c r="M54" s="1437"/>
      <c r="N54" s="1438"/>
      <c r="P54" s="1437"/>
      <c r="Q54" s="1438"/>
      <c r="S54" s="1437"/>
      <c r="T54" s="1438"/>
      <c r="V54" s="1469"/>
      <c r="W54" s="1470"/>
    </row>
    <row r="55" spans="1:23" s="386" customFormat="1" ht="12" customHeight="1">
      <c r="B55" s="386" t="s">
        <v>3582</v>
      </c>
      <c r="G55" s="1437"/>
      <c r="H55" s="1438"/>
      <c r="J55" s="1437"/>
      <c r="K55" s="1438"/>
      <c r="L55" s="796"/>
      <c r="M55" s="1437"/>
      <c r="N55" s="1438"/>
      <c r="P55" s="1437"/>
      <c r="Q55" s="1438"/>
      <c r="S55" s="1437"/>
      <c r="T55" s="1438"/>
      <c r="V55" s="1469"/>
      <c r="W55" s="1470"/>
    </row>
    <row r="56" spans="1:23" s="386" customFormat="1" ht="12" customHeight="1">
      <c r="B56" s="386" t="s">
        <v>916</v>
      </c>
      <c r="G56" s="1437">
        <v>1000</v>
      </c>
      <c r="H56" s="1438"/>
      <c r="J56" s="1437">
        <v>1000</v>
      </c>
      <c r="K56" s="1438"/>
      <c r="L56" s="796"/>
      <c r="M56" s="1437"/>
      <c r="N56" s="1438"/>
      <c r="P56" s="1437"/>
      <c r="Q56" s="1438"/>
      <c r="S56" s="1437"/>
      <c r="T56" s="1438"/>
      <c r="V56" s="1469"/>
      <c r="W56" s="1470"/>
    </row>
    <row r="57" spans="1:23" s="386" customFormat="1" ht="12" customHeight="1">
      <c r="B57" s="386" t="s">
        <v>3083</v>
      </c>
      <c r="G57" s="1437">
        <v>10000</v>
      </c>
      <c r="H57" s="1438"/>
      <c r="J57" s="1437">
        <v>10000</v>
      </c>
      <c r="K57" s="1438"/>
      <c r="L57" s="796"/>
      <c r="M57" s="1437"/>
      <c r="N57" s="1438"/>
      <c r="P57" s="1437"/>
      <c r="Q57" s="1438"/>
      <c r="S57" s="1437"/>
      <c r="T57" s="1438"/>
      <c r="V57" s="1469"/>
      <c r="W57" s="1470"/>
    </row>
    <row r="58" spans="1:23" s="386" customFormat="1" ht="12" customHeight="1">
      <c r="B58" s="386" t="s">
        <v>1701</v>
      </c>
      <c r="G58" s="1437">
        <v>15000</v>
      </c>
      <c r="H58" s="1438"/>
      <c r="J58" s="1437">
        <v>15000</v>
      </c>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c r="H60" s="1438"/>
      <c r="I60" s="406"/>
      <c r="J60" s="1437"/>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4144</v>
      </c>
      <c r="D61" s="1299"/>
      <c r="E61" s="1299"/>
      <c r="F61" s="1300"/>
      <c r="G61" s="1437">
        <v>15000</v>
      </c>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3182</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43">
        <f>SUM(G52:H62)</f>
        <v>253726</v>
      </c>
      <c r="H63" s="944"/>
      <c r="J63" s="943">
        <f>SUM(J52:K62)</f>
        <v>215473</v>
      </c>
      <c r="K63" s="944"/>
      <c r="L63" s="448"/>
      <c r="M63" s="943">
        <f>SUM(M52:N62)</f>
        <v>0</v>
      </c>
      <c r="N63" s="944"/>
      <c r="P63" s="943">
        <f>SUM(P52:Q62)</f>
        <v>0</v>
      </c>
      <c r="Q63" s="944"/>
      <c r="S63" s="943">
        <f>SUM(S52:T62)</f>
        <v>0</v>
      </c>
      <c r="T63" s="944"/>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120000</v>
      </c>
      <c r="H65" s="1438"/>
      <c r="J65" s="1437">
        <v>120000</v>
      </c>
      <c r="K65" s="1438"/>
      <c r="L65" s="796"/>
      <c r="M65" s="1437"/>
      <c r="N65" s="1438"/>
      <c r="P65" s="1437"/>
      <c r="Q65" s="1438"/>
      <c r="S65" s="1437"/>
      <c r="T65" s="1438"/>
      <c r="V65" s="1467"/>
      <c r="W65" s="1468"/>
    </row>
    <row r="66" spans="1:23" s="386" customFormat="1" ht="12" customHeight="1">
      <c r="B66" s="386" t="s">
        <v>610</v>
      </c>
      <c r="G66" s="1437"/>
      <c r="H66" s="1438"/>
      <c r="J66" s="1437"/>
      <c r="K66" s="1438"/>
      <c r="L66" s="796"/>
      <c r="M66" s="1437"/>
      <c r="N66" s="1438"/>
      <c r="P66" s="1437"/>
      <c r="Q66" s="1438"/>
      <c r="S66" s="1437"/>
      <c r="T66" s="1438"/>
      <c r="V66" s="1469"/>
      <c r="W66" s="1470"/>
    </row>
    <row r="67" spans="1:23" s="386" customFormat="1" ht="12" customHeight="1">
      <c r="B67" s="386" t="s">
        <v>1537</v>
      </c>
      <c r="F67" s="386" t="s">
        <v>3955</v>
      </c>
      <c r="G67" s="1437"/>
      <c r="H67" s="1438"/>
      <c r="J67" s="1437"/>
      <c r="K67" s="1438"/>
      <c r="L67" s="796"/>
      <c r="M67" s="1437"/>
      <c r="N67" s="1438"/>
      <c r="P67" s="1437"/>
      <c r="Q67" s="1438"/>
      <c r="S67" s="1437"/>
      <c r="T67" s="1438"/>
      <c r="V67" s="1469"/>
      <c r="W67" s="1470"/>
    </row>
    <row r="68" spans="1:23" s="386" customFormat="1" ht="12" customHeight="1">
      <c r="B68" s="386" t="s">
        <v>1538</v>
      </c>
      <c r="G68" s="1437">
        <v>40000</v>
      </c>
      <c r="H68" s="1438"/>
      <c r="J68" s="1437">
        <v>40000</v>
      </c>
      <c r="K68" s="1438"/>
      <c r="L68" s="796"/>
      <c r="M68" s="1437"/>
      <c r="N68" s="1438"/>
      <c r="P68" s="1437"/>
      <c r="Q68" s="1438"/>
      <c r="S68" s="1437"/>
      <c r="T68" s="1438"/>
      <c r="V68" s="1469"/>
      <c r="W68" s="1470"/>
    </row>
    <row r="69" spans="1:23" s="386" customFormat="1" ht="12" customHeight="1">
      <c r="B69" s="386" t="s">
        <v>1539</v>
      </c>
      <c r="G69" s="1437">
        <v>15000</v>
      </c>
      <c r="H69" s="1438"/>
      <c r="J69" s="1437">
        <v>15000</v>
      </c>
      <c r="K69" s="1438"/>
      <c r="L69" s="796"/>
      <c r="M69" s="1437"/>
      <c r="N69" s="1438"/>
      <c r="P69" s="1437"/>
      <c r="Q69" s="1438"/>
      <c r="S69" s="1437"/>
      <c r="T69" s="1438"/>
      <c r="V69" s="1469"/>
      <c r="W69" s="1470"/>
    </row>
    <row r="70" spans="1:23" s="386" customFormat="1" ht="12" customHeight="1">
      <c r="B70" s="386" t="s">
        <v>1540</v>
      </c>
      <c r="G70" s="1437">
        <v>25000</v>
      </c>
      <c r="H70" s="1438"/>
      <c r="J70" s="1437">
        <v>25000</v>
      </c>
      <c r="K70" s="1438"/>
      <c r="L70" s="796"/>
      <c r="M70" s="1437"/>
      <c r="N70" s="1438"/>
      <c r="P70" s="1437"/>
      <c r="Q70" s="1438"/>
      <c r="S70" s="1437"/>
      <c r="T70" s="1438"/>
      <c r="V70" s="1469"/>
      <c r="W70" s="1470"/>
    </row>
    <row r="71" spans="1:23" s="386" customFormat="1" ht="12" customHeight="1">
      <c r="B71" s="386" t="s">
        <v>611</v>
      </c>
      <c r="G71" s="1437">
        <v>50000</v>
      </c>
      <c r="H71" s="1438"/>
      <c r="J71" s="1437">
        <v>50000</v>
      </c>
      <c r="K71" s="1438"/>
      <c r="L71" s="796"/>
      <c r="M71" s="1437"/>
      <c r="N71" s="1438"/>
      <c r="P71" s="1437"/>
      <c r="Q71" s="1438"/>
      <c r="S71" s="1437"/>
      <c r="T71" s="1438"/>
      <c r="V71" s="1469"/>
      <c r="W71" s="1470"/>
    </row>
    <row r="72" spans="1:23" s="386" customFormat="1" ht="12" customHeight="1">
      <c r="B72" s="386" t="s">
        <v>612</v>
      </c>
      <c r="G72" s="1437">
        <v>35000</v>
      </c>
      <c r="H72" s="1438"/>
      <c r="J72" s="1437">
        <v>30000</v>
      </c>
      <c r="K72" s="1438"/>
      <c r="L72" s="796"/>
      <c r="M72" s="1437"/>
      <c r="N72" s="1438"/>
      <c r="P72" s="1437"/>
      <c r="Q72" s="1438"/>
      <c r="S72" s="1437"/>
      <c r="T72" s="1438"/>
      <c r="V72" s="1469"/>
      <c r="W72" s="1470"/>
    </row>
    <row r="73" spans="1:23" s="386" customFormat="1" ht="12" customHeight="1">
      <c r="B73" s="386" t="s">
        <v>2764</v>
      </c>
      <c r="G73" s="1437">
        <v>15000</v>
      </c>
      <c r="H73" s="1438"/>
      <c r="J73" s="1437">
        <v>15000</v>
      </c>
      <c r="K73" s="1438"/>
      <c r="L73" s="796"/>
      <c r="M73" s="1437"/>
      <c r="N73" s="1438"/>
      <c r="P73" s="1437"/>
      <c r="Q73" s="1438"/>
      <c r="S73" s="1437"/>
      <c r="T73" s="1438"/>
      <c r="V73" s="1469"/>
      <c r="W73" s="1470"/>
    </row>
    <row r="74" spans="1:23" s="386" customFormat="1" ht="12" customHeight="1">
      <c r="B74" s="386" t="s">
        <v>1702</v>
      </c>
      <c r="G74" s="1437">
        <v>10000</v>
      </c>
      <c r="H74" s="1438"/>
      <c r="J74" s="1437">
        <v>10000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3182</v>
      </c>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43">
        <f>SUM(G65:H75)</f>
        <v>310000</v>
      </c>
      <c r="H76" s="944"/>
      <c r="J76" s="943">
        <f>SUM(J65:K75)</f>
        <v>305000</v>
      </c>
      <c r="K76" s="944"/>
      <c r="L76" s="448"/>
      <c r="M76" s="943">
        <f>SUM(M65:N75)</f>
        <v>0</v>
      </c>
      <c r="N76" s="944"/>
      <c r="P76" s="943">
        <f>SUM(P65:Q75)</f>
        <v>0</v>
      </c>
      <c r="Q76" s="944"/>
      <c r="S76" s="943">
        <f>SUM(S65:T75)</f>
        <v>0</v>
      </c>
      <c r="T76" s="944"/>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13502</v>
      </c>
      <c r="H78" s="1438"/>
      <c r="J78" s="1437">
        <v>13502</v>
      </c>
      <c r="K78" s="1438"/>
      <c r="L78" s="796"/>
      <c r="M78" s="1437"/>
      <c r="N78" s="1438"/>
      <c r="P78" s="1437"/>
      <c r="Q78" s="1438"/>
      <c r="S78" s="1437"/>
      <c r="T78" s="1438"/>
      <c r="V78" s="1481"/>
      <c r="W78" s="1482"/>
    </row>
    <row r="79" spans="1:23" s="386" customFormat="1" ht="12" customHeight="1">
      <c r="B79" s="386" t="s">
        <v>1696</v>
      </c>
      <c r="G79" s="1437"/>
      <c r="H79" s="1438"/>
      <c r="J79" s="1437"/>
      <c r="K79" s="1438"/>
      <c r="L79" s="796"/>
      <c r="M79" s="1437"/>
      <c r="N79" s="1438"/>
      <c r="P79" s="1437"/>
      <c r="Q79" s="1438"/>
      <c r="S79" s="1437"/>
      <c r="T79" s="1438"/>
      <c r="V79" s="1483"/>
      <c r="W79" s="1484"/>
    </row>
    <row r="80" spans="1:23" s="386" customFormat="1" ht="12" customHeight="1">
      <c r="B80" s="386" t="s">
        <v>1697</v>
      </c>
      <c r="D80" s="461" t="s">
        <v>1841</v>
      </c>
      <c r="E80" s="1485" t="s">
        <v>4087</v>
      </c>
      <c r="G80" s="1437">
        <v>19624</v>
      </c>
      <c r="H80" s="1438"/>
      <c r="I80" s="406"/>
      <c r="J80" s="1437">
        <v>19624</v>
      </c>
      <c r="K80" s="1438"/>
      <c r="L80" s="796"/>
      <c r="M80" s="1437"/>
      <c r="N80" s="1438"/>
      <c r="P80" s="1437"/>
      <c r="Q80" s="1438"/>
      <c r="S80" s="1437"/>
      <c r="T80" s="1438"/>
      <c r="V80" s="1483"/>
      <c r="W80" s="1484"/>
    </row>
    <row r="81" spans="1:23" s="386" customFormat="1" ht="12" customHeight="1" thickBot="1">
      <c r="B81" s="386" t="s">
        <v>1698</v>
      </c>
      <c r="D81" s="461" t="s">
        <v>1841</v>
      </c>
      <c r="E81" s="1485" t="s">
        <v>4087</v>
      </c>
      <c r="G81" s="1437">
        <v>16800</v>
      </c>
      <c r="H81" s="1438"/>
      <c r="I81" s="406"/>
      <c r="J81" s="1437">
        <v>16800</v>
      </c>
      <c r="K81" s="1438"/>
      <c r="L81" s="796"/>
      <c r="M81" s="1437"/>
      <c r="N81" s="1438"/>
      <c r="P81" s="1437"/>
      <c r="Q81" s="1438"/>
      <c r="S81" s="1437"/>
      <c r="T81" s="1438"/>
      <c r="V81" s="1483"/>
      <c r="W81" s="1484"/>
    </row>
    <row r="82" spans="1:23" s="386" customFormat="1" ht="12" customHeight="1" thickTop="1">
      <c r="F82" s="446" t="s">
        <v>209</v>
      </c>
      <c r="G82" s="943">
        <f>SUM(G78:H81)</f>
        <v>49926</v>
      </c>
      <c r="H82" s="944"/>
      <c r="J82" s="943">
        <f>SUM(J78:K81)</f>
        <v>49926</v>
      </c>
      <c r="K82" s="944"/>
      <c r="L82" s="448"/>
      <c r="M82" s="943">
        <f>SUM(M78:N81)</f>
        <v>0</v>
      </c>
      <c r="N82" s="944"/>
      <c r="P82" s="943">
        <f>SUM(P78:Q81)</f>
        <v>0</v>
      </c>
      <c r="Q82" s="944"/>
      <c r="S82" s="943">
        <f>SUM(S78:T81)</f>
        <v>0</v>
      </c>
      <c r="T82" s="944"/>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c r="H84" s="1438"/>
      <c r="J84" s="934"/>
      <c r="K84" s="934"/>
      <c r="L84" s="796"/>
      <c r="M84" s="934"/>
      <c r="N84" s="934"/>
      <c r="P84" s="934"/>
      <c r="Q84" s="934"/>
      <c r="S84" s="1437"/>
      <c r="T84" s="1438"/>
      <c r="V84" s="1481"/>
      <c r="W84" s="1482"/>
    </row>
    <row r="85" spans="1:23" s="386" customFormat="1" ht="12" customHeight="1">
      <c r="B85" s="386" t="s">
        <v>1700</v>
      </c>
      <c r="G85" s="1437">
        <v>5000</v>
      </c>
      <c r="H85" s="1438"/>
      <c r="J85" s="934"/>
      <c r="K85" s="934"/>
      <c r="L85" s="796"/>
      <c r="M85" s="934"/>
      <c r="N85" s="934"/>
      <c r="P85" s="934"/>
      <c r="Q85" s="934"/>
      <c r="S85" s="1437"/>
      <c r="T85" s="1438"/>
      <c r="V85" s="1483"/>
      <c r="W85" s="1484"/>
    </row>
    <row r="86" spans="1:23" s="386" customFormat="1" ht="12" customHeight="1">
      <c r="B86" s="386" t="s">
        <v>1701</v>
      </c>
      <c r="G86" s="1437"/>
      <c r="H86" s="1438"/>
      <c r="J86" s="934"/>
      <c r="K86" s="934"/>
      <c r="L86" s="796"/>
      <c r="M86" s="934"/>
      <c r="N86" s="934"/>
      <c r="P86" s="934"/>
      <c r="Q86" s="934"/>
      <c r="S86" s="1437"/>
      <c r="T86" s="1438"/>
      <c r="V86" s="1483"/>
      <c r="W86" s="1484"/>
    </row>
    <row r="87" spans="1:23" s="386" customFormat="1" ht="12" customHeight="1">
      <c r="B87" s="386" t="s">
        <v>1703</v>
      </c>
      <c r="G87" s="1437"/>
      <c r="H87" s="1438"/>
      <c r="J87" s="934"/>
      <c r="K87" s="934"/>
      <c r="L87" s="796"/>
      <c r="M87" s="934"/>
      <c r="N87" s="934"/>
      <c r="P87" s="934"/>
      <c r="Q87" s="934"/>
      <c r="S87" s="1437"/>
      <c r="T87" s="1438"/>
      <c r="V87" s="1483"/>
      <c r="W87" s="1484"/>
    </row>
    <row r="88" spans="1:23" s="386" customFormat="1" ht="12" customHeight="1">
      <c r="B88" s="386" t="s">
        <v>3028</v>
      </c>
      <c r="G88" s="1437"/>
      <c r="H88" s="1438"/>
      <c r="J88" s="934"/>
      <c r="K88" s="934"/>
      <c r="L88" s="796"/>
      <c r="M88" s="934"/>
      <c r="N88" s="934"/>
      <c r="P88" s="934"/>
      <c r="Q88" s="934"/>
      <c r="S88" s="1437"/>
      <c r="T88" s="1438"/>
      <c r="V88" s="1483"/>
      <c r="W88" s="1484"/>
    </row>
    <row r="89" spans="1:23" s="386" customFormat="1" ht="12" customHeight="1" thickBot="1">
      <c r="A89" s="480" t="str">
        <f>IF(AND(G89&gt;0,OR(C89="",C89="&lt;Enter detailed description here; use Comments section if needed&gt;")),"X","")</f>
        <v/>
      </c>
      <c r="B89" s="386" t="s">
        <v>1046</v>
      </c>
      <c r="C89" s="1299" t="s">
        <v>3182</v>
      </c>
      <c r="D89" s="1299"/>
      <c r="E89" s="1299"/>
      <c r="F89" s="1300"/>
      <c r="G89" s="1437"/>
      <c r="H89" s="1438"/>
      <c r="J89" s="934"/>
      <c r="K89" s="934"/>
      <c r="L89" s="796"/>
      <c r="M89" s="934"/>
      <c r="N89" s="934"/>
      <c r="P89" s="934"/>
      <c r="Q89" s="934"/>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43">
        <f>SUM(G84:H89)</f>
        <v>5000</v>
      </c>
      <c r="H90" s="944"/>
      <c r="J90" s="934"/>
      <c r="K90" s="934"/>
      <c r="L90" s="448"/>
      <c r="M90" s="934"/>
      <c r="N90" s="934"/>
      <c r="P90" s="934"/>
      <c r="Q90" s="934"/>
      <c r="S90" s="943">
        <f>SUM(S84:T89)</f>
        <v>0</v>
      </c>
      <c r="T90" s="944"/>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3550</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1"/>
      <c r="W95" s="1482"/>
    </row>
    <row r="96" spans="1:23" s="386" customFormat="1" ht="12.6" customHeight="1">
      <c r="B96" s="386" t="s">
        <v>1618</v>
      </c>
      <c r="G96" s="1437">
        <v>6500</v>
      </c>
      <c r="H96" s="1438"/>
      <c r="J96" s="448"/>
      <c r="K96" s="448"/>
      <c r="L96" s="462"/>
      <c r="M96" s="448"/>
      <c r="N96" s="448"/>
      <c r="P96" s="448"/>
      <c r="Q96" s="448"/>
      <c r="S96" s="1437"/>
      <c r="T96" s="1438"/>
      <c r="V96" s="1483"/>
      <c r="W96" s="1484"/>
    </row>
    <row r="97" spans="1:23" s="386" customFormat="1" ht="12.6" customHeight="1">
      <c r="B97" s="386" t="s">
        <v>3592</v>
      </c>
      <c r="G97" s="1437">
        <v>1000</v>
      </c>
      <c r="H97" s="1438"/>
      <c r="J97" s="448"/>
      <c r="K97" s="448"/>
      <c r="L97" s="462"/>
      <c r="M97" s="448"/>
      <c r="N97" s="448"/>
      <c r="O97" s="786"/>
      <c r="P97" s="448"/>
      <c r="Q97" s="448"/>
      <c r="S97" s="1437"/>
      <c r="T97" s="1438"/>
      <c r="V97" s="1483"/>
      <c r="W97" s="1484"/>
    </row>
    <row r="98" spans="1:23" s="386" customFormat="1" ht="12.6" customHeight="1">
      <c r="B98" s="386" t="s">
        <v>686</v>
      </c>
      <c r="E98" s="1001">
        <f>'DCA Underwriting Assumptions'!$Q$39*$J$172</f>
        <v>46595.28</v>
      </c>
      <c r="F98" s="1002"/>
      <c r="G98" s="1437">
        <v>46595</v>
      </c>
      <c r="H98" s="1438"/>
      <c r="J98" s="448"/>
      <c r="K98" s="448"/>
      <c r="L98" s="796"/>
      <c r="M98" s="448"/>
      <c r="N98" s="448"/>
      <c r="O98" s="786"/>
      <c r="P98" s="448"/>
      <c r="Q98" s="448"/>
      <c r="S98" s="1437"/>
      <c r="T98" s="1438"/>
      <c r="V98" s="1483"/>
      <c r="W98" s="1484"/>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38400</v>
      </c>
      <c r="F99" s="1002"/>
      <c r="G99" s="1437">
        <v>38400</v>
      </c>
      <c r="H99" s="1438"/>
      <c r="J99" s="353"/>
      <c r="K99" s="353"/>
      <c r="L99" s="353"/>
      <c r="M99" s="353"/>
      <c r="N99" s="353"/>
      <c r="O99" s="353"/>
      <c r="P99" s="353"/>
      <c r="Q99" s="353"/>
      <c r="S99" s="1437"/>
      <c r="T99" s="1438"/>
      <c r="V99" s="1483"/>
      <c r="W99" s="1484"/>
    </row>
    <row r="100" spans="1:23" s="386" customFormat="1" ht="12.6" customHeight="1">
      <c r="B100" s="386" t="s">
        <v>618</v>
      </c>
      <c r="G100" s="1437"/>
      <c r="H100" s="1438"/>
      <c r="J100" s="353"/>
      <c r="K100" s="353"/>
      <c r="L100" s="353"/>
      <c r="M100" s="353"/>
      <c r="N100" s="353"/>
      <c r="O100" s="353"/>
      <c r="P100" s="353"/>
      <c r="Q100" s="353"/>
      <c r="S100" s="1437"/>
      <c r="T100" s="1438"/>
      <c r="V100" s="1483"/>
      <c r="W100" s="1484"/>
    </row>
    <row r="101" spans="1:23" s="386" customFormat="1" ht="12.6" customHeight="1">
      <c r="B101" s="386" t="s">
        <v>3106</v>
      </c>
      <c r="G101" s="1437">
        <v>3000</v>
      </c>
      <c r="H101" s="1438"/>
      <c r="J101" s="353"/>
      <c r="K101" s="353"/>
      <c r="L101" s="353"/>
      <c r="M101" s="353"/>
      <c r="N101" s="353"/>
      <c r="O101" s="353"/>
      <c r="P101" s="353"/>
      <c r="Q101" s="353"/>
      <c r="S101" s="1437"/>
      <c r="T101" s="1438"/>
      <c r="V101" s="1483"/>
      <c r="W101" s="1484"/>
    </row>
    <row r="102" spans="1:23" s="386" customFormat="1" ht="12.6" customHeight="1">
      <c r="A102" s="480" t="str">
        <f>IF(AND(G102&gt;0,OR(C102="",C102="&lt;Enter detailed description here; use Comments section if needed&gt;")),"X","")</f>
        <v/>
      </c>
      <c r="B102" s="386" t="s">
        <v>1046</v>
      </c>
      <c r="C102" s="1299" t="s">
        <v>3182</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t="s">
        <v>3182</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43">
        <f>SUM(G95:H103)</f>
        <v>95495</v>
      </c>
      <c r="H104" s="944"/>
      <c r="J104" s="448"/>
      <c r="K104" s="448"/>
      <c r="L104" s="796"/>
      <c r="M104" s="448"/>
      <c r="N104" s="448"/>
      <c r="P104" s="448"/>
      <c r="Q104" s="448"/>
      <c r="S104" s="943">
        <f>SUM(S95:T103)</f>
        <v>0</v>
      </c>
      <c r="T104" s="944"/>
      <c r="V104" s="1486"/>
      <c r="W104" s="1487"/>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2500</v>
      </c>
      <c r="H106" s="1438"/>
      <c r="J106" s="934"/>
      <c r="K106" s="934"/>
      <c r="L106" s="796"/>
      <c r="M106" s="934"/>
      <c r="N106" s="934"/>
      <c r="O106" s="786"/>
      <c r="P106" s="934"/>
      <c r="Q106" s="934"/>
      <c r="S106" s="1437"/>
      <c r="T106" s="1438"/>
      <c r="V106" s="1481"/>
      <c r="W106" s="1482"/>
    </row>
    <row r="107" spans="1:23" s="386" customFormat="1" ht="12.6" customHeight="1">
      <c r="B107" s="386" t="s">
        <v>310</v>
      </c>
      <c r="G107" s="1437"/>
      <c r="H107" s="1438"/>
      <c r="J107" s="934"/>
      <c r="K107" s="934"/>
      <c r="L107" s="796"/>
      <c r="M107" s="934"/>
      <c r="N107" s="934"/>
      <c r="O107" s="786"/>
      <c r="P107" s="934"/>
      <c r="Q107" s="934"/>
      <c r="S107" s="1437"/>
      <c r="T107" s="1438"/>
      <c r="V107" s="1483"/>
      <c r="W107" s="1484"/>
    </row>
    <row r="108" spans="1:23" s="386" customFormat="1" ht="12.6" customHeight="1">
      <c r="B108" s="386" t="s">
        <v>3144</v>
      </c>
      <c r="G108" s="1437"/>
      <c r="H108" s="1438"/>
      <c r="J108" s="934"/>
      <c r="K108" s="934"/>
      <c r="L108" s="796"/>
      <c r="M108" s="934"/>
      <c r="N108" s="934"/>
      <c r="O108" s="786"/>
      <c r="P108" s="934"/>
      <c r="Q108" s="934"/>
      <c r="S108" s="1437"/>
      <c r="T108" s="1438"/>
      <c r="V108" s="1483"/>
      <c r="W108" s="1484"/>
    </row>
    <row r="109" spans="1:23" s="386" customFormat="1" ht="12.6" customHeight="1" thickBot="1">
      <c r="A109" s="480" t="str">
        <f>IF(AND(G109&gt;0,OR(C109="",C109="&lt;Enter detailed description here; use Comments section if needed&gt;")),"X","")</f>
        <v/>
      </c>
      <c r="B109" s="386" t="s">
        <v>1046</v>
      </c>
      <c r="C109" s="1299" t="s">
        <v>3182</v>
      </c>
      <c r="D109" s="1299"/>
      <c r="E109" s="1299"/>
      <c r="F109" s="1300"/>
      <c r="G109" s="1437"/>
      <c r="H109" s="1438"/>
      <c r="J109" s="934"/>
      <c r="K109" s="934"/>
      <c r="L109" s="796"/>
      <c r="M109" s="934"/>
      <c r="N109" s="934"/>
      <c r="O109" s="786"/>
      <c r="P109" s="934"/>
      <c r="Q109" s="934"/>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43">
        <f>SUM(G106:H109)</f>
        <v>2500</v>
      </c>
      <c r="H110" s="944"/>
      <c r="J110" s="934"/>
      <c r="K110" s="934"/>
      <c r="L110" s="796"/>
      <c r="M110" s="934"/>
      <c r="N110" s="934"/>
      <c r="O110" s="786"/>
      <c r="P110" s="934"/>
      <c r="Q110" s="934"/>
      <c r="S110" s="943">
        <f>SUM(S106:T109)</f>
        <v>0</v>
      </c>
      <c r="T110" s="944"/>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0.51923269899515978</v>
      </c>
      <c r="G112" s="1437">
        <v>419121</v>
      </c>
      <c r="H112" s="1438"/>
      <c r="J112" s="1437">
        <v>419121</v>
      </c>
      <c r="K112" s="1438"/>
      <c r="L112" s="447"/>
      <c r="M112" s="1437"/>
      <c r="N112" s="1438"/>
      <c r="P112" s="1437"/>
      <c r="Q112" s="1438"/>
      <c r="S112" s="1437"/>
      <c r="T112" s="1438"/>
      <c r="V112" s="1481"/>
      <c r="W112" s="1482"/>
    </row>
    <row r="113" spans="1:23" s="386" customFormat="1" ht="12.6" customHeight="1">
      <c r="B113" s="386" t="s">
        <v>2566</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2558</v>
      </c>
      <c r="F114" s="527">
        <f>G114/$G$115</f>
        <v>0.48076730100484022</v>
      </c>
      <c r="G114" s="1437">
        <v>388072</v>
      </c>
      <c r="H114" s="1438"/>
      <c r="J114" s="1437">
        <v>388072</v>
      </c>
      <c r="K114" s="1438"/>
      <c r="L114" s="796"/>
      <c r="M114" s="1437"/>
      <c r="N114" s="1438"/>
      <c r="P114" s="1437"/>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43">
        <f>SUM(G112:H114)</f>
        <v>807193</v>
      </c>
      <c r="H115" s="944"/>
      <c r="J115" s="943">
        <f>SUM(J112:K114)</f>
        <v>807193</v>
      </c>
      <c r="K115" s="944"/>
      <c r="L115" s="796"/>
      <c r="M115" s="943">
        <f>SUM(M112:N114)</f>
        <v>0</v>
      </c>
      <c r="N115" s="944"/>
      <c r="P115" s="943">
        <f>SUM(P112:Q114)</f>
        <v>0</v>
      </c>
      <c r="Q115" s="944"/>
      <c r="S115" s="943">
        <f>SUM(S112:T114)</f>
        <v>0</v>
      </c>
      <c r="T115" s="944"/>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15000</v>
      </c>
      <c r="H117" s="1438"/>
      <c r="J117" s="463"/>
      <c r="K117" s="463"/>
      <c r="L117" s="463"/>
      <c r="M117" s="463"/>
      <c r="N117" s="463"/>
      <c r="P117" s="463"/>
      <c r="Q117" s="463"/>
      <c r="S117" s="1437"/>
      <c r="T117" s="1438"/>
      <c r="V117" s="1481"/>
      <c r="W117" s="1482"/>
    </row>
    <row r="118" spans="1:23" s="386" customFormat="1" ht="12.6" customHeight="1">
      <c r="B118" s="386" t="s">
        <v>1993</v>
      </c>
      <c r="F118" s="754">
        <f>+'Part VI-Revenues &amp; Expenses'!P157*('DCA Underwriting Assumptions'!$Q$58/12)</f>
        <v>51000.017500000002</v>
      </c>
      <c r="G118" s="1437">
        <v>51000</v>
      </c>
      <c r="H118" s="1438"/>
      <c r="J118" s="934"/>
      <c r="K118" s="934"/>
      <c r="L118" s="796"/>
      <c r="M118" s="934"/>
      <c r="N118" s="934"/>
      <c r="O118" s="786"/>
      <c r="P118" s="934"/>
      <c r="Q118" s="934"/>
      <c r="R118" s="786"/>
      <c r="S118" s="1437"/>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125653.14776994432</v>
      </c>
      <c r="G119" s="1437">
        <v>125653</v>
      </c>
      <c r="H119" s="1438"/>
      <c r="J119" s="462"/>
      <c r="K119" s="462"/>
      <c r="L119" s="462"/>
      <c r="M119" s="462"/>
      <c r="N119" s="462"/>
      <c r="O119" s="786"/>
      <c r="P119" s="462"/>
      <c r="Q119" s="462"/>
      <c r="R119" s="786"/>
      <c r="S119" s="1437"/>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3946</v>
      </c>
      <c r="F121" s="650">
        <f>G121/'Part VI-Revenues &amp; Expenses'!$M$62</f>
        <v>833.33333333333337</v>
      </c>
      <c r="G121" s="1437">
        <v>40000</v>
      </c>
      <c r="H121" s="1438"/>
      <c r="J121" s="1437">
        <v>40000</v>
      </c>
      <c r="K121" s="1438"/>
      <c r="L121" s="796"/>
      <c r="M121" s="1437"/>
      <c r="N121" s="1438"/>
      <c r="P121" s="1437"/>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3182</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43">
        <f>SUM(G117:H122)</f>
        <v>231653</v>
      </c>
      <c r="H123" s="944"/>
      <c r="J123" s="943">
        <f>SUM(J121:K122)</f>
        <v>40000</v>
      </c>
      <c r="K123" s="944"/>
      <c r="L123" s="796"/>
      <c r="M123" s="943">
        <f>SUM(M121:N122)</f>
        <v>0</v>
      </c>
      <c r="N123" s="944"/>
      <c r="P123" s="943">
        <f>SUM(P121:Q122)</f>
        <v>0</v>
      </c>
      <c r="Q123" s="944"/>
      <c r="S123" s="943">
        <f>SUM(S117:T122)</f>
        <v>0</v>
      </c>
      <c r="T123" s="944"/>
      <c r="V123" s="1486"/>
      <c r="W123" s="148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7"/>
      <c r="H125" s="1438"/>
      <c r="J125" s="1437"/>
      <c r="K125" s="1438"/>
      <c r="L125" s="447"/>
      <c r="M125" s="1437"/>
      <c r="N125" s="1438"/>
      <c r="P125" s="1437"/>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t="s">
        <v>3182</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3"/>
      <c r="W127" s="1484"/>
    </row>
    <row r="128" spans="1:23" s="386" customFormat="1" ht="3" customHeight="1" thickBot="1">
      <c r="C128" s="778"/>
      <c r="H128" s="460"/>
      <c r="I128" s="460"/>
      <c r="L128" s="786"/>
      <c r="V128" s="1483"/>
      <c r="W128" s="1484"/>
    </row>
    <row r="129" spans="1:23" s="386" customFormat="1" ht="13.9" customHeight="1" thickBot="1">
      <c r="B129" s="393" t="s">
        <v>3963</v>
      </c>
      <c r="G129" s="986">
        <f>G17+G23+G27+G32+G37+G40+G46+G63+G76+G82+G90+G104+G110+G115+G123+G127</f>
        <v>6870712.5</v>
      </c>
      <c r="H129" s="987"/>
      <c r="J129" s="986">
        <f>J17+J23+J27+J32+J37+J40+J46+J63+J76+J82+J90+J104+J110+J115+J123+J127</f>
        <v>6046312</v>
      </c>
      <c r="K129" s="987"/>
      <c r="M129" s="986">
        <f>M17+M23+M27+M32+M37+M40+M46+M63+M76+M82+M90+M104+M110+M115+M123+M127</f>
        <v>0</v>
      </c>
      <c r="N129" s="987"/>
      <c r="P129" s="986">
        <f>P17+P23+P27+P32+P37+P40+P46+P63+P76+P82+P90+P104+P110+P115+P123+P127</f>
        <v>0</v>
      </c>
      <c r="Q129" s="987"/>
      <c r="S129" s="986">
        <f>S17+S23+S27+S32+S37+S40+S46+S63+S76+S82+S90+S104+S110+S115+S123+S127</f>
        <v>0</v>
      </c>
      <c r="T129" s="987"/>
      <c r="V129" s="1486"/>
      <c r="W129" s="1487"/>
    </row>
    <row r="130" spans="1:23" s="386" customFormat="1" ht="3" customHeight="1">
      <c r="C130" s="778"/>
      <c r="H130" s="460"/>
      <c r="I130" s="460"/>
      <c r="L130" s="786"/>
    </row>
    <row r="131" spans="1:23" s="386" customFormat="1" ht="13.9" customHeight="1">
      <c r="B131" s="769" t="s">
        <v>3964</v>
      </c>
      <c r="C131" s="767"/>
      <c r="D131" s="988">
        <f>G129/'Part VI-Revenues &amp; Expenses'!$M$62</f>
        <v>143139.84375</v>
      </c>
      <c r="E131" s="988"/>
      <c r="F131" s="768" t="s">
        <v>3962</v>
      </c>
      <c r="G131" s="988">
        <f>G129/'Part VI-Revenues &amp; Expenses'!$M$100</f>
        <v>166.97967044985054</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2759</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8"/>
      <c r="K137" s="1489"/>
      <c r="P137" s="1488"/>
      <c r="Q137" s="1489"/>
      <c r="V137" s="1481"/>
      <c r="W137" s="1482"/>
    </row>
    <row r="138" spans="1:23" s="386" customFormat="1" ht="13.9" customHeight="1">
      <c r="B138" s="786" t="s">
        <v>2870</v>
      </c>
      <c r="D138" s="786"/>
      <c r="E138" s="786"/>
      <c r="F138" s="786"/>
      <c r="G138" s="786"/>
      <c r="H138" s="786"/>
      <c r="I138" s="467"/>
      <c r="J138" s="1488"/>
      <c r="K138" s="1489"/>
      <c r="P138" s="1488"/>
      <c r="Q138" s="1489"/>
      <c r="V138" s="1483"/>
      <c r="W138" s="1484"/>
    </row>
    <row r="139" spans="1:23" s="386" customFormat="1" ht="13.9" customHeight="1">
      <c r="B139" s="786" t="s">
        <v>2568</v>
      </c>
      <c r="D139" s="786"/>
      <c r="E139" s="786"/>
      <c r="I139" s="467"/>
      <c r="J139" s="1488"/>
      <c r="K139" s="1489"/>
      <c r="P139" s="1488"/>
      <c r="Q139" s="1489"/>
      <c r="V139" s="1483"/>
      <c r="W139" s="1484"/>
    </row>
    <row r="140" spans="1:23" s="386" customFormat="1" ht="13.9" customHeight="1">
      <c r="B140" s="786" t="s">
        <v>2569</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9" t="s">
        <v>3182</v>
      </c>
      <c r="D142" s="1299"/>
      <c r="E142" s="1299"/>
      <c r="F142" s="1299"/>
      <c r="G142" s="1299"/>
      <c r="H142" s="1299"/>
      <c r="I142" s="1300"/>
      <c r="J142" s="1488"/>
      <c r="K142" s="1489"/>
      <c r="P142" s="1488"/>
      <c r="Q142" s="1489"/>
      <c r="V142" s="1483"/>
      <c r="W142" s="1484"/>
    </row>
    <row r="143" spans="1:23" s="386" customFormat="1" ht="13.9" customHeight="1" thickBot="1">
      <c r="B143" s="398" t="s">
        <v>2570</v>
      </c>
      <c r="C143" s="401"/>
      <c r="J143" s="903">
        <f>SUM(J137:K142)</f>
        <v>0</v>
      </c>
      <c r="K143" s="904"/>
      <c r="P143" s="903">
        <f>SUM(P137:Q142)</f>
        <v>0</v>
      </c>
      <c r="Q143" s="904"/>
      <c r="V143" s="1486"/>
      <c r="W143" s="1487"/>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961">
        <f>J129</f>
        <v>6046312</v>
      </c>
      <c r="K146" s="962"/>
      <c r="M146" s="963">
        <f>M129</f>
        <v>0</v>
      </c>
      <c r="N146" s="964"/>
      <c r="P146" s="961">
        <f>P129</f>
        <v>0</v>
      </c>
      <c r="Q146" s="962"/>
      <c r="V146" s="1481"/>
      <c r="W146" s="1482"/>
    </row>
    <row r="147" spans="1:23" s="386" customFormat="1" ht="13.9" customHeight="1">
      <c r="B147" s="386" t="s">
        <v>2945</v>
      </c>
      <c r="J147" s="945">
        <f>J143</f>
        <v>0</v>
      </c>
      <c r="K147" s="952"/>
      <c r="M147" s="946"/>
      <c r="N147" s="946"/>
      <c r="P147" s="945">
        <f>P143</f>
        <v>0</v>
      </c>
      <c r="Q147" s="952"/>
      <c r="V147" s="1483"/>
      <c r="W147" s="1484"/>
    </row>
    <row r="148" spans="1:23" s="386" customFormat="1" ht="13.9" customHeight="1">
      <c r="B148" s="386" t="s">
        <v>2946</v>
      </c>
      <c r="J148" s="945">
        <f>J146-J147</f>
        <v>6046312</v>
      </c>
      <c r="K148" s="952"/>
      <c r="M148" s="945">
        <f>M146</f>
        <v>0</v>
      </c>
      <c r="N148" s="952"/>
      <c r="P148" s="945">
        <f>P146-P147</f>
        <v>0</v>
      </c>
      <c r="Q148" s="952"/>
      <c r="V148" s="1483"/>
      <c r="W148" s="1484"/>
    </row>
    <row r="149" spans="1:23" s="386" customFormat="1" ht="13.9" customHeight="1">
      <c r="B149" s="386" t="s">
        <v>1937</v>
      </c>
      <c r="G149" s="781" t="s">
        <v>2404</v>
      </c>
      <c r="H149" s="1289" t="s">
        <v>4092</v>
      </c>
      <c r="I149" s="1290"/>
      <c r="J149" s="1490">
        <v>1.3</v>
      </c>
      <c r="K149" s="1491"/>
      <c r="M149" s="960"/>
      <c r="N149" s="960"/>
      <c r="P149" s="1490"/>
      <c r="Q149" s="1491"/>
      <c r="V149" s="1483"/>
      <c r="W149" s="1484"/>
    </row>
    <row r="150" spans="1:23" s="386" customFormat="1" ht="13.9" customHeight="1">
      <c r="B150" s="386" t="s">
        <v>2770</v>
      </c>
      <c r="J150" s="945">
        <f>J148*J149</f>
        <v>7860205.6000000006</v>
      </c>
      <c r="K150" s="952"/>
      <c r="M150" s="945">
        <f>+M148</f>
        <v>0</v>
      </c>
      <c r="N150" s="952"/>
      <c r="P150" s="945">
        <f>P148*P149</f>
        <v>0</v>
      </c>
      <c r="Q150" s="952"/>
      <c r="V150" s="1483"/>
      <c r="W150" s="1484"/>
    </row>
    <row r="151" spans="1:23" s="386" customFormat="1" ht="13.9" customHeight="1">
      <c r="B151" s="386" t="s">
        <v>3340</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3"/>
      <c r="W151" s="1484"/>
    </row>
    <row r="152" spans="1:23" s="386" customFormat="1" ht="13.9" customHeight="1">
      <c r="B152" s="386" t="s">
        <v>2760</v>
      </c>
      <c r="J152" s="945">
        <f>J150*J151</f>
        <v>7860205.6000000006</v>
      </c>
      <c r="K152" s="952"/>
      <c r="M152" s="945">
        <f>M150*M151</f>
        <v>0</v>
      </c>
      <c r="N152" s="952"/>
      <c r="P152" s="945">
        <f>P150*P151</f>
        <v>0</v>
      </c>
      <c r="Q152" s="952"/>
      <c r="V152" s="1483"/>
      <c r="W152" s="1484"/>
    </row>
    <row r="153" spans="1:23" s="386" customFormat="1" ht="13.9" customHeight="1">
      <c r="B153" s="386" t="s">
        <v>2761</v>
      </c>
      <c r="J153" s="1490">
        <v>7.4099999999999999E-2</v>
      </c>
      <c r="K153" s="1491"/>
      <c r="M153" s="1490"/>
      <c r="N153" s="1491"/>
      <c r="P153" s="1490"/>
      <c r="Q153" s="1491"/>
      <c r="V153" s="1483"/>
      <c r="W153" s="1484"/>
    </row>
    <row r="154" spans="1:23" s="386" customFormat="1" ht="13.9" customHeight="1" thickBot="1">
      <c r="B154" s="386" t="s">
        <v>3341</v>
      </c>
      <c r="J154" s="955">
        <f>J152*J153</f>
        <v>582441.23496000003</v>
      </c>
      <c r="K154" s="956"/>
      <c r="M154" s="955">
        <f>M152*M153</f>
        <v>0</v>
      </c>
      <c r="N154" s="956"/>
      <c r="P154" s="955">
        <f>P152*P153</f>
        <v>0</v>
      </c>
      <c r="Q154" s="956"/>
      <c r="V154" s="1483"/>
      <c r="W154" s="1484"/>
    </row>
    <row r="155" spans="1:23" s="386" customFormat="1" ht="13.9" customHeight="1" thickBot="1">
      <c r="B155" s="389" t="s">
        <v>1867</v>
      </c>
      <c r="J155" s="903">
        <f>J154+M154+P154</f>
        <v>582441.23496000003</v>
      </c>
      <c r="K155" s="980"/>
      <c r="L155" s="980"/>
      <c r="M155" s="980"/>
      <c r="N155" s="980"/>
      <c r="O155" s="980"/>
      <c r="P155" s="980"/>
      <c r="Q155" s="904"/>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3931</v>
      </c>
      <c r="G159" s="975" t="str">
        <f>IF(J160&gt;J159,"TDC exceeds QAP PUCL!","")</f>
        <v/>
      </c>
      <c r="H159" s="975"/>
      <c r="I159" s="976"/>
      <c r="J159" s="977">
        <f>'Part VIII-Threshold Criteria'!$P$48</f>
        <v>6872380</v>
      </c>
      <c r="K159" s="978"/>
      <c r="L159" s="979"/>
      <c r="M159" s="965" t="s">
        <v>3773</v>
      </c>
      <c r="N159" s="966"/>
      <c r="O159" s="966"/>
      <c r="P159" s="966"/>
      <c r="Q159" s="966"/>
      <c r="R159" s="967"/>
      <c r="S159" s="971" t="s">
        <v>3672</v>
      </c>
      <c r="T159" s="972"/>
      <c r="V159" s="1481"/>
      <c r="W159" s="1482"/>
    </row>
    <row r="160" spans="1:23" s="386" customFormat="1" ht="13.9" customHeight="1">
      <c r="B160" s="386" t="s">
        <v>3775</v>
      </c>
      <c r="J160" s="1492">
        <f>MIN(G129,J159,(G129-O162))</f>
        <v>6870712.5</v>
      </c>
      <c r="K160" s="1493"/>
      <c r="L160" s="1494"/>
      <c r="M160" s="968"/>
      <c r="N160" s="969"/>
      <c r="O160" s="969"/>
      <c r="P160" s="969"/>
      <c r="Q160" s="969"/>
      <c r="R160" s="970"/>
      <c r="S160" s="973"/>
      <c r="T160" s="974"/>
      <c r="V160" s="1483"/>
      <c r="W160" s="1484"/>
    </row>
    <row r="161" spans="1:23" s="386" customFormat="1" ht="13.9" customHeight="1">
      <c r="B161" s="386" t="s">
        <v>289</v>
      </c>
      <c r="J161" s="945">
        <f>'Part III-Sources of Funds'!$H$49-'Part III-Sources of Funds'!H36-'Part III-Sources of Funds'!$H$37-'Part III-Sources of Funds'!$H$40-'Part III-Sources of Funds'!$H$41</f>
        <v>450110</v>
      </c>
      <c r="K161" s="946"/>
      <c r="L161" s="947"/>
      <c r="M161" s="968"/>
      <c r="N161" s="969"/>
      <c r="O161" s="969"/>
      <c r="P161" s="969"/>
      <c r="Q161" s="969"/>
      <c r="R161" s="970"/>
      <c r="S161" s="973"/>
      <c r="T161" s="974"/>
      <c r="V161" s="1483"/>
      <c r="W161" s="1484"/>
    </row>
    <row r="162" spans="1:23" s="386" customFormat="1" ht="13.9" customHeight="1" thickBot="1">
      <c r="B162" s="386" t="s">
        <v>2958</v>
      </c>
      <c r="J162" s="945">
        <f>+J160-J161</f>
        <v>6420602.5</v>
      </c>
      <c r="K162" s="946"/>
      <c r="L162" s="947"/>
      <c r="M162" s="953" t="s">
        <v>3774</v>
      </c>
      <c r="N162" s="954"/>
      <c r="O162" s="981">
        <f>'Part III-Sources of Funds'!H36</f>
        <v>0</v>
      </c>
      <c r="P162" s="981"/>
      <c r="Q162" s="981"/>
      <c r="R162" s="982"/>
      <c r="S162" s="540" t="s">
        <v>2342</v>
      </c>
      <c r="T162" s="1495"/>
      <c r="V162" s="1483"/>
      <c r="W162" s="1484"/>
    </row>
    <row r="163" spans="1:23" s="386" customFormat="1" ht="13.9" customHeight="1">
      <c r="B163" s="386" t="s">
        <v>1720</v>
      </c>
      <c r="J163" s="948" t="str">
        <f>"/ 10"</f>
        <v>/ 10</v>
      </c>
      <c r="K163" s="948"/>
      <c r="L163" s="948"/>
      <c r="M163" s="786"/>
      <c r="N163" s="668"/>
      <c r="O163" s="668"/>
      <c r="P163" s="668"/>
      <c r="Q163" s="668"/>
      <c r="R163" s="668"/>
      <c r="V163" s="1483"/>
      <c r="W163" s="1484"/>
    </row>
    <row r="164" spans="1:23" s="386" customFormat="1" ht="13.9" customHeight="1">
      <c r="B164" s="386" t="s">
        <v>1721</v>
      </c>
      <c r="J164" s="945">
        <f>J162/10</f>
        <v>642060.25</v>
      </c>
      <c r="K164" s="946"/>
      <c r="L164" s="952"/>
      <c r="M164" s="406"/>
      <c r="N164" s="831" t="s">
        <v>1722</v>
      </c>
      <c r="O164" s="831"/>
      <c r="Q164" s="831" t="s">
        <v>2495</v>
      </c>
      <c r="R164" s="831"/>
      <c r="V164" s="1483"/>
      <c r="W164" s="1484"/>
    </row>
    <row r="165" spans="1:23" s="386" customFormat="1" ht="13.9" customHeight="1" thickBot="1">
      <c r="B165" s="386" t="s">
        <v>1936</v>
      </c>
      <c r="J165" s="983">
        <f>N165+Q165</f>
        <v>1.1000000000000001</v>
      </c>
      <c r="K165" s="984"/>
      <c r="L165" s="985"/>
      <c r="M165" s="781" t="s">
        <v>1723</v>
      </c>
      <c r="N165" s="1496">
        <v>0.85</v>
      </c>
      <c r="O165" s="1497"/>
      <c r="P165" s="781" t="s">
        <v>792</v>
      </c>
      <c r="Q165" s="1496">
        <v>0.25</v>
      </c>
      <c r="R165" s="1497"/>
      <c r="V165" s="1483"/>
      <c r="W165" s="1484"/>
    </row>
    <row r="166" spans="1:23" s="386" customFormat="1" ht="13.9" customHeight="1" thickBot="1">
      <c r="B166" s="389" t="s">
        <v>1868</v>
      </c>
      <c r="J166" s="903">
        <f>IF(J165=0,"",J164/J165)</f>
        <v>583691.13636363635</v>
      </c>
      <c r="K166" s="980"/>
      <c r="L166" s="904"/>
      <c r="M166" s="406"/>
      <c r="N166" s="786"/>
      <c r="O166" s="786"/>
      <c r="V166" s="1483"/>
      <c r="W166" s="1484"/>
    </row>
    <row r="167" spans="1:23" s="386" customFormat="1" ht="6" customHeight="1">
      <c r="J167" s="470"/>
      <c r="K167" s="470"/>
      <c r="L167" s="470"/>
      <c r="M167" s="406"/>
      <c r="N167" s="792"/>
      <c r="O167" s="792"/>
      <c r="V167" s="1483"/>
      <c r="W167" s="1484"/>
    </row>
    <row r="168" spans="1:23" s="386" customFormat="1" ht="16.149999999999999" customHeight="1">
      <c r="B168" s="389" t="s">
        <v>381</v>
      </c>
      <c r="J168" s="949">
        <f>+MIN(J155,J166,'DCA Underwriting Assumptions'!$R$6)</f>
        <v>582441.23496000003</v>
      </c>
      <c r="K168" s="950"/>
      <c r="L168" s="951"/>
      <c r="M168" s="406"/>
      <c r="N168" s="792"/>
      <c r="O168" s="792"/>
      <c r="V168" s="1483"/>
      <c r="W168" s="1484"/>
    </row>
    <row r="169" spans="1:23" s="386" customFormat="1" ht="3" customHeight="1">
      <c r="J169" s="470"/>
      <c r="K169" s="470"/>
      <c r="L169" s="470"/>
      <c r="M169" s="406"/>
      <c r="N169" s="792"/>
      <c r="O169" s="792"/>
      <c r="V169" s="1483"/>
      <c r="W169" s="1484"/>
    </row>
    <row r="170" spans="1:23" s="386" customFormat="1" ht="16.149999999999999" customHeight="1">
      <c r="B170" s="389" t="s">
        <v>382</v>
      </c>
      <c r="J170" s="1498">
        <v>582441</v>
      </c>
      <c r="K170" s="1499"/>
      <c r="L170" s="1500"/>
      <c r="M170" s="471" t="str">
        <f>IF(J168=0,"",IF(J170&gt;J168,"ALLOCATION CANNOT EXCEED MAXIMUM - REVISE REQUEST!",""))</f>
        <v/>
      </c>
      <c r="N170" s="792"/>
      <c r="O170" s="792"/>
      <c r="V170" s="1483"/>
      <c r="W170" s="1484"/>
    </row>
    <row r="171" spans="1:23" s="386" customFormat="1" ht="3" customHeight="1">
      <c r="J171" s="470"/>
      <c r="K171" s="470"/>
      <c r="L171" s="470"/>
      <c r="M171" s="406"/>
      <c r="N171" s="792"/>
      <c r="O171" s="792"/>
      <c r="V171" s="1483"/>
      <c r="W171" s="1484"/>
    </row>
    <row r="172" spans="1:23" s="386" customFormat="1" ht="16.149999999999999" customHeight="1">
      <c r="A172" s="567" t="s">
        <v>2488</v>
      </c>
      <c r="B172" s="567" t="s">
        <v>3422</v>
      </c>
      <c r="D172" s="406"/>
      <c r="E172" s="406"/>
      <c r="F172" s="392"/>
      <c r="J172" s="949">
        <f>IF(J170="",0,+MIN(J168,J170))</f>
        <v>582441</v>
      </c>
      <c r="K172" s="950"/>
      <c r="L172" s="951"/>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1" customHeight="1">
      <c r="A176" s="1502" t="s">
        <v>4152</v>
      </c>
      <c r="B176" s="1503"/>
      <c r="C176" s="1503"/>
      <c r="D176" s="1503"/>
      <c r="E176" s="1503"/>
      <c r="F176" s="1503"/>
      <c r="G176" s="1503"/>
      <c r="H176" s="1503"/>
      <c r="I176" s="1503"/>
      <c r="J176" s="1504"/>
      <c r="K176" s="1505"/>
      <c r="L176" s="1503"/>
      <c r="M176" s="1503"/>
      <c r="N176" s="1503"/>
      <c r="O176" s="1503"/>
      <c r="P176" s="1503"/>
      <c r="Q176" s="1503"/>
      <c r="R176" s="1503"/>
      <c r="S176" s="1503"/>
      <c r="T176" s="1504"/>
      <c r="V176" s="881" t="s">
        <v>3598</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2013-036 Davidson Senior Manor, Augusta, Richmond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2953</v>
      </c>
      <c r="F5" s="9" t="s">
        <v>3307</v>
      </c>
      <c r="I5" s="1506" t="s">
        <v>4115</v>
      </c>
      <c r="J5" s="1507"/>
      <c r="K5" s="1507"/>
      <c r="L5" s="1507"/>
      <c r="M5" s="1508"/>
    </row>
    <row r="6" spans="1:20" s="9" customFormat="1" ht="13.15" customHeight="1">
      <c r="A6" s="16"/>
      <c r="F6" s="9" t="s">
        <v>816</v>
      </c>
      <c r="H6" s="31"/>
      <c r="I6" s="1509">
        <v>41153</v>
      </c>
      <c r="J6" s="1510"/>
      <c r="K6" s="73" t="s">
        <v>707</v>
      </c>
      <c r="L6" s="1511" t="s">
        <v>4114</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12" t="s">
        <v>2060</v>
      </c>
      <c r="E10" s="1513"/>
      <c r="F10" s="1514" t="s">
        <v>566</v>
      </c>
      <c r="G10" s="1514"/>
      <c r="H10" s="312"/>
      <c r="I10" s="1515"/>
      <c r="J10" s="1515">
        <v>24</v>
      </c>
      <c r="K10" s="1515">
        <v>30</v>
      </c>
      <c r="L10" s="1515"/>
      <c r="M10" s="1515"/>
    </row>
    <row r="11" spans="1:20" s="9" customFormat="1">
      <c r="B11" s="313" t="s">
        <v>596</v>
      </c>
      <c r="C11" s="314"/>
      <c r="D11" s="313" t="s">
        <v>2060</v>
      </c>
      <c r="E11" s="314"/>
      <c r="F11" s="1516" t="s">
        <v>566</v>
      </c>
      <c r="G11" s="1516"/>
      <c r="H11" s="315"/>
      <c r="I11" s="1517"/>
      <c r="J11" s="1517">
        <v>15</v>
      </c>
      <c r="K11" s="1517">
        <v>19</v>
      </c>
      <c r="L11" s="1518"/>
      <c r="M11" s="1518"/>
    </row>
    <row r="12" spans="1:20" s="9" customFormat="1">
      <c r="B12" s="313" t="s">
        <v>2061</v>
      </c>
      <c r="C12" s="314"/>
      <c r="D12" s="1519" t="s">
        <v>2060</v>
      </c>
      <c r="E12" s="1520"/>
      <c r="F12" s="1516" t="s">
        <v>566</v>
      </c>
      <c r="G12" s="1516"/>
      <c r="H12" s="315"/>
      <c r="I12" s="1517"/>
      <c r="J12" s="1517">
        <v>11</v>
      </c>
      <c r="K12" s="1517">
        <v>13</v>
      </c>
      <c r="L12" s="1518"/>
      <c r="M12" s="1518"/>
    </row>
    <row r="13" spans="1:20" s="9" customFormat="1">
      <c r="B13" s="313" t="s">
        <v>2062</v>
      </c>
      <c r="C13" s="314"/>
      <c r="D13" s="1519" t="s">
        <v>2060</v>
      </c>
      <c r="E13" s="1520"/>
      <c r="F13" s="1516" t="s">
        <v>566</v>
      </c>
      <c r="G13" s="1516"/>
      <c r="H13" s="315"/>
      <c r="I13" s="1517"/>
      <c r="J13" s="1517">
        <v>17</v>
      </c>
      <c r="K13" s="1517">
        <v>24</v>
      </c>
      <c r="L13" s="1518"/>
      <c r="M13" s="1518"/>
    </row>
    <row r="14" spans="1:20" s="9" customFormat="1">
      <c r="B14" s="313" t="s">
        <v>2063</v>
      </c>
      <c r="C14" s="314"/>
      <c r="D14" s="313" t="s">
        <v>2060</v>
      </c>
      <c r="E14" s="316"/>
      <c r="F14" s="1516" t="s">
        <v>566</v>
      </c>
      <c r="G14" s="1516"/>
      <c r="H14" s="315"/>
      <c r="I14" s="1517"/>
      <c r="J14" s="1517">
        <v>31</v>
      </c>
      <c r="K14" s="1517">
        <v>35</v>
      </c>
      <c r="L14" s="1518"/>
      <c r="M14" s="1518"/>
    </row>
    <row r="15" spans="1:20" s="9" customFormat="1">
      <c r="B15" s="313" t="s">
        <v>1805</v>
      </c>
      <c r="C15" s="314"/>
      <c r="D15" s="313" t="s">
        <v>2952</v>
      </c>
      <c r="E15" s="1521"/>
      <c r="F15" s="1516" t="s">
        <v>566</v>
      </c>
      <c r="G15" s="1516"/>
      <c r="H15" s="315"/>
      <c r="I15" s="1517"/>
      <c r="J15" s="1517">
        <v>38</v>
      </c>
      <c r="K15" s="1517">
        <v>57</v>
      </c>
      <c r="L15" s="1518"/>
      <c r="M15" s="1518"/>
    </row>
    <row r="16" spans="1:20" s="9" customFormat="1">
      <c r="B16" s="317" t="s">
        <v>2556</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136</v>
      </c>
      <c r="K17" s="800">
        <f>SUM(K10:K16)</f>
        <v>178</v>
      </c>
      <c r="L17" s="800">
        <f>SUM(L10:L16)</f>
        <v>0</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2952</v>
      </c>
      <c r="E29" s="1521" t="s">
        <v>219</v>
      </c>
      <c r="F29" s="1516"/>
      <c r="G29" s="1516"/>
      <c r="H29" s="315"/>
      <c r="I29" s="1517"/>
      <c r="J29" s="1517"/>
      <c r="K29" s="1517"/>
      <c r="L29" s="1518"/>
      <c r="M29" s="1518"/>
    </row>
    <row r="30" spans="1:19" s="9" customFormat="1">
      <c r="B30" s="317" t="s">
        <v>2556</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c r="C36" s="1526"/>
      <c r="D36" s="1526"/>
      <c r="E36" s="1526"/>
      <c r="F36" s="1526"/>
      <c r="G36" s="1526"/>
      <c r="H36" s="1526"/>
      <c r="I36" s="1526"/>
      <c r="J36" s="1526"/>
      <c r="K36" s="1526"/>
      <c r="L36" s="1526"/>
      <c r="M36" s="1527"/>
      <c r="N36" s="31"/>
      <c r="O36" s="816" t="s">
        <v>3598</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2013-03-06T22:31:20Z</cp:lastPrinted>
  <dcterms:created xsi:type="dcterms:W3CDTF">2005-09-15T20:51:37Z</dcterms:created>
  <dcterms:modified xsi:type="dcterms:W3CDTF">2013-10-15T17:53:15Z</dcterms:modified>
</cp:coreProperties>
</file>