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10" yWindow="45" windowWidth="16170" windowHeight="117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OperRes">'Part IV-Uses of Funds'!$J$36</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orkCapRes">'Part IV-Uses of Funds'!$J$37</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fileRecoveryPr repairLoad="1"/>
</workbook>
</file>

<file path=xl/calcChain.xml><?xml version="1.0" encoding="utf-8"?>
<calcChain xmlns="http://schemas.openxmlformats.org/spreadsheetml/2006/main">
  <c r="K57" i="8"/>
  <c r="B28"/>
  <c r="C28" s="1"/>
  <c r="D28" s="1"/>
  <c r="E28" s="1"/>
  <c r="F28" s="1"/>
  <c r="G28" s="1"/>
  <c r="H28" s="1"/>
  <c r="I28" s="1"/>
  <c r="J28" s="1"/>
  <c r="K28" s="1"/>
  <c r="B57" s="1"/>
  <c r="C57" s="1"/>
  <c r="D57" s="1"/>
  <c r="E57" s="1"/>
  <c r="F57" s="1"/>
  <c r="G57" s="1"/>
  <c r="H57" s="1"/>
  <c r="I57" s="1"/>
  <c r="J57" s="1"/>
  <c r="L21" i="3" l="1"/>
  <c r="L20"/>
  <c r="L156" i="11" l="1"/>
  <c r="O63"/>
  <c r="M214"/>
  <c r="P211" s="1"/>
  <c r="K214"/>
  <c r="O211" s="1"/>
  <c r="P38"/>
  <c r="O38"/>
  <c r="M37" i="3" l="1"/>
  <c r="M35"/>
  <c r="M34"/>
  <c r="M32"/>
  <c r="A113" i="11"/>
  <c r="A105"/>
  <c r="A103"/>
  <c r="A102"/>
  <c r="A95"/>
  <c r="A89"/>
  <c r="U61" i="15"/>
  <c r="A61"/>
  <c r="V39"/>
  <c r="O39"/>
  <c r="E36"/>
  <c r="E35"/>
  <c r="S37"/>
  <c r="P37"/>
  <c r="M37"/>
  <c r="J37"/>
  <c r="G37"/>
  <c r="S32"/>
  <c r="P32"/>
  <c r="M32"/>
  <c r="J32"/>
  <c r="G32"/>
  <c r="B26" i="8" l="1"/>
  <c r="B23"/>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55"/>
  <c r="J55"/>
  <c r="I55"/>
  <c r="H55"/>
  <c r="G55"/>
  <c r="F55"/>
  <c r="E55"/>
  <c r="D55"/>
  <c r="C55"/>
  <c r="B55"/>
  <c r="K54"/>
  <c r="J54"/>
  <c r="I54"/>
  <c r="H54"/>
  <c r="G54"/>
  <c r="F54"/>
  <c r="E54"/>
  <c r="D54"/>
  <c r="C54"/>
  <c r="B54"/>
  <c r="K26"/>
  <c r="J26"/>
  <c r="I26"/>
  <c r="H26"/>
  <c r="G26"/>
  <c r="F26"/>
  <c r="E26"/>
  <c r="D26"/>
  <c r="C26"/>
  <c r="K25"/>
  <c r="J25"/>
  <c r="I25"/>
  <c r="H25"/>
  <c r="G25"/>
  <c r="F25"/>
  <c r="E25"/>
  <c r="D25"/>
  <c r="C25"/>
  <c r="N53" i="6" l="1"/>
  <c r="Q16" i="36"/>
  <c r="Q17"/>
  <c r="Q18"/>
  <c r="Q19"/>
  <c r="Q20"/>
  <c r="Q21"/>
  <c r="Q22"/>
  <c r="Q23"/>
  <c r="Q24"/>
  <c r="Q25"/>
  <c r="Q26"/>
  <c r="Q27"/>
  <c r="Q28"/>
  <c r="Q29"/>
  <c r="Q30"/>
  <c r="Q31"/>
  <c r="Q32"/>
  <c r="Q33"/>
  <c r="Q34"/>
  <c r="Q35"/>
  <c r="Q36"/>
  <c r="Q37"/>
  <c r="Q38"/>
  <c r="Q39"/>
  <c r="Q40"/>
  <c r="Q41"/>
  <c r="Q42"/>
  <c r="Q43"/>
  <c r="Q44"/>
  <c r="Q45"/>
  <c r="Q46"/>
  <c r="Q47"/>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C115" i="15"/>
  <c r="A1" i="36"/>
  <c r="T1" s="1"/>
  <c r="A1" i="7"/>
  <c r="A1" i="8"/>
  <c r="M1" s="1"/>
  <c r="A1" i="18"/>
  <c r="A1" i="6"/>
  <c r="A1" i="3"/>
  <c r="S1" s="1"/>
  <c r="A1" i="11"/>
  <c r="A1" i="15"/>
  <c r="V1" s="1"/>
  <c r="A1" i="42"/>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87" i="8"/>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K58" i="36"/>
  <c r="K60" s="1"/>
  <c r="K62" s="1"/>
  <c r="F51" i="6" s="1"/>
  <c r="I207" i="11"/>
  <c r="O188" s="1"/>
  <c r="L207"/>
  <c r="P188" s="1"/>
  <c r="L66" i="36"/>
  <c r="K66"/>
  <c r="H58"/>
  <c r="H60" s="1"/>
  <c r="H62" s="1"/>
  <c r="F48" i="6" s="1"/>
  <c r="I66" i="36"/>
  <c r="J58"/>
  <c r="J60" s="1"/>
  <c r="J62" s="1"/>
  <c r="F50" i="6" s="1"/>
  <c r="L58" i="36"/>
  <c r="L60" s="1"/>
  <c r="L62" s="1"/>
  <c r="F52" i="6" s="1"/>
  <c r="M65" i="36"/>
  <c r="J66"/>
  <c r="M59"/>
  <c r="I60"/>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2" l="1"/>
  <c r="Q14"/>
  <c r="Q10"/>
  <c r="Q11"/>
  <c r="Q15"/>
  <c r="Q13"/>
  <c r="E40" i="8"/>
  <c r="Q61" i="36"/>
  <c r="Q64"/>
  <c r="Q97"/>
  <c r="Q99"/>
  <c r="Q89"/>
  <c r="Q56"/>
  <c r="Q5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M74" i="36"/>
  <c r="M62"/>
  <c r="R12" i="24"/>
  <c r="R11"/>
  <c r="M96" i="36"/>
  <c r="H98"/>
  <c r="F40" i="8" l="1"/>
  <c r="F77"/>
  <c r="I48"/>
  <c r="J48"/>
  <c r="H19"/>
  <c r="E48"/>
  <c r="I164" i="11"/>
  <c r="J159" i="36"/>
  <c r="J157"/>
  <c r="J158"/>
  <c r="N148"/>
  <c r="F45" i="7"/>
  <c r="F46"/>
  <c r="E42" i="15"/>
  <c r="K164" i="11"/>
  <c r="Q58" i="36"/>
  <c r="N157"/>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Q100"/>
  <c r="G43" i="15"/>
  <c r="G131"/>
  <c r="H40" i="8" l="1"/>
  <c r="I40" s="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J40" l="1"/>
  <c r="P6" i="11"/>
  <c r="P289"/>
  <c r="O6"/>
  <c r="G159" i="15"/>
  <c r="O289" i="11"/>
  <c r="C22" i="8"/>
  <c r="E80"/>
  <c r="J51"/>
  <c r="H22"/>
  <c r="E51"/>
  <c r="C80"/>
  <c r="J80"/>
  <c r="G22"/>
  <c r="B51"/>
  <c r="F51"/>
  <c r="J22"/>
  <c r="C51"/>
  <c r="K51"/>
  <c r="H80"/>
  <c r="I22"/>
  <c r="H51"/>
  <c r="E22"/>
  <c r="K80"/>
  <c r="D22"/>
  <c r="I51"/>
  <c r="F80"/>
  <c r="K22"/>
  <c r="D51"/>
  <c r="I80"/>
  <c r="G80"/>
  <c r="F22"/>
  <c r="G51"/>
  <c r="D80"/>
  <c r="B80"/>
  <c r="K40" l="1"/>
  <c r="B69" l="1"/>
  <c r="C69" l="1"/>
  <c r="D69" l="1"/>
  <c r="E69" l="1"/>
  <c r="F69" l="1"/>
  <c r="G69" l="1"/>
  <c r="H69" l="1"/>
  <c r="I69" l="1"/>
  <c r="J69" l="1"/>
  <c r="K69" l="1"/>
  <c r="B98" l="1"/>
  <c r="B95"/>
  <c r="C98" l="1"/>
  <c r="C95"/>
  <c r="D98" l="1"/>
  <c r="D95"/>
  <c r="E98" l="1"/>
  <c r="E95"/>
  <c r="F98" l="1"/>
  <c r="F95"/>
  <c r="G98" l="1"/>
  <c r="G95"/>
  <c r="H98" l="1"/>
  <c r="H95"/>
  <c r="I98" l="1"/>
  <c r="I95"/>
  <c r="J98" l="1"/>
  <c r="J95"/>
  <c r="K98" l="1"/>
  <c r="K95"/>
  <c r="B30" l="1"/>
  <c r="C23"/>
  <c r="D23"/>
  <c r="D32" s="1"/>
  <c r="E23"/>
  <c r="F23"/>
  <c r="G23"/>
  <c r="H23"/>
  <c r="H30" s="1"/>
  <c r="I23"/>
  <c r="J23"/>
  <c r="K23"/>
  <c r="D30"/>
  <c r="E30"/>
  <c r="B33"/>
  <c r="B52"/>
  <c r="C52"/>
  <c r="D52"/>
  <c r="E52"/>
  <c r="F52"/>
  <c r="G52"/>
  <c r="H52"/>
  <c r="I52"/>
  <c r="J52"/>
  <c r="K52"/>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H49" i="3"/>
  <c r="J161" i="15" s="1"/>
  <c r="J162" s="1"/>
  <c r="J164" s="1"/>
  <c r="J166" s="1"/>
  <c r="J168" s="1"/>
  <c r="H51" i="3" l="1"/>
  <c r="J172" i="15"/>
  <c r="M170"/>
  <c r="J41" i="3" l="1"/>
  <c r="L41" s="1"/>
  <c r="J6" i="7"/>
  <c r="E98" i="15"/>
  <c r="J40" i="3"/>
  <c r="L40" s="1"/>
  <c r="A17" i="11" l="1"/>
</calcChain>
</file>

<file path=xl/sharedStrings.xml><?xml version="1.0" encoding="utf-8"?>
<sst xmlns="http://schemas.openxmlformats.org/spreadsheetml/2006/main" count="8122" uniqueCount="4175">
  <si>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</si>
  <si>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</si>
  <si>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</si>
  <si>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</si>
  <si>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</si>
  <si>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</si>
  <si>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</si>
  <si>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</si>
  <si>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</si>
  <si>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</si>
  <si>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</si>
  <si>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</si>
  <si>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</si>
  <si>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</si>
  <si>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</si>
  <si>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</si>
  <si>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</si>
  <si>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</si>
  <si>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</si>
  <si>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</si>
  <si>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</si>
  <si>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</si>
  <si>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</si>
  <si>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</si>
  <si>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</si>
  <si>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</si>
  <si>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</si>
  <si>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</si>
  <si>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</si>
  <si>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</si>
  <si>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</si>
  <si>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</si>
  <si>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</si>
  <si>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</si>
  <si>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</si>
  <si>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</si>
  <si>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</si>
  <si>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</si>
  <si>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</si>
  <si>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</si>
  <si>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</si>
  <si>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</si>
  <si>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</si>
  <si>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</si>
  <si>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</si>
  <si>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</si>
  <si>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</si>
  <si>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</si>
  <si>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</si>
  <si>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</si>
  <si>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</si>
  <si>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</si>
  <si>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</si>
  <si>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</si>
  <si>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</si>
  <si>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</si>
  <si>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</si>
  <si>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</si>
  <si>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</si>
  <si>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</si>
  <si>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</si>
  <si>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</si>
  <si>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</si>
  <si>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</si>
  <si>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</si>
  <si>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</si>
  <si>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</si>
  <si>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</si>
  <si>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</si>
  <si>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</si>
  <si>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</si>
  <si>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</si>
  <si>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</si>
  <si>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</si>
  <si>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</si>
  <si>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</si>
  <si>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</si>
  <si>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</si>
  <si>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</si>
  <si>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</si>
  <si>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</si>
  <si>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</si>
  <si>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</si>
  <si>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</si>
  <si>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</si>
  <si>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</si>
  <si>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</si>
  <si>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</si>
  <si>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</si>
  <si>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</si>
  <si>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</si>
  <si>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</si>
  <si>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</si>
  <si>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</si>
  <si>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</si>
  <si>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</si>
  <si>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</si>
  <si>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</si>
  <si>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</si>
  <si>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</si>
  <si>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</si>
  <si>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</si>
  <si>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</si>
  <si>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</si>
  <si>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</si>
  <si>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</si>
  <si>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</si>
  <si>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</si>
  <si>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</si>
  <si>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</si>
  <si>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</si>
  <si>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</si>
  <si>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</si>
  <si>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</si>
  <si>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</si>
  <si>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</si>
  <si>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</si>
  <si>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</si>
  <si>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</si>
  <si>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</si>
  <si>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</si>
  <si>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</si>
  <si>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</si>
  <si>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</si>
  <si>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</si>
  <si>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</si>
  <si>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</si>
  <si>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</si>
  <si>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</si>
  <si>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</si>
  <si>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</si>
  <si>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</si>
  <si>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</si>
  <si>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</si>
  <si>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</si>
  <si>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</si>
  <si>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</si>
  <si>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</si>
  <si>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</si>
  <si>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</si>
  <si>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</si>
  <si>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</si>
  <si>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</si>
  <si>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</si>
  <si>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</si>
  <si>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</si>
  <si>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</si>
  <si>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</si>
  <si>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</si>
  <si>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</si>
  <si>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</si>
  <si>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</si>
  <si>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</si>
  <si>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</si>
  <si>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</si>
  <si>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</si>
  <si>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</si>
  <si>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</si>
  <si>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</si>
  <si>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</si>
  <si>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</si>
  <si>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</si>
  <si>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</si>
  <si>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</si>
  <si>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</si>
  <si>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</si>
  <si>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</si>
  <si>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</si>
  <si>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</si>
  <si>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</si>
  <si>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</si>
  <si>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</si>
  <si>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</si>
  <si>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</si>
  <si>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</si>
  <si>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</si>
  <si>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</si>
  <si>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</si>
  <si>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</si>
  <si>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</si>
  <si>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</si>
  <si>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</si>
  <si>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</si>
  <si>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</si>
  <si>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</si>
  <si>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</si>
  <si>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</si>
  <si>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</si>
  <si>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</si>
  <si>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</si>
  <si>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</si>
  <si>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</si>
  <si>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</si>
  <si>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</si>
  <si>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</si>
  <si>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</si>
  <si>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</si>
  <si>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</si>
  <si>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</si>
  <si>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</si>
  <si>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</si>
  <si>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</si>
  <si>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</si>
  <si>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</si>
  <si>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</si>
  <si>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</si>
  <si>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</si>
  <si>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</si>
  <si>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</si>
  <si>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</si>
  <si>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</si>
  <si>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</si>
  <si>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</si>
  <si>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</si>
  <si>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</si>
  <si>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</si>
  <si>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</si>
  <si>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</si>
  <si>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</si>
  <si>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</si>
  <si>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</si>
  <si>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</si>
  <si>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</si>
  <si>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</si>
  <si>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</si>
  <si>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</si>
  <si>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</si>
  <si>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</si>
  <si>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</si>
  <si>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</si>
  <si>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</si>
  <si>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</si>
  <si>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</si>
  <si>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</si>
  <si>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</si>
  <si>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</si>
  <si>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</si>
  <si>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</si>
  <si>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</si>
  <si>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</si>
  <si>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</si>
  <si>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</si>
  <si>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</si>
  <si>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</si>
  <si>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</si>
  <si>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</si>
  <si>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</si>
  <si>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</si>
  <si>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</si>
  <si>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</si>
  <si>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</si>
  <si>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</si>
  <si>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</si>
  <si>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</si>
  <si>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</si>
  <si>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</si>
  <si>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</si>
  <si>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</si>
  <si>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</si>
  <si>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</si>
  <si>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</si>
  <si>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</si>
  <si>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</si>
  <si>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</si>
  <si>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</si>
  <si>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</si>
  <si>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</si>
  <si>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</si>
  <si>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</si>
  <si>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</si>
  <si>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</si>
  <si>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</si>
  <si>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</si>
  <si>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</si>
  <si>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</si>
  <si>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</si>
  <si>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</si>
  <si>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</si>
  <si>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</si>
  <si>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</si>
  <si>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</si>
  <si>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</si>
  <si>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</si>
  <si>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</si>
  <si>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</si>
  <si>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</si>
  <si>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</si>
  <si>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</si>
  <si>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</si>
  <si>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</si>
  <si>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</si>
  <si>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</si>
  <si>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</si>
  <si>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</si>
  <si>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</si>
  <si>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</si>
  <si>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</si>
  <si>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</si>
  <si>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</si>
  <si>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</si>
  <si>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</si>
  <si>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</si>
  <si>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</si>
  <si>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</si>
  <si>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</si>
  <si>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</si>
  <si>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</si>
  <si>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</si>
  <si>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</si>
  <si>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</si>
  <si>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</si>
  <si>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</si>
  <si>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</si>
  <si>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</si>
  <si>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</si>
  <si>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</si>
  <si>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</si>
  <si>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</si>
  <si>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</si>
  <si>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</si>
  <si>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</si>
  <si>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</si>
  <si>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</si>
  <si>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</si>
  <si>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</si>
  <si>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</si>
  <si>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</si>
  <si>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</si>
  <si>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</si>
  <si>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</si>
  <si>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</si>
  <si>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</si>
  <si>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</si>
  <si>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</si>
  <si>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</si>
  <si>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</si>
  <si>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</si>
  <si>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</si>
  <si>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</si>
  <si>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</si>
  <si>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</si>
  <si>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</si>
  <si>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</si>
  <si>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</si>
  <si>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</si>
  <si>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</si>
  <si>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</si>
  <si>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</si>
  <si>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</si>
  <si>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</si>
  <si>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</si>
  <si>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</si>
  <si>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</si>
  <si>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</si>
  <si>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</si>
  <si>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</si>
  <si>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</si>
  <si>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</si>
  <si>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</si>
  <si>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</si>
  <si>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</si>
  <si>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</si>
  <si>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</si>
  <si>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</si>
  <si>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</si>
  <si>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</si>
  <si>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</si>
  <si>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</si>
  <si>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</si>
  <si>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</si>
  <si>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</si>
  <si>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</si>
  <si>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</si>
  <si>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</si>
  <si>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</si>
  <si>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</si>
  <si>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</si>
  <si>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</si>
  <si>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</si>
  <si>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</si>
  <si>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</si>
  <si>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</si>
  <si>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</si>
  <si>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</si>
  <si>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</si>
  <si>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</si>
  <si>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</si>
  <si>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</si>
  <si>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</si>
  <si>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</si>
  <si>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</si>
  <si>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</si>
  <si>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</si>
  <si>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</si>
  <si>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</si>
  <si>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</si>
  <si>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</si>
  <si>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</si>
  <si>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</si>
  <si>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</si>
  <si>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</si>
  <si>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</si>
  <si>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</si>
  <si>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</si>
  <si>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</si>
  <si>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</si>
  <si>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</si>
  <si>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</si>
  <si>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</si>
  <si>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</si>
  <si>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</si>
  <si>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</si>
  <si>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</si>
  <si>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</si>
  <si>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</si>
  <si>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</si>
  <si>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</si>
  <si>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</si>
  <si>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</si>
  <si>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</si>
  <si>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</si>
  <si>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</si>
  <si>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</si>
  <si>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</si>
  <si>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</si>
  <si>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</si>
  <si>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</si>
  <si>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</si>
  <si>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</si>
  <si>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</si>
  <si>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</si>
  <si>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</si>
  <si>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</si>
  <si>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</si>
  <si>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</si>
  <si>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</si>
  <si>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</si>
  <si>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</si>
  <si>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</si>
  <si>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</si>
  <si>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</si>
  <si>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</si>
  <si>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</si>
  <si>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</si>
  <si>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</si>
  <si>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</si>
  <si>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</si>
  <si>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</si>
  <si>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</si>
  <si>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</si>
  <si>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</si>
  <si>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</si>
  <si>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</si>
  <si>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</si>
  <si>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</si>
  <si>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</si>
  <si>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</si>
  <si>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</si>
  <si>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</si>
  <si>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</si>
  <si>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</si>
  <si>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</si>
  <si>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</si>
  <si>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</si>
  <si>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</si>
  <si>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</si>
  <si>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</si>
  <si>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</si>
  <si>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</si>
  <si>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</si>
  <si>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</si>
  <si>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</si>
  <si>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</si>
  <si>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</si>
  <si>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</si>
  <si>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</si>
  <si>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</si>
  <si>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</si>
  <si>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</si>
  <si>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</si>
  <si>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</si>
  <si>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</si>
  <si>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</si>
  <si>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</si>
  <si>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</si>
  <si>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</si>
  <si>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</si>
  <si>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</si>
  <si>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</si>
  <si>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</si>
  <si>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</si>
  <si>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</si>
  <si>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</si>
  <si>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</si>
  <si>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</si>
  <si>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</si>
  <si>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</si>
  <si>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</si>
  <si>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</si>
  <si>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</si>
  <si>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</si>
  <si>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</si>
  <si>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</si>
  <si>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</si>
  <si>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</si>
  <si>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</si>
  <si>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</si>
  <si>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</si>
  <si>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</si>
  <si>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</si>
  <si>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</si>
  <si>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</si>
  <si>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</si>
  <si>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</si>
  <si>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</si>
  <si>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</si>
  <si>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</si>
  <si>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</si>
  <si>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</si>
  <si>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</si>
  <si>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</si>
  <si>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</si>
  <si>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</si>
  <si>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</si>
  <si>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</si>
  <si>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</si>
  <si>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</si>
  <si>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</si>
  <si>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</si>
  <si>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</si>
  <si>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</si>
  <si>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</si>
  <si>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</si>
  <si>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</si>
  <si>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</si>
  <si>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</si>
  <si>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</si>
  <si>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</si>
  <si>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</si>
  <si>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</si>
  <si>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</si>
  <si>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</si>
  <si>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</si>
  <si>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</si>
  <si>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</si>
  <si>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</si>
  <si>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</si>
  <si>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</si>
  <si>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</si>
  <si>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</si>
  <si>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</si>
  <si>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</si>
  <si>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</si>
  <si>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</si>
  <si>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</si>
  <si>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</si>
  <si>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</si>
  <si>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</si>
  <si>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</si>
  <si>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</si>
  <si>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</si>
  <si>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</si>
  <si>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</si>
  <si>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</si>
  <si>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</si>
  <si>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</si>
  <si>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</si>
  <si>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</si>
  <si>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</si>
  <si>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</si>
  <si>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</si>
  <si>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</si>
  <si>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</si>
  <si>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</si>
  <si>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</si>
  <si>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</si>
  <si>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</si>
  <si>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</si>
  <si>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</si>
  <si>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</si>
  <si>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</si>
  <si>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</si>
  <si>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</si>
  <si>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</si>
  <si>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</si>
  <si>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</si>
  <si>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</si>
  <si>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</si>
  <si>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</si>
  <si>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</si>
  <si>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</si>
  <si>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</si>
  <si>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</si>
  <si>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</si>
  <si>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</si>
  <si>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</si>
  <si>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</si>
  <si>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</si>
  <si>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</si>
  <si>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</si>
  <si>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</si>
  <si>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</si>
  <si>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</si>
  <si>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</si>
  <si>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</si>
  <si>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</si>
  <si>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</si>
  <si>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</si>
  <si>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</si>
  <si>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</si>
  <si>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</si>
  <si>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</si>
  <si>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</si>
  <si>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</si>
  <si>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</si>
  <si>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</si>
  <si>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</si>
  <si>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</si>
  <si>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</si>
  <si>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</si>
  <si>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</si>
  <si>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</si>
  <si>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</si>
  <si>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</si>
  <si>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</si>
  <si>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</si>
  <si>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</si>
  <si>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</si>
  <si>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</si>
  <si>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</si>
  <si>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</si>
  <si>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</si>
  <si>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</si>
  <si>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</si>
  <si>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</si>
  <si>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</si>
  <si>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</si>
  <si>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</si>
  <si>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</si>
  <si>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</si>
  <si>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</si>
  <si>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</si>
  <si>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</si>
  <si>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</si>
  <si>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</si>
  <si>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</si>
  <si>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</si>
  <si>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</si>
  <si>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</si>
  <si>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</si>
  <si>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</si>
  <si>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</si>
  <si>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</si>
  <si>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</si>
  <si>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</si>
  <si>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</si>
  <si>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</si>
  <si>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</si>
  <si>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</si>
  <si>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</si>
  <si>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</si>
  <si>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</si>
  <si>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</si>
  <si>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</si>
  <si>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</si>
  <si>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</si>
  <si>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</si>
  <si>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</si>
  <si>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</si>
  <si>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</si>
  <si>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</si>
  <si>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</si>
  <si>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</si>
  <si>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</si>
  <si>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</si>
  <si>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</si>
  <si>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</si>
  <si>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</si>
  <si>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</si>
  <si>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</si>
  <si>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</si>
  <si>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</si>
  <si>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</si>
  <si>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</si>
  <si>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</si>
  <si>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</si>
  <si>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</si>
  <si>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</si>
  <si>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</si>
  <si>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</si>
  <si>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</si>
  <si>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</si>
  <si>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</si>
  <si>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</si>
  <si>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</si>
  <si>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</si>
  <si>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</si>
  <si>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</si>
  <si>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</si>
  <si>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</si>
  <si>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</si>
  <si>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</si>
  <si>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</si>
  <si>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</si>
  <si>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</si>
  <si>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</si>
  <si>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</si>
  <si>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</si>
  <si>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</si>
  <si>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</si>
  <si>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</si>
  <si>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</si>
  <si>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</si>
  <si>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</si>
  <si>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</si>
  <si>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</si>
  <si>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</si>
  <si>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</si>
  <si>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</si>
  <si>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</si>
  <si>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</si>
  <si>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</si>
  <si>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</si>
  <si>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</si>
  <si>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</si>
  <si>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</si>
  <si>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</si>
  <si>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</si>
  <si>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</si>
  <si>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</si>
  <si>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</si>
  <si>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</si>
  <si>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</si>
  <si>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</si>
  <si>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</si>
  <si>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</si>
  <si>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</si>
  <si>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</si>
  <si>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</si>
  <si>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</si>
  <si>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</si>
  <si>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</si>
  <si>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</si>
  <si>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</si>
  <si>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</si>
  <si>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</si>
  <si>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</si>
  <si>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</si>
  <si>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</si>
  <si>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</si>
  <si>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</si>
  <si>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</si>
  <si>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</si>
  <si>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</si>
  <si>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</si>
  <si>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</si>
  <si>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</si>
  <si>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</si>
  <si>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</si>
  <si>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</si>
  <si>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</si>
  <si>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</si>
  <si>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</si>
  <si>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</si>
  <si>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</si>
  <si>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</si>
  <si>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</si>
  <si>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</si>
  <si>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</si>
  <si>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</si>
  <si>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</si>
  <si>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</si>
  <si>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</si>
  <si>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</si>
  <si>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</si>
  <si>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</si>
  <si>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</si>
  <si>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</si>
  <si>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</si>
  <si>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</si>
  <si>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</si>
  <si>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</si>
  <si>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</si>
  <si>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</si>
  <si>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</si>
  <si>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</si>
  <si>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</si>
  <si>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</si>
  <si>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</si>
  <si>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</si>
  <si>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</si>
  <si>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</si>
  <si>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</si>
  <si>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</si>
  <si>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</si>
  <si>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</si>
  <si>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</si>
  <si>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</si>
  <si>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</si>
  <si>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</si>
  <si>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</si>
  <si>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</si>
  <si>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</si>
  <si>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</si>
  <si>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</si>
  <si>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</si>
  <si>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</si>
  <si>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</si>
  <si>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</si>
  <si>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</si>
  <si>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</si>
  <si>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</si>
  <si>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</si>
  <si>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</si>
  <si>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</si>
  <si>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</si>
  <si>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</si>
  <si>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</si>
  <si>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</si>
  <si>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</si>
  <si>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</si>
  <si>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</si>
  <si>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</si>
  <si>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</si>
  <si>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</si>
  <si>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</si>
  <si>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</si>
  <si>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</si>
  <si>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</si>
  <si>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</si>
  <si>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</si>
  <si>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</si>
  <si>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</si>
  <si>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</si>
  <si>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</si>
  <si>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</si>
  <si>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</si>
  <si>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</si>
  <si>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</si>
  <si>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</si>
  <si>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</si>
  <si>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</si>
  <si>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</si>
  <si>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</si>
  <si>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</si>
  <si>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</si>
  <si>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</si>
  <si>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</si>
  <si>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</si>
  <si>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</si>
  <si>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</si>
  <si>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</si>
  <si>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</si>
  <si>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</si>
  <si>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</si>
  <si>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</si>
  <si>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</si>
  <si>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</si>
  <si>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</si>
  <si>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</si>
  <si>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</si>
  <si>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</si>
  <si>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</si>
  <si>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</si>
  <si>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</si>
  <si>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</si>
  <si>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</si>
  <si>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</si>
  <si>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</si>
  <si>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</si>
  <si>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</si>
  <si>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</si>
  <si>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</si>
  <si>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</si>
  <si>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</si>
  <si>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</si>
  <si>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</si>
  <si>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</si>
  <si>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</si>
  <si>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</si>
  <si>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</si>
  <si>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</si>
  <si>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</si>
  <si>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</si>
  <si>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</si>
  <si>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</si>
  <si>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</si>
  <si>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</si>
  <si>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</si>
  <si>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</si>
  <si>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</si>
  <si>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</si>
  <si>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</si>
  <si>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</si>
  <si>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</si>
  <si>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</si>
  <si>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</si>
  <si>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</si>
  <si>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</si>
  <si>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</si>
  <si>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</si>
  <si>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</si>
  <si>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</si>
  <si>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</si>
  <si>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</si>
  <si>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</si>
  <si>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</si>
  <si>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</si>
  <si>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</si>
  <si>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</si>
  <si>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</si>
  <si>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</si>
  <si>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</si>
  <si>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</si>
  <si>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</si>
  <si>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</si>
  <si>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</si>
  <si>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</si>
  <si>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</si>
  <si>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</si>
  <si>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</si>
  <si>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</si>
  <si>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</si>
  <si>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</si>
  <si>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</si>
  <si>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</si>
  <si>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</si>
  <si>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</si>
  <si>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</si>
  <si>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</si>
  <si>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</si>
  <si>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</si>
  <si>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</si>
  <si>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</si>
  <si>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</si>
  <si>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</si>
  <si>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</si>
  <si>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</si>
  <si>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</si>
  <si>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</si>
  <si>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</si>
  <si>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</si>
  <si>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</si>
  <si>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</si>
  <si>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</si>
  <si>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</si>
  <si>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</si>
  <si>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</si>
  <si>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</si>
  <si>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</si>
  <si>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</si>
  <si>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</si>
  <si>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</si>
  <si>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</si>
  <si>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</si>
  <si>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</si>
  <si>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</si>
  <si>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</si>
  <si>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</si>
  <si>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</si>
  <si>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</si>
  <si>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</si>
  <si>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</si>
  <si>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</si>
  <si>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</si>
  <si>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</si>
  <si>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</si>
  <si>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</si>
  <si>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</si>
  <si>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</si>
  <si>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</si>
  <si>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</si>
  <si>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</si>
  <si>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</si>
  <si>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</si>
  <si>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</si>
  <si>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</si>
  <si>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</si>
  <si>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</si>
  <si>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</si>
  <si>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</si>
  <si>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</si>
  <si>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</si>
  <si>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</si>
  <si>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</si>
  <si>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</si>
  <si>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</si>
  <si>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</si>
  <si>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</si>
  <si>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</si>
  <si>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</si>
  <si>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</si>
  <si>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</si>
  <si>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</si>
  <si>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</si>
  <si>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</si>
  <si>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</si>
  <si>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</si>
  <si>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</si>
  <si>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</si>
  <si>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</si>
  <si>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</si>
  <si>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</si>
  <si>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</si>
  <si>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</si>
  <si>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</si>
  <si>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</si>
  <si>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</si>
  <si>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</si>
  <si>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</si>
  <si>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</si>
  <si>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</si>
  <si>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</si>
  <si>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</si>
  <si>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</si>
  <si>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</si>
  <si>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</si>
  <si>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</si>
  <si>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</si>
  <si>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</si>
  <si>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</si>
  <si>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</si>
  <si>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</si>
  <si>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</si>
  <si>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</si>
  <si>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</si>
  <si>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</si>
  <si>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</si>
  <si>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</si>
  <si>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</si>
  <si>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</si>
  <si>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</si>
  <si>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</si>
  <si>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</si>
  <si>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</si>
  <si>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</si>
  <si>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</si>
  <si>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</si>
  <si>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</si>
  <si>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</si>
  <si>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</si>
  <si>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</si>
  <si>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</si>
  <si>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</si>
  <si>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</si>
  <si>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</si>
  <si>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</si>
  <si>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</si>
  <si>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</si>
  <si>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</si>
  <si>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</si>
  <si>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</si>
  <si>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</si>
  <si>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</si>
  <si>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</si>
  <si>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</si>
  <si>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</si>
  <si>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</si>
  <si>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</si>
  <si>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</si>
  <si>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</si>
  <si>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</si>
  <si>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</si>
  <si>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</si>
  <si>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</si>
  <si>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</si>
  <si>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</si>
  <si>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</si>
  <si>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</si>
  <si>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</si>
  <si>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</si>
  <si>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</si>
  <si>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</si>
  <si>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</si>
  <si>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</si>
  <si>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</si>
  <si>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</si>
  <si>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</si>
  <si>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</si>
  <si>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</si>
  <si>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</si>
  <si>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</si>
  <si>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</si>
  <si>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</si>
  <si>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</si>
  <si>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</si>
  <si>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</si>
  <si>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</si>
  <si>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</si>
  <si>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</si>
  <si>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</si>
  <si>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</si>
  <si>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</si>
  <si>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</si>
  <si>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</si>
  <si>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</si>
  <si>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</si>
  <si>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</si>
  <si>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</si>
  <si>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</si>
  <si>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</si>
  <si>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</si>
  <si>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</si>
  <si>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</si>
  <si>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</si>
  <si>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</si>
  <si>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</si>
  <si>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</si>
  <si>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</si>
  <si>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</si>
  <si>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</si>
  <si>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</si>
  <si>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</si>
  <si>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</si>
  <si>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</si>
  <si>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</si>
  <si>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</si>
  <si>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</si>
  <si>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</si>
  <si>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</si>
  <si>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</si>
  <si>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</si>
  <si>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</si>
  <si>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</si>
  <si>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</si>
  <si>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</si>
  <si>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</si>
  <si>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</si>
  <si>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</si>
  <si>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</si>
  <si>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</si>
  <si>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</si>
  <si>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</si>
  <si>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</si>
  <si>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</si>
  <si>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</si>
  <si>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</si>
  <si>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</si>
  <si>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</si>
  <si>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</si>
  <si>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</si>
  <si>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</si>
  <si>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</si>
  <si>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</si>
  <si>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</si>
  <si>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</si>
  <si>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</si>
  <si>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</si>
  <si>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</si>
  <si>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</si>
  <si>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</si>
  <si>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</si>
  <si>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</si>
  <si>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</si>
  <si>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</si>
  <si>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</si>
  <si>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</si>
  <si>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</si>
  <si>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</si>
  <si>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</si>
  <si>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</si>
  <si>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</si>
  <si>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</si>
  <si>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</si>
  <si>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</si>
  <si>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</si>
  <si>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</si>
  <si>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</si>
  <si>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</si>
  <si>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</si>
  <si>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</si>
  <si>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</si>
  <si>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</si>
  <si>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</si>
  <si>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</si>
  <si>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</si>
  <si>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</si>
  <si>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</si>
  <si>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</si>
  <si>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</si>
  <si>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</si>
  <si>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</si>
  <si>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</si>
  <si>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</si>
  <si>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</si>
  <si>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</si>
  <si>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</si>
  <si>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</si>
  <si>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</si>
  <si>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</si>
  <si>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</si>
  <si>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</si>
  <si>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</si>
  <si>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</si>
  <si>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</si>
  <si>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</si>
  <si>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</si>
  <si>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</si>
  <si>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</si>
  <si>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</si>
  <si>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</si>
  <si>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</si>
  <si>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</si>
  <si>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</si>
  <si>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</si>
  <si>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</si>
  <si>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</si>
  <si>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</si>
  <si>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</si>
  <si>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</si>
  <si>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</si>
  <si>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</si>
  <si>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</si>
  <si>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</si>
  <si>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</si>
  <si>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</si>
  <si>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</si>
  <si>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</si>
  <si>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</si>
  <si>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</si>
  <si>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</si>
  <si>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</si>
  <si>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</si>
  <si>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</si>
  <si>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</si>
  <si>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</si>
  <si>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</si>
  <si>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</si>
  <si>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</si>
  <si>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</si>
  <si>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</si>
  <si>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</si>
  <si>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</si>
  <si>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</si>
  <si>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</si>
  <si>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</si>
  <si>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</si>
  <si>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</si>
  <si>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</si>
  <si>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</si>
  <si>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</si>
  <si>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</si>
  <si>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</si>
  <si>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</si>
  <si>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</si>
  <si>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</si>
  <si>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</si>
  <si>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</si>
  <si>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</si>
  <si>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</si>
  <si>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</si>
  <si>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</si>
  <si>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</si>
  <si>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</si>
  <si>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</si>
  <si>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</si>
  <si>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</si>
  <si>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</si>
  <si>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</si>
  <si>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</si>
  <si>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</si>
  <si>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</si>
  <si>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</si>
  <si>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</si>
  <si>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</si>
  <si>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</si>
  <si>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</si>
  <si>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</si>
  <si>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</si>
  <si>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</si>
  <si>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</si>
  <si>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</si>
  <si>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</si>
  <si>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</si>
  <si>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</si>
  <si>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</si>
  <si>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</si>
  <si>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</si>
  <si>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</si>
  <si>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</si>
  <si>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</si>
  <si>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</si>
  <si>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</si>
  <si>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</si>
  <si>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</si>
  <si>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</si>
  <si>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</si>
  <si>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</si>
  <si>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</si>
  <si>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</si>
  <si>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</si>
  <si>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</si>
  <si>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</si>
  <si>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</si>
  <si>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</si>
  <si>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</si>
  <si>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</si>
  <si>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</si>
  <si>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</si>
  <si>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</si>
  <si>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</si>
  <si>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</si>
  <si>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</si>
  <si>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</si>
  <si>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</si>
  <si>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</si>
  <si>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</si>
  <si>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</si>
  <si>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</si>
  <si>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</si>
  <si>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</si>
  <si>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</si>
  <si>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</si>
  <si>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</si>
  <si>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</si>
  <si>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</si>
  <si>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</si>
  <si>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</si>
  <si>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</si>
  <si>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</si>
  <si>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</si>
  <si>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</si>
  <si>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</si>
  <si>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</si>
  <si>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</si>
  <si>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</si>
  <si>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</si>
  <si>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</si>
  <si>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</si>
  <si>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</si>
  <si>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</si>
  <si>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</si>
  <si>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</si>
  <si>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</si>
  <si>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</si>
  <si>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</si>
  <si>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</si>
  <si>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</si>
  <si>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</si>
  <si>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</si>
  <si>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</si>
  <si>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</si>
  <si>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</si>
  <si>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</si>
  <si>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</si>
  <si>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</si>
  <si>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</si>
  <si>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</si>
  <si>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</si>
  <si>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</si>
  <si>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</si>
  <si>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</si>
  <si>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</si>
  <si>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</si>
  <si>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</si>
  <si>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</si>
  <si>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</si>
  <si>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</si>
  <si>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</si>
  <si>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</si>
  <si>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</si>
  <si>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</si>
  <si>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</si>
  <si>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</si>
  <si>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</si>
  <si>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</si>
  <si>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</si>
  <si>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</si>
  <si>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</si>
  <si>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</si>
  <si>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</si>
  <si>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</si>
  <si>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</si>
  <si>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</si>
  <si>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</si>
  <si>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</si>
  <si>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</si>
  <si>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</si>
  <si>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</si>
  <si>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</si>
  <si>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</si>
  <si>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</si>
  <si>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</si>
  <si>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</si>
  <si>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</si>
  <si>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</si>
  <si>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</si>
  <si>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</si>
  <si>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</si>
  <si>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</si>
  <si>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</si>
  <si>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</si>
  <si>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</si>
  <si>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</si>
  <si>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</si>
  <si>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</si>
  <si>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</si>
  <si>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</si>
  <si>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</si>
  <si>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</si>
  <si>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</si>
  <si>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</si>
  <si>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</si>
  <si>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</si>
  <si>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</si>
  <si>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</si>
  <si>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</si>
  <si>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</si>
  <si>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</si>
  <si>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</si>
  <si>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</si>
  <si>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</si>
  <si>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</si>
  <si>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</si>
  <si>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</si>
  <si>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</si>
  <si>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</si>
  <si>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</si>
  <si>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</si>
  <si>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</si>
  <si>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</si>
  <si>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</si>
  <si>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</si>
  <si>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</si>
  <si>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</si>
  <si>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</si>
  <si>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</si>
  <si>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</si>
  <si>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</si>
  <si>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</si>
  <si>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</si>
  <si>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</si>
  <si>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</si>
  <si>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</si>
  <si>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</si>
  <si>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</si>
  <si>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</si>
  <si>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</si>
  <si>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</si>
  <si>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</si>
  <si>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</si>
  <si>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</si>
  <si>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</si>
  <si>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</si>
  <si>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</si>
  <si>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</si>
  <si>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</si>
  <si>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</si>
  <si>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</si>
  <si>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</si>
  <si>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</si>
  <si>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</si>
  <si>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</si>
  <si>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</si>
  <si>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</si>
  <si>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</si>
  <si>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</si>
  <si>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</si>
  <si>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</si>
  <si>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</si>
  <si>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</si>
  <si>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</si>
  <si>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</si>
  <si>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</si>
  <si>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</si>
  <si>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</si>
  <si>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</si>
  <si>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</si>
  <si>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</si>
  <si>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</si>
  <si>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</si>
  <si>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</si>
  <si>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</si>
  <si>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</si>
  <si>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</si>
  <si>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</si>
  <si>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</si>
  <si>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</si>
  <si>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</si>
  <si>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</si>
  <si>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</si>
  <si>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</si>
  <si>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</si>
  <si>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</si>
  <si>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</si>
  <si>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</si>
  <si>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</si>
  <si>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</si>
  <si>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</si>
  <si>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</si>
  <si>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</si>
  <si>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</si>
  <si>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</si>
  <si>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</si>
  <si>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</si>
  <si>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</si>
  <si>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</si>
  <si>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</si>
  <si>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</si>
  <si>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</si>
  <si>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</si>
  <si>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</si>
  <si>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</si>
  <si>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</si>
  <si>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</si>
  <si>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</si>
  <si>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</si>
  <si>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</si>
  <si>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</si>
  <si>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</si>
  <si>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</si>
  <si>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</si>
  <si>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</si>
  <si>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</si>
  <si>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</si>
  <si>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</si>
  <si>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</si>
  <si>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</si>
  <si>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</si>
  <si>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</si>
  <si>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</si>
  <si>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</si>
  <si>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</si>
  <si>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</si>
  <si>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</si>
  <si>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</si>
  <si>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</si>
  <si>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</si>
  <si>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</si>
  <si>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</si>
  <si>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</si>
  <si>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</si>
  <si>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</si>
  <si>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</si>
  <si>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</si>
  <si>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</si>
  <si>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</si>
  <si>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</si>
  <si>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</si>
  <si>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</si>
  <si>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</si>
  <si>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</si>
  <si>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</si>
  <si>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</si>
  <si>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</si>
  <si>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</si>
  <si>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</si>
  <si>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</si>
  <si>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</si>
  <si>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</si>
  <si>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</si>
  <si>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</si>
  <si>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</si>
  <si>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</si>
  <si>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</si>
  <si>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</si>
  <si>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</si>
  <si>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</si>
  <si>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</si>
  <si>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</si>
  <si>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</si>
  <si>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</si>
  <si>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</si>
  <si>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</si>
  <si>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</si>
  <si>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</si>
  <si>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</si>
  <si>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</si>
  <si>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</si>
  <si>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</si>
  <si>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</si>
  <si>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</si>
  <si>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</si>
  <si>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</si>
  <si>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</si>
  <si>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</si>
  <si>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</si>
  <si>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</si>
  <si>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</si>
  <si>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</si>
  <si>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</si>
  <si>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</si>
  <si>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</si>
  <si>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</si>
  <si>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</si>
  <si>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</si>
  <si>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</si>
  <si>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</si>
  <si>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</si>
  <si>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</si>
  <si>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</si>
  <si>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</si>
  <si>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</si>
  <si>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</si>
  <si>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</si>
  <si>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</si>
  <si>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</si>
  <si>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</si>
  <si>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</si>
  <si>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</si>
  <si>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</si>
  <si>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</si>
  <si>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</si>
  <si>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</si>
  <si>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</si>
  <si>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</si>
  <si>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</si>
  <si>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</si>
  <si>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</si>
  <si>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</si>
  <si>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</si>
  <si>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</si>
  <si>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</si>
  <si>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</si>
  <si>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</si>
  <si>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</si>
  <si>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</si>
  <si>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</si>
  <si>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</si>
  <si>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</si>
  <si>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</si>
  <si>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</si>
  <si>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</si>
  <si>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</si>
  <si>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</si>
  <si>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</si>
  <si>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</si>
  <si>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</si>
  <si>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</si>
  <si>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</si>
  <si>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</si>
  <si>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</si>
  <si>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</si>
  <si>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</si>
  <si>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</si>
  <si>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</si>
  <si>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</si>
  <si>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</si>
  <si>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</si>
  <si>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</si>
  <si>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</si>
  <si>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</si>
  <si>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</si>
  <si>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</si>
  <si>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</si>
  <si>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</si>
  <si>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</si>
  <si>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</si>
  <si>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</si>
  <si>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</si>
  <si>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</si>
  <si>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</si>
  <si>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</si>
  <si>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</si>
  <si>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</si>
  <si>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</si>
  <si>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</si>
  <si>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</si>
  <si>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</si>
  <si>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</si>
  <si>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</si>
  <si>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</si>
  <si>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</si>
  <si>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</si>
  <si>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</si>
  <si>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</si>
  <si>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</si>
  <si>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</si>
  <si>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</si>
  <si>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</si>
  <si>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</si>
  <si>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</si>
  <si>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</si>
  <si>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</si>
  <si>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</si>
  <si>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</si>
  <si>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</si>
  <si>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</si>
  <si>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</si>
  <si>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</si>
  <si>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</si>
  <si>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</si>
  <si>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</si>
  <si>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</si>
  <si>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</si>
  <si>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</si>
  <si>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</si>
  <si>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</si>
  <si>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</si>
  <si>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</si>
  <si>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</si>
  <si>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</si>
  <si>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</si>
  <si>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</si>
  <si>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</si>
  <si>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</si>
  <si>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</si>
  <si>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</si>
  <si>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</si>
  <si>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</si>
  <si>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</si>
  <si>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</si>
  <si>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</si>
  <si>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</si>
  <si>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</si>
  <si>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</si>
  <si>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</si>
  <si>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</si>
  <si>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</si>
  <si>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</si>
  <si>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</si>
  <si>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</si>
  <si>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</si>
  <si>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</si>
  <si>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</si>
  <si>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</si>
  <si>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</si>
  <si>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</si>
  <si>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</si>
  <si>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</si>
  <si>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</si>
  <si>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</si>
  <si>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</si>
  <si>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</si>
  <si>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</si>
  <si>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</si>
  <si>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</si>
  <si>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</si>
  <si>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</si>
  <si>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</si>
  <si>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</si>
  <si>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</si>
  <si>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</si>
  <si>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</si>
  <si>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</si>
  <si>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</si>
  <si>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</si>
  <si>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</si>
  <si>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</si>
  <si>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</si>
  <si>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</si>
  <si>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</si>
  <si>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</si>
  <si>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</si>
  <si>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</si>
  <si>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</si>
  <si>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</si>
  <si>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</si>
  <si>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</si>
  <si>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</si>
  <si>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</si>
  <si>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</si>
  <si>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</si>
  <si>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</si>
  <si>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</si>
  <si>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</si>
  <si>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</si>
  <si>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</si>
  <si>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</si>
  <si>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</si>
  <si>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</si>
  <si>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</si>
  <si>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</si>
  <si>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</si>
  <si>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</si>
  <si>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</si>
  <si>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</si>
  <si>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</si>
  <si>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</si>
  <si>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</si>
  <si>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</si>
  <si>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</si>
  <si>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</si>
  <si>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</si>
  <si>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</si>
  <si>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</si>
  <si>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</si>
  <si>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</si>
  <si>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</si>
  <si>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</si>
  <si>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</si>
  <si>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</si>
  <si>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</si>
  <si>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</si>
  <si>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</si>
  <si>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</si>
  <si>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</si>
  <si>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</si>
  <si>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</si>
  <si>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</si>
  <si>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</si>
  <si>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</si>
  <si>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</si>
  <si>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</si>
  <si>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</si>
  <si>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</si>
  <si>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</si>
  <si>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</si>
  <si>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</si>
  <si>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</si>
  <si>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</si>
  <si>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</si>
  <si>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</si>
  <si>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</si>
  <si>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</si>
  <si>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</si>
  <si>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</si>
  <si>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</si>
  <si>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</si>
  <si>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</si>
  <si>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</si>
  <si>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</si>
  <si>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</si>
  <si>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</si>
  <si>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</si>
  <si>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</si>
  <si>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</si>
  <si>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</si>
  <si>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</si>
  <si>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</si>
  <si>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</si>
  <si>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</si>
  <si>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</si>
  <si>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</si>
  <si>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</si>
  <si>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</si>
  <si>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</si>
  <si>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</si>
  <si>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</si>
  <si>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</si>
  <si>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</si>
  <si>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</si>
  <si>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</si>
  <si>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</si>
  <si>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</si>
  <si>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</si>
  <si>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</si>
  <si>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</si>
  <si>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</si>
  <si>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</si>
  <si>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</si>
  <si>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</si>
  <si>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</si>
  <si>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</si>
  <si>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</si>
  <si>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</si>
  <si>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</si>
  <si>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</si>
  <si>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</si>
  <si>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</si>
  <si>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</si>
  <si>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</si>
  <si>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</si>
  <si>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</si>
  <si>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</si>
  <si>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</si>
  <si>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</si>
  <si>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</si>
  <si>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</si>
  <si>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</si>
  <si>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</si>
  <si>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</si>
  <si>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</si>
  <si>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</si>
  <si>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</si>
  <si>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</si>
  <si>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</si>
  <si>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</si>
  <si>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</si>
  <si>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</si>
  <si>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</si>
  <si>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</si>
  <si>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</si>
  <si>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</si>
  <si>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</si>
  <si>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</si>
  <si>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</si>
  <si>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</si>
  <si>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</si>
  <si>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</si>
  <si>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</si>
  <si>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</si>
  <si>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</si>
  <si>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</si>
  <si>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</si>
  <si>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</si>
  <si>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</si>
  <si>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</si>
  <si>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</si>
  <si>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</si>
  <si>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</si>
  <si>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</si>
  <si>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</si>
  <si>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</si>
  <si>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</si>
  <si>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</si>
  <si>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</si>
  <si>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</si>
  <si>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</si>
  <si>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</si>
  <si>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</si>
  <si>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</si>
  <si>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</si>
  <si>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</si>
  <si>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</si>
  <si>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</si>
  <si>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</si>
  <si>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</si>
  <si>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</si>
  <si>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</si>
  <si>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</si>
  <si>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</si>
  <si>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</si>
  <si>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</si>
  <si>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</si>
  <si>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</si>
  <si>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</si>
  <si>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</si>
  <si>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</si>
  <si>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</si>
  <si>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</si>
  <si>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</si>
  <si>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</si>
  <si>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</si>
  <si>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</si>
  <si>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</si>
  <si>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</si>
  <si>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</si>
  <si>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</si>
  <si>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</si>
  <si>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</si>
  <si>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</si>
  <si>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</si>
  <si>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</si>
  <si>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</si>
  <si>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</si>
  <si>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</si>
  <si>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</si>
  <si>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</si>
  <si>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</si>
  <si>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</si>
  <si>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</si>
  <si>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</si>
  <si>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</si>
  <si>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</si>
  <si>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</si>
  <si>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</si>
  <si>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</si>
  <si>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</si>
  <si>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</si>
  <si>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</si>
  <si>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</si>
  <si>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</si>
  <si>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</si>
  <si>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</si>
  <si>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</si>
  <si>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</si>
  <si>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</si>
  <si>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</si>
  <si>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</si>
  <si>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</si>
  <si>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</si>
  <si>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</si>
  <si>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</si>
  <si>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</si>
  <si>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</si>
  <si>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</si>
  <si>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</si>
  <si>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</si>
  <si>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</si>
  <si>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</si>
  <si>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</si>
  <si>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</si>
  <si>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</si>
  <si>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</si>
  <si>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</si>
  <si>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</si>
  <si>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</si>
  <si>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</si>
  <si>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</si>
  <si>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</si>
  <si>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</si>
  <si>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</si>
  <si>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</si>
  <si>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</si>
  <si>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</si>
  <si>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</si>
  <si>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</si>
  <si>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</si>
  <si>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</si>
  <si>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</si>
  <si>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</si>
  <si>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</si>
  <si>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</si>
  <si>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</si>
  <si>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</si>
  <si>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</si>
  <si>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</si>
  <si>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</si>
  <si>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</si>
  <si>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</si>
  <si>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</si>
  <si>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</si>
  <si>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</si>
  <si>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</si>
  <si>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</si>
  <si>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</si>
  <si>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</si>
  <si>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</si>
  <si>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</si>
  <si>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</si>
  <si>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</si>
  <si>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</si>
  <si>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</si>
  <si>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</si>
  <si>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</si>
  <si>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</si>
  <si>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</si>
  <si>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</si>
  <si>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</si>
  <si>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</si>
  <si>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</si>
  <si>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</si>
  <si>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</si>
  <si>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</si>
  <si>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</si>
  <si>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</si>
  <si>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</si>
  <si>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</si>
  <si>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</si>
  <si>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</si>
  <si>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</si>
  <si>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</si>
  <si>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</si>
  <si>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</si>
  <si>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</si>
  <si>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</si>
  <si>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</si>
  <si>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</si>
  <si>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</si>
  <si>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</si>
  <si>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</si>
  <si>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</si>
  <si>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</si>
  <si>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</si>
  <si>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</si>
  <si>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</si>
  <si>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</si>
  <si>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</si>
  <si>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</si>
  <si>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</si>
  <si>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</si>
  <si>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</si>
  <si>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</si>
  <si>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</si>
  <si>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</si>
  <si>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</si>
  <si>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</si>
  <si>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</si>
  <si>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</si>
  <si>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</si>
  <si>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</si>
  <si>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</si>
  <si>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</si>
  <si>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</si>
  <si>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</si>
  <si>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</si>
  <si>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</si>
  <si>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</si>
  <si>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</si>
  <si>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</si>
  <si>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</si>
  <si>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</si>
  <si>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</si>
  <si>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</si>
  <si>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</si>
  <si>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</si>
  <si>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</si>
  <si>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</si>
  <si>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</si>
  <si>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</si>
  <si>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</si>
  <si>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</si>
  <si>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</si>
  <si>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</si>
  <si>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</si>
  <si>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</si>
  <si>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</si>
  <si>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</si>
  <si>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</si>
  <si>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</si>
  <si>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</si>
  <si>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</si>
  <si>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</si>
  <si>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</si>
  <si>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</si>
  <si>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</si>
  <si>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</si>
  <si>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</si>
  <si>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</si>
  <si>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</si>
  <si>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</si>
  <si>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</si>
  <si>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</si>
  <si>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</si>
  <si>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</si>
  <si>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</si>
  <si>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</si>
  <si>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</si>
  <si>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</si>
  <si>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</si>
  <si>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</si>
  <si>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</si>
  <si>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</si>
  <si>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</si>
  <si>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</si>
  <si>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</si>
  <si>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</si>
  <si>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</si>
  <si>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</si>
  <si>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</si>
  <si>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</si>
  <si>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</si>
  <si>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</si>
  <si>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</si>
  <si>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</si>
  <si>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</si>
  <si>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</si>
  <si>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</si>
  <si>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</si>
  <si>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</si>
  <si>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</si>
  <si>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</si>
  <si>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</si>
  <si>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</si>
  <si>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</si>
  <si>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</si>
  <si>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</si>
  <si>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</si>
  <si>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</si>
  <si>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</si>
  <si>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</si>
  <si>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</si>
  <si>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</si>
  <si>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</si>
  <si>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</si>
  <si>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</si>
  <si>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</si>
  <si>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</si>
  <si>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</si>
  <si>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</si>
  <si>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</si>
  <si>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</si>
  <si>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</si>
  <si>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</si>
  <si>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</si>
  <si>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</si>
  <si>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</si>
  <si>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</si>
  <si>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</si>
  <si>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</si>
  <si>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</si>
  <si>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</si>
  <si>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</si>
  <si>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</si>
  <si>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</si>
  <si>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</si>
  <si>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</si>
  <si>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</si>
  <si>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</si>
  <si>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</si>
  <si>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</si>
  <si>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</si>
  <si>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</si>
  <si>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</si>
  <si>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</si>
  <si>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</si>
  <si>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</si>
  <si>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</si>
  <si>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</si>
  <si>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</si>
  <si>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</si>
  <si>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</si>
  <si>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</si>
  <si>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</si>
  <si>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</si>
  <si>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</si>
  <si>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</si>
  <si>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</si>
  <si>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</si>
  <si>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</si>
  <si>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</si>
  <si>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</si>
  <si>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</si>
  <si>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</si>
  <si>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</si>
  <si>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</si>
  <si>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</si>
  <si>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</si>
  <si>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</si>
  <si>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</si>
  <si>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</si>
  <si>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</si>
  <si>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</si>
  <si>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</si>
  <si>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</si>
  <si>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</si>
  <si>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</si>
  <si>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</si>
  <si>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</si>
  <si>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</si>
  <si>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</si>
  <si>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</si>
  <si>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</si>
  <si>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</si>
  <si>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</si>
  <si>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</si>
  <si>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</si>
  <si>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</si>
  <si>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</si>
  <si>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</si>
  <si>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</si>
  <si>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</si>
  <si>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</si>
  <si>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</si>
  <si>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</si>
  <si>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</si>
  <si>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</si>
  <si>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</si>
  <si>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</si>
  <si>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</si>
  <si>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</si>
  <si>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</si>
  <si>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</si>
  <si>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</si>
  <si>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</si>
  <si>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</si>
  <si>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</si>
  <si>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</si>
  <si>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</si>
  <si>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</si>
  <si>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</si>
  <si>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</si>
  <si>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</si>
  <si>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</si>
  <si>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</si>
  <si>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</si>
  <si>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</si>
  <si>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</si>
  <si>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</si>
  <si>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</si>
  <si>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</si>
  <si>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</si>
  <si>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</si>
  <si>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</si>
  <si>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</si>
  <si>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</si>
  <si>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</si>
  <si>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</si>
  <si>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</si>
  <si>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</si>
  <si>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</si>
  <si>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</si>
  <si>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</si>
  <si>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</si>
  <si>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</si>
  <si>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</si>
  <si>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</si>
  <si>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</si>
  <si>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</si>
  <si>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</si>
  <si>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</si>
  <si>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</si>
  <si>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</si>
  <si>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</si>
  <si>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</si>
  <si>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</si>
  <si>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</si>
  <si>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</si>
  <si>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</si>
  <si>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</si>
  <si>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</si>
  <si>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</si>
  <si>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</si>
  <si>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</si>
  <si>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</si>
  <si>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</si>
  <si>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</si>
  <si>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</si>
  <si>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</si>
  <si>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</si>
  <si>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</si>
  <si>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</si>
  <si>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</si>
  <si>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</si>
  <si>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</si>
  <si>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</si>
  <si>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</si>
  <si>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</si>
  <si>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</si>
  <si>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</si>
  <si>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</si>
  <si>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</si>
  <si>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</si>
  <si>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</si>
  <si>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</si>
  <si>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</si>
  <si>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</si>
  <si>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</si>
  <si>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</si>
  <si>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</si>
  <si>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</si>
  <si>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</si>
  <si>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</si>
  <si>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</si>
  <si>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</si>
  <si>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</si>
  <si>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</si>
  <si>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</si>
  <si>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</si>
  <si>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</si>
  <si>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</si>
  <si>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</si>
  <si>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</si>
  <si>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</si>
  <si>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</si>
  <si>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</si>
  <si>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</si>
  <si>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</si>
  <si>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</si>
  <si>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</si>
  <si>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</si>
  <si>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</si>
  <si>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</si>
  <si>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</si>
  <si>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</si>
  <si>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</si>
  <si>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</si>
  <si>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</si>
  <si>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</si>
  <si>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</si>
  <si>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</si>
  <si>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</si>
  <si>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</si>
  <si>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</si>
  <si>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</si>
  <si>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</si>
  <si>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</si>
  <si>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</si>
  <si>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</si>
  <si>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</si>
  <si>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</si>
  <si>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</si>
  <si>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</si>
  <si>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</si>
  <si>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</si>
  <si>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</si>
  <si>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</si>
  <si>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</si>
  <si>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</si>
  <si>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</si>
  <si>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</si>
  <si>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</si>
  <si>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</si>
  <si>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</si>
  <si>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</si>
  <si>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</si>
  <si>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</si>
  <si>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</si>
  <si>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</si>
  <si>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</si>
  <si>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</si>
  <si>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</si>
  <si>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</si>
  <si>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</si>
  <si>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</si>
  <si>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</si>
  <si>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</si>
  <si>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</si>
  <si>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</si>
  <si>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</si>
  <si>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</si>
  <si>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</si>
  <si>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</si>
  <si>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</si>
  <si>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</si>
  <si>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</si>
  <si>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</si>
  <si>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</si>
  <si>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</si>
  <si>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</si>
  <si>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</si>
  <si>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</si>
  <si>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</si>
  <si>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</si>
  <si>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</si>
  <si>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</si>
  <si>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</si>
  <si>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</si>
  <si>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</si>
  <si>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</si>
  <si>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</si>
  <si>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</si>
  <si>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</si>
  <si>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</si>
  <si>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</si>
  <si>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</si>
  <si>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</si>
  <si>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</si>
  <si>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</si>
  <si>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</si>
  <si>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</si>
  <si>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</si>
  <si>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</si>
  <si>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</si>
  <si>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</si>
  <si>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</si>
  <si>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</si>
  <si>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</si>
  <si>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</si>
  <si>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</si>
  <si>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</si>
  <si>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</si>
  <si>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</si>
  <si>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</si>
  <si>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</si>
  <si>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</si>
  <si>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</si>
  <si>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</si>
  <si>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</si>
  <si>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</si>
  <si>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</si>
  <si>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</si>
  <si>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</si>
  <si>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</si>
  <si>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</si>
  <si>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</si>
  <si>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</si>
  <si>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</si>
  <si>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</si>
  <si>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</si>
  <si>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</si>
  <si>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</si>
  <si>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</si>
  <si>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</si>
  <si>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</si>
  <si>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</si>
  <si>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</si>
  <si>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</si>
  <si>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</si>
  <si>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</si>
  <si>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</si>
  <si>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</si>
  <si>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</si>
  <si>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</si>
  <si>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</si>
  <si>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</si>
  <si>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</si>
  <si>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</si>
  <si>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</si>
  <si>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</si>
  <si>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</si>
  <si>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</si>
  <si>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</si>
  <si>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</si>
  <si>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</si>
  <si>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</si>
  <si>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</si>
  <si>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</si>
  <si>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</si>
  <si>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</si>
  <si>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</si>
  <si>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</si>
  <si>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</si>
  <si>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</si>
  <si>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</si>
  <si>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</si>
  <si>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</si>
  <si>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</si>
  <si>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</si>
  <si>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</si>
  <si>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</si>
  <si>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</si>
  <si>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</si>
  <si>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</si>
  <si>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</si>
  <si>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</si>
  <si>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</si>
  <si>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</si>
  <si>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</si>
  <si>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</si>
  <si>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</si>
  <si>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</si>
  <si>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</si>
  <si>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</si>
  <si>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</si>
  <si>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</si>
  <si>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</si>
  <si>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</si>
  <si>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</si>
  <si>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</si>
  <si>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</si>
  <si>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</si>
  <si>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</si>
  <si>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</si>
  <si>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</si>
  <si>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</si>
  <si>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</si>
  <si>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</si>
  <si>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</si>
  <si>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</si>
  <si>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</si>
  <si>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</si>
  <si>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</si>
  <si>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</si>
  <si>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</si>
  <si>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</si>
  <si>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</si>
  <si>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</si>
  <si>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</si>
  <si>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</si>
  <si>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</si>
  <si>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</si>
  <si>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</si>
  <si>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</si>
  <si>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</si>
  <si>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</si>
  <si>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</si>
  <si>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</si>
  <si>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</si>
  <si>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</si>
  <si>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</si>
  <si>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</si>
  <si>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</si>
  <si>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</si>
  <si>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</si>
  <si>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</si>
  <si>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</si>
  <si>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</si>
  <si>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</si>
  <si>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</si>
  <si>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</si>
  <si>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</si>
  <si>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</si>
  <si>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</si>
  <si>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</si>
  <si>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</si>
  <si>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</si>
  <si>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</si>
  <si>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</si>
  <si>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</si>
  <si>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</si>
  <si>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</si>
  <si>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</si>
  <si>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</si>
  <si>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</si>
  <si>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</si>
  <si>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</si>
  <si>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</si>
  <si>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</si>
  <si>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</si>
  <si>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</si>
  <si>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</si>
  <si>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</si>
  <si>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</si>
  <si>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</si>
  <si>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</si>
  <si>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</si>
  <si>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</si>
  <si>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</si>
  <si>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</si>
  <si>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</si>
  <si>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</si>
  <si>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</si>
  <si>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</si>
  <si>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</si>
  <si>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</si>
  <si>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</si>
  <si>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</si>
  <si>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</si>
  <si>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</si>
  <si>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</si>
  <si>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</si>
  <si>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</si>
  <si>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</si>
  <si>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</si>
  <si>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</si>
  <si>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</si>
  <si>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</si>
  <si>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</si>
  <si>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</si>
  <si>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</si>
  <si>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</si>
  <si>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</si>
  <si>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</si>
  <si>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</si>
  <si>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</si>
  <si>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</si>
  <si>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</si>
  <si>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</si>
  <si>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</si>
  <si>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</si>
  <si>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</si>
  <si>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</si>
  <si>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</si>
  <si>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</si>
  <si>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</si>
  <si>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</si>
  <si>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</si>
  <si>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</si>
  <si>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</si>
  <si>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</si>
  <si>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</si>
  <si>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</si>
  <si>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</si>
  <si>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</si>
  <si>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</si>
  <si>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</si>
  <si>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</si>
  <si>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</si>
  <si>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</si>
  <si>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</si>
  <si>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</si>
  <si>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</si>
  <si>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</si>
  <si>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</si>
  <si>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</si>
  <si>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</si>
  <si>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</si>
  <si>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</si>
  <si>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</si>
  <si>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</si>
  <si>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</si>
  <si>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</si>
  <si>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</si>
  <si>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</si>
  <si>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</si>
  <si>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</si>
  <si>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</si>
  <si>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</si>
  <si>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</si>
  <si>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</si>
  <si>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</si>
  <si>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</si>
  <si>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</si>
  <si>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</si>
  <si>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</si>
  <si>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</si>
  <si>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</si>
  <si>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</si>
  <si>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</si>
  <si>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</si>
  <si>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</si>
  <si>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</si>
  <si>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</si>
  <si>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</si>
  <si>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</si>
  <si>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</si>
  <si>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</si>
  <si>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</si>
  <si>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</si>
  <si>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</si>
  <si>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</si>
  <si>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</si>
  <si>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</si>
  <si>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</si>
  <si>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</si>
  <si>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</si>
  <si>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</si>
  <si>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</si>
  <si>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</si>
  <si>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</si>
  <si>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</si>
  <si>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</si>
  <si>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</si>
  <si>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</si>
  <si>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</si>
  <si>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</si>
  <si>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</si>
  <si>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</si>
  <si>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</si>
  <si>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</si>
  <si>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</si>
  <si>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</si>
  <si>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</si>
  <si>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</si>
  <si>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</si>
  <si>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</si>
  <si>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</si>
  <si>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</si>
  <si>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</si>
  <si>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</si>
  <si>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</si>
  <si>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</si>
  <si>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</si>
  <si>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</si>
  <si>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</si>
  <si>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</si>
  <si>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</si>
  <si>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</si>
  <si>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</si>
  <si>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</si>
  <si>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</si>
  <si>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</si>
  <si>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</si>
  <si>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</si>
  <si>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</si>
  <si>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</si>
  <si>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</si>
  <si>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</si>
  <si>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</si>
  <si>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</si>
  <si>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</si>
  <si>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</si>
  <si>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</si>
  <si>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</si>
  <si>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</si>
  <si>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</si>
  <si>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</si>
  <si>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</si>
  <si>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</si>
  <si>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</si>
  <si>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</si>
  <si>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</si>
  <si>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</si>
  <si>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</si>
  <si>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</si>
  <si>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</si>
  <si>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</si>
  <si>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</si>
  <si>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</si>
  <si>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</si>
  <si>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</si>
  <si>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</si>
  <si>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</si>
  <si>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</si>
  <si>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</si>
  <si>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</si>
  <si>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</si>
  <si>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</si>
  <si>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</si>
  <si>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</si>
  <si>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</si>
  <si>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</si>
  <si>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</si>
  <si>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</si>
  <si>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</si>
  <si>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</si>
  <si>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</si>
  <si>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</si>
  <si>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</si>
  <si>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</si>
  <si>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</si>
  <si>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</si>
  <si>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</si>
  <si>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</si>
  <si>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</si>
  <si>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</si>
  <si>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</si>
  <si>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</si>
  <si>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</si>
  <si>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</si>
  <si>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</si>
  <si>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</si>
  <si>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</si>
  <si>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</si>
  <si>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</si>
  <si>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</si>
  <si>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</si>
  <si>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</si>
  <si>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</si>
  <si>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</si>
  <si>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</si>
  <si>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</si>
  <si>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</si>
  <si>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</si>
  <si>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</si>
  <si>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</si>
  <si>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</si>
  <si>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</si>
  <si>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</si>
  <si>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</si>
  <si>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</si>
  <si>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</si>
  <si>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</si>
  <si>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</si>
  <si>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</si>
  <si>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</si>
  <si>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</si>
  <si>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</si>
  <si>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</si>
  <si>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</si>
  <si>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</si>
  <si>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</si>
  <si>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</si>
  <si>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</si>
  <si>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</si>
  <si>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</si>
  <si>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</si>
  <si>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</si>
  <si>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</si>
  <si>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</si>
  <si>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</si>
  <si>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</si>
  <si>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</si>
  <si>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</si>
  <si>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</si>
  <si>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</si>
  <si>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</si>
  <si>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</si>
  <si>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</si>
  <si>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</si>
  <si>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</si>
  <si>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</si>
  <si>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</si>
  <si>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</si>
  <si>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</si>
  <si>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</si>
  <si>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</si>
  <si>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</si>
  <si>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</si>
  <si>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</si>
  <si>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</si>
  <si>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</si>
  <si>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</si>
  <si>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</si>
  <si>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</si>
  <si>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</si>
  <si>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</si>
  <si>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</si>
  <si>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</si>
  <si>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</si>
  <si>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</si>
  <si>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</si>
  <si>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</si>
  <si>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</si>
  <si>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</si>
  <si>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</si>
  <si>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</si>
  <si>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</si>
  <si>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</si>
  <si>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</si>
  <si>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</si>
  <si>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</si>
  <si>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</si>
  <si>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</si>
  <si>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</si>
  <si>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</si>
  <si>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</si>
  <si>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</si>
  <si>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</si>
  <si>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</si>
  <si>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</si>
  <si>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</si>
  <si>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</si>
  <si>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</si>
  <si>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</si>
  <si>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</si>
  <si>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</si>
  <si>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</si>
  <si>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</si>
  <si>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</si>
  <si>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</si>
  <si>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</si>
  <si>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</si>
  <si>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</si>
  <si>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</si>
  <si>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</si>
  <si>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</si>
  <si>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</si>
  <si>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</si>
  <si>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</si>
  <si>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</si>
  <si>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</si>
  <si>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</si>
  <si>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</si>
  <si>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</si>
  <si>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</si>
  <si>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</si>
  <si>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</si>
  <si>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</si>
  <si>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</si>
  <si>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</si>
  <si>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</si>
  <si>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</si>
  <si>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</si>
  <si>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</si>
  <si>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</si>
  <si>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</si>
  <si>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</si>
  <si>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</si>
  <si>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</si>
  <si>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</si>
  <si>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</si>
  <si>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</si>
  <si>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</si>
  <si>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</si>
  <si>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</si>
  <si>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</si>
  <si>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</si>
  <si>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</si>
  <si>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</si>
  <si>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</si>
  <si>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</si>
  <si>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</si>
  <si>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</si>
  <si>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</si>
  <si>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</si>
  <si>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</si>
  <si>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</si>
  <si>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</si>
  <si>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</si>
  <si>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</si>
  <si>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</si>
  <si>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</si>
  <si>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</si>
  <si>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</si>
  <si>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</si>
  <si>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</si>
  <si>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</si>
  <si>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</si>
  <si>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</si>
  <si>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</si>
  <si>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</si>
  <si>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</si>
  <si>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</si>
  <si>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</si>
  <si>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</si>
  <si>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</si>
  <si>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</si>
  <si>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</si>
  <si>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</si>
  <si>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</si>
  <si>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</si>
  <si>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</si>
  <si>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</si>
  <si>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</si>
  <si>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</si>
  <si>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</si>
  <si>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</si>
  <si>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</si>
  <si>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</si>
  <si>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</si>
  <si>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</si>
  <si>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</si>
  <si>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</si>
  <si>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</si>
  <si>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</si>
  <si>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</si>
  <si>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</si>
  <si>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</si>
  <si>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</si>
  <si>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</si>
  <si>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</si>
  <si>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</si>
  <si>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</si>
  <si>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</si>
  <si>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</si>
  <si>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</si>
  <si>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</si>
  <si>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</si>
  <si>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</si>
  <si>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</si>
  <si>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</si>
  <si>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</si>
  <si>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</si>
  <si>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</si>
  <si>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</si>
  <si>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</si>
  <si>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</si>
  <si>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</si>
  <si>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</si>
  <si>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</si>
  <si>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</si>
  <si>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</si>
  <si>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</si>
  <si>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</si>
  <si>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</si>
  <si>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</si>
  <si>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</si>
  <si>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</si>
  <si>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</si>
  <si>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</si>
  <si>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</si>
  <si>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</si>
  <si>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</si>
  <si>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</si>
  <si>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</si>
  <si>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</si>
  <si>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</si>
  <si>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</si>
  <si>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</si>
  <si>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</si>
  <si>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</si>
  <si>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</si>
  <si>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</si>
  <si>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</si>
  <si>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</si>
  <si>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</si>
  <si>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</si>
  <si>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</si>
  <si>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</si>
  <si>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</si>
  <si>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</si>
  <si>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</si>
  <si>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</si>
  <si>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</si>
  <si>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</si>
  <si>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</si>
  <si>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</si>
  <si>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</si>
  <si>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</si>
  <si>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</si>
  <si>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</si>
  <si>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</si>
  <si>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</si>
  <si>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</si>
  <si>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</si>
  <si>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</si>
  <si>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</si>
  <si>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</si>
  <si>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</si>
  <si>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</si>
  <si>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</si>
  <si>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</si>
  <si>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</si>
  <si>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</si>
  <si>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</si>
  <si>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</si>
  <si>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</si>
  <si>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</si>
  <si>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</si>
  <si>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</si>
  <si>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</si>
  <si>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</si>
  <si>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</si>
  <si>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</si>
  <si>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</si>
  <si>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</si>
  <si>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</si>
  <si>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</si>
  <si>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</si>
  <si>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</si>
  <si>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</si>
  <si>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</si>
  <si>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</si>
  <si>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</si>
  <si>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</si>
  <si>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</si>
  <si>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</si>
  <si>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</si>
  <si>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</si>
  <si>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</si>
  <si>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</si>
  <si>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</si>
  <si>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</si>
  <si>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</si>
  <si>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</si>
  <si>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</si>
  <si>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</si>
  <si>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</si>
  <si>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</si>
  <si>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</si>
  <si>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</si>
  <si>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</si>
  <si>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</si>
  <si>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</si>
  <si>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</si>
  <si>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</si>
  <si>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</si>
  <si>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</si>
  <si>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</si>
  <si>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</si>
  <si>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</si>
  <si>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</si>
  <si>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</si>
  <si>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</si>
  <si>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</si>
  <si>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</si>
  <si>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</si>
  <si>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</si>
  <si>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</si>
  <si>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</si>
  <si>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</si>
  <si>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</si>
  <si>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</si>
  <si>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</si>
  <si>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</si>
  <si>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</si>
  <si>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</si>
  <si>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</si>
  <si>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</si>
  <si>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</si>
  <si>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</si>
  <si>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</si>
  <si>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</si>
  <si>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</si>
  <si>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</si>
  <si>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</si>
  <si>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</si>
  <si>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</si>
  <si>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</si>
  <si>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</si>
  <si>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</si>
  <si>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</si>
  <si>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</si>
  <si>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</si>
  <si>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</si>
  <si>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</si>
  <si>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</si>
  <si>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</si>
  <si>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</si>
  <si>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</si>
  <si>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</si>
  <si>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</si>
  <si>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</si>
  <si>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</si>
  <si>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</si>
  <si>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</si>
  <si>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</si>
  <si>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</si>
  <si>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</si>
  <si>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</si>
  <si>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</si>
  <si>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</si>
  <si>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</si>
  <si>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</si>
  <si>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</si>
  <si>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</si>
  <si>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</si>
  <si>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</si>
  <si>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</si>
  <si>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</si>
  <si>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</si>
  <si>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</si>
  <si>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</si>
  <si>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</si>
  <si>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</si>
  <si>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</si>
  <si>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</si>
  <si>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</si>
  <si>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</si>
  <si>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</si>
  <si>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</si>
  <si>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</si>
  <si>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</si>
  <si>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</si>
  <si>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</si>
  <si>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</si>
  <si>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</si>
  <si>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</si>
  <si>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</si>
  <si>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</si>
  <si>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</si>
  <si>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</si>
  <si>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</si>
  <si>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</si>
  <si>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</si>
  <si>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</si>
  <si>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</si>
  <si>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</si>
  <si>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</si>
  <si>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</si>
  <si>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</si>
  <si>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</si>
  <si>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</si>
  <si>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</si>
  <si>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</si>
  <si>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</si>
  <si>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</si>
  <si>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</si>
  <si>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</si>
  <si>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</si>
  <si>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</si>
  <si>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</si>
  <si>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</si>
  <si>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</si>
  <si>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</si>
  <si>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</si>
  <si>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</si>
  <si>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</si>
  <si>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</si>
  <si>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</si>
  <si>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</si>
  <si>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</si>
  <si>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</si>
  <si>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</si>
  <si>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</si>
  <si>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</si>
  <si>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</si>
  <si>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</si>
  <si>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</si>
  <si>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</si>
  <si>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</si>
  <si>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</si>
  <si>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</si>
  <si>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</si>
  <si>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</si>
  <si>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</si>
  <si>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</si>
  <si>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</si>
  <si>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</si>
  <si>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</si>
  <si>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</si>
  <si>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</si>
  <si>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</si>
  <si>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</si>
  <si>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</si>
  <si>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</si>
  <si>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</si>
  <si>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</si>
  <si>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</si>
  <si>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</si>
  <si>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</si>
  <si>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</si>
  <si>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</si>
  <si>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</si>
  <si>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</si>
  <si>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</si>
  <si>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</si>
  <si>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</si>
  <si>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</si>
  <si>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</si>
  <si>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</si>
  <si>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</si>
  <si>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</si>
  <si>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</si>
  <si>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</si>
  <si>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</si>
  <si>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</si>
  <si>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</si>
  <si>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</si>
  <si>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</si>
  <si>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</si>
  <si>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</si>
  <si>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</si>
  <si>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</si>
  <si>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</si>
  <si>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</si>
  <si>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</si>
  <si>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</si>
  <si>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</si>
  <si>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</si>
  <si>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</si>
  <si>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</si>
  <si>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</si>
  <si>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</si>
  <si>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</si>
  <si>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</si>
  <si>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</si>
  <si>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</si>
  <si>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</si>
  <si>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</si>
  <si>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</si>
  <si>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</si>
  <si>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</si>
  <si>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</si>
  <si>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</si>
  <si>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</si>
  <si>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</si>
  <si>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</si>
  <si>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</si>
  <si>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</si>
  <si>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</si>
  <si>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</si>
  <si>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</si>
  <si>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</si>
  <si>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</si>
  <si>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</si>
  <si>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</si>
  <si>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</si>
  <si>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</si>
  <si>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</si>
  <si>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</si>
  <si>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</si>
  <si>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</si>
  <si>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</si>
  <si>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</si>
  <si>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</si>
  <si>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</si>
  <si>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</si>
  <si>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</si>
  <si>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</si>
  <si>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</si>
  <si>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</si>
  <si>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</si>
  <si>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</si>
  <si>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</si>
  <si>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</si>
  <si>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</si>
  <si>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</si>
  <si>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</si>
  <si>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</si>
  <si>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</si>
  <si>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</si>
  <si>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</si>
  <si>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</si>
  <si>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</si>
  <si>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</si>
  <si>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</si>
  <si>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</si>
  <si>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</si>
  <si>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</si>
  <si>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</si>
  <si>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</si>
  <si>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</si>
  <si>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</si>
  <si>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</si>
  <si>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</si>
  <si>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</si>
  <si>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</si>
  <si>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</si>
  <si>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</si>
  <si>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</si>
  <si>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</si>
  <si>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</si>
  <si>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</si>
  <si>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</si>
  <si>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</si>
  <si>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</si>
  <si>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</si>
  <si>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</si>
  <si>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</si>
  <si>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</si>
  <si>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</si>
  <si>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</si>
  <si>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</si>
  <si>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</si>
  <si>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</si>
  <si>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</si>
  <si>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</si>
  <si>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</si>
  <si>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</si>
  <si>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</si>
  <si>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</si>
  <si>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</si>
  <si>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</si>
  <si>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</si>
  <si>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</si>
  <si>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</si>
  <si>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</si>
  <si>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</si>
  <si>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</si>
  <si>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</si>
  <si>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</si>
  <si>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</si>
  <si>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</si>
  <si>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</si>
  <si>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</si>
  <si>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</si>
  <si>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</si>
  <si>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</si>
  <si>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</si>
  <si>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</si>
  <si>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</si>
  <si>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</si>
  <si>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</si>
  <si>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</si>
  <si>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</si>
  <si>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</si>
  <si>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</si>
  <si>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</si>
  <si>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</si>
  <si>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</si>
  <si>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</si>
  <si>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</si>
  <si>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</si>
  <si>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</si>
  <si>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</si>
  <si>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</si>
  <si>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</si>
  <si>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</si>
  <si>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</si>
  <si>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</si>
  <si>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</si>
  <si>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</si>
  <si>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</si>
  <si>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</si>
  <si>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</si>
  <si>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</si>
  <si>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</si>
  <si>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</si>
  <si>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</si>
  <si>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</si>
  <si>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</si>
  <si>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</si>
  <si>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</si>
  <si>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</si>
  <si>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</si>
  <si>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</si>
  <si>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</si>
  <si>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</si>
  <si>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</si>
  <si>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</si>
  <si>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</si>
  <si>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</si>
  <si>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</si>
  <si>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</si>
  <si>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</si>
  <si>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</si>
  <si>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</si>
  <si>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</si>
  <si>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</si>
  <si>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</si>
  <si>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</si>
  <si>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</si>
  <si>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</si>
  <si>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</si>
  <si>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</si>
  <si>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</si>
  <si>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</si>
  <si>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</si>
  <si>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</si>
  <si>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</si>
  <si>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</si>
  <si>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</si>
  <si>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</si>
  <si>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</si>
  <si>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</si>
  <si>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</si>
  <si>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</si>
  <si>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</si>
  <si>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</si>
  <si>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</si>
  <si>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</si>
  <si>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</si>
  <si>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</si>
  <si>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</si>
  <si>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</si>
  <si>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</si>
  <si>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</si>
  <si>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</si>
  <si>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</si>
  <si>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</si>
  <si>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</si>
  <si>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</si>
  <si>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</si>
  <si>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</si>
  <si>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</si>
  <si>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</si>
  <si>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</si>
  <si>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</si>
  <si>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</si>
  <si>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</si>
  <si>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</si>
  <si>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</si>
  <si>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</si>
  <si>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</si>
  <si>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</si>
  <si>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</si>
  <si>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</si>
  <si>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</si>
  <si>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</si>
  <si>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</si>
  <si>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</si>
  <si>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</si>
  <si>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</si>
  <si>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</si>
  <si>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</si>
  <si>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</si>
  <si>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</si>
  <si>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</si>
  <si>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</si>
  <si>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</si>
  <si>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</si>
  <si>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</si>
  <si>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</si>
  <si>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</si>
  <si>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</si>
  <si>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</si>
  <si>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</si>
  <si>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</si>
  <si>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</si>
  <si>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</si>
  <si>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</si>
  <si>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</si>
  <si>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</si>
  <si>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</si>
  <si>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</si>
  <si>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</si>
  <si>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</si>
  <si>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</si>
  <si>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</si>
  <si>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</si>
  <si>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</si>
  <si>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</si>
  <si>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</si>
  <si>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</si>
  <si>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</si>
  <si>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</si>
  <si>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</si>
  <si>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</si>
  <si>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</si>
  <si>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</si>
  <si>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</si>
  <si>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</si>
  <si>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</si>
  <si>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</si>
  <si>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</si>
  <si>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</si>
  <si>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</si>
  <si>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</si>
  <si>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</si>
  <si>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</si>
  <si>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</si>
  <si>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</si>
  <si>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</si>
  <si>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</si>
  <si>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</si>
  <si>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</si>
  <si>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</si>
  <si>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</si>
  <si>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</si>
  <si>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</si>
  <si>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</si>
  <si>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</si>
  <si>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</si>
  <si>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</si>
  <si>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</si>
  <si>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</si>
  <si>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</si>
  <si>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</si>
  <si>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</si>
  <si>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</si>
  <si>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</si>
  <si>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</si>
  <si>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</si>
  <si>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</si>
  <si>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</si>
  <si>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</si>
  <si>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</si>
  <si>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</si>
  <si>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</si>
  <si>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</si>
  <si>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</si>
  <si>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</si>
  <si>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</si>
  <si>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</si>
  <si>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</si>
  <si>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</si>
  <si>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</si>
  <si>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</si>
  <si>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</si>
  <si>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</si>
  <si>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</si>
  <si>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</si>
  <si>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</si>
  <si>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</si>
  <si>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</si>
  <si>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</si>
  <si>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</si>
  <si>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</si>
  <si>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</si>
  <si>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</si>
  <si>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</si>
  <si>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</si>
  <si>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</si>
  <si>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</si>
  <si>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</si>
  <si>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</si>
  <si>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</si>
  <si>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</si>
  <si>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</si>
  <si>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</si>
  <si>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</si>
  <si>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</si>
  <si>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</si>
  <si>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</si>
  <si>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</si>
  <si>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</si>
  <si>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</si>
  <si>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</si>
  <si>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</si>
  <si>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</si>
  <si>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</si>
  <si>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</si>
  <si>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</si>
  <si>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</si>
  <si>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</si>
  <si>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</si>
  <si>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</si>
  <si>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</si>
  <si>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</si>
  <si>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</si>
  <si>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</si>
  <si>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</si>
  <si>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</si>
  <si>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</si>
  <si>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</si>
  <si>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</si>
  <si>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</si>
  <si>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</si>
  <si>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</si>
  <si>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</si>
  <si>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</si>
  <si>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</si>
  <si>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</si>
  <si>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</si>
  <si>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</si>
  <si>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</si>
  <si>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</si>
  <si>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</si>
  <si>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</si>
  <si>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</si>
  <si>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</si>
  <si>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</si>
  <si>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</si>
  <si>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</si>
  <si>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</si>
  <si>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</si>
  <si>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</si>
  <si>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</si>
  <si>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</si>
  <si>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</si>
  <si>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</si>
  <si>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</si>
  <si>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</si>
  <si>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</si>
  <si>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</si>
  <si>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</si>
  <si>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</si>
  <si>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</si>
  <si>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</si>
  <si>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</si>
  <si>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</si>
  <si>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</si>
  <si>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</si>
  <si>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</si>
  <si>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</si>
  <si>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</si>
  <si>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</si>
  <si>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</si>
  <si>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</si>
  <si>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</si>
  <si>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</si>
  <si>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</si>
  <si>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</si>
  <si>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</si>
  <si>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</si>
  <si>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</si>
  <si>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</si>
  <si>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</si>
  <si>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</si>
  <si>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</si>
  <si>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</si>
  <si>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</si>
  <si>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</si>
  <si>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</si>
  <si>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</si>
  <si>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</si>
  <si>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</si>
  <si>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</si>
  <si>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</si>
  <si>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</si>
  <si>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</si>
  <si>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</si>
  <si>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</si>
  <si>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</si>
  <si>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</si>
  <si>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</si>
  <si>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</si>
  <si>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</si>
  <si>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</si>
  <si>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</si>
  <si>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</si>
  <si>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</si>
  <si>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</si>
  <si>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</si>
  <si>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</si>
  <si>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</si>
  <si>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</si>
  <si>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</si>
  <si>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</si>
  <si>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</si>
  <si>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</si>
  <si>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</si>
  <si>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</si>
  <si>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</si>
  <si>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</si>
  <si>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</si>
  <si>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</si>
  <si>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</si>
  <si>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</si>
  <si>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</si>
  <si>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</si>
  <si>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</si>
  <si>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</si>
  <si>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</si>
  <si>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</si>
  <si>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</si>
  <si>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</si>
  <si>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</si>
  <si>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</si>
  <si>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</si>
  <si>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</si>
  <si>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</si>
  <si>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</si>
  <si>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</si>
  <si>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</si>
  <si>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</si>
  <si>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</si>
  <si>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</si>
  <si>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</si>
  <si>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</si>
  <si>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</si>
  <si>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</si>
  <si>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</si>
  <si>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</si>
  <si>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</si>
  <si>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</si>
  <si>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</si>
  <si>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</si>
  <si>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</si>
  <si>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</si>
  <si>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</si>
  <si>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</si>
  <si>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</si>
  <si>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</si>
  <si>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</si>
  <si>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</si>
  <si>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</si>
  <si>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</si>
  <si>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</si>
  <si>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</si>
  <si>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</si>
  <si>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</si>
  <si>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</si>
  <si>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</si>
  <si>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</si>
  <si>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</si>
  <si>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</si>
  <si>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</si>
  <si>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</si>
  <si>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</si>
  <si>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</si>
  <si>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</si>
  <si>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</si>
  <si>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</si>
  <si>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</si>
  <si>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</si>
  <si>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</si>
  <si>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</si>
  <si>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</si>
  <si>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</si>
  <si>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</si>
  <si>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</si>
  <si>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</si>
  <si>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</si>
  <si>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</si>
  <si>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</si>
  <si>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</si>
  <si>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</si>
  <si>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</si>
  <si>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</si>
  <si>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</si>
  <si>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</si>
  <si>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</si>
  <si>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</si>
  <si>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</si>
  <si>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</si>
  <si>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</si>
  <si>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</si>
  <si>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</si>
  <si>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</si>
  <si>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</si>
  <si>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</si>
  <si>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</si>
  <si>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</si>
  <si>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</si>
  <si>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</si>
  <si>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</si>
  <si>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</si>
  <si>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</si>
  <si>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</si>
  <si>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</si>
  <si>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</si>
  <si>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</si>
  <si>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</si>
  <si>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</si>
  <si>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</si>
  <si>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</si>
  <si>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</si>
  <si>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</si>
  <si>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</si>
  <si>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</si>
  <si>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</si>
  <si>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</si>
  <si>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</si>
  <si>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</si>
  <si>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</si>
  <si>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</si>
  <si>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</si>
  <si>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</si>
  <si>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</si>
  <si>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</si>
  <si>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</si>
  <si>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</si>
  <si>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</si>
  <si>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</si>
  <si>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</si>
  <si>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</si>
  <si>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</si>
  <si>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</si>
  <si>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</si>
  <si>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</si>
  <si>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</si>
  <si>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</si>
  <si>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</si>
  <si>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</si>
  <si>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</si>
  <si>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</si>
  <si>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</si>
  <si>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</si>
  <si>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</si>
  <si>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</si>
  <si>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</si>
  <si>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</si>
  <si>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</si>
  <si>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</si>
  <si>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</si>
  <si>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</si>
  <si>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</si>
  <si>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</si>
  <si>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</si>
  <si>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</si>
  <si>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</si>
  <si>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</si>
  <si>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</si>
  <si>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</si>
  <si>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</si>
  <si>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</si>
  <si>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</si>
  <si>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</si>
  <si>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</si>
  <si>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</si>
  <si>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</si>
  <si>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</si>
  <si>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</si>
  <si>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</si>
  <si>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</si>
  <si>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</si>
  <si>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</si>
  <si>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</si>
  <si>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</si>
  <si>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</si>
  <si>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</si>
  <si>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</si>
  <si>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</si>
  <si>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</si>
  <si>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</si>
  <si>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</si>
  <si>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</si>
  <si>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</si>
  <si>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</si>
  <si>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</si>
  <si>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</si>
  <si>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</si>
  <si>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</si>
  <si>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</si>
  <si>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</si>
  <si>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</si>
  <si>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</si>
  <si>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</si>
  <si>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</si>
  <si>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</si>
  <si>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</si>
  <si>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</si>
  <si>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</si>
  <si>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</si>
  <si>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</si>
  <si>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</si>
  <si>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</si>
  <si>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</si>
  <si>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</si>
  <si>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</si>
  <si>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</si>
  <si>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</si>
  <si>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</si>
  <si>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</si>
  <si>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</si>
  <si>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</si>
  <si>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</si>
  <si>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</si>
  <si>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</si>
  <si>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</si>
  <si>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</si>
  <si>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</si>
  <si>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</si>
  <si>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</si>
  <si>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</si>
  <si>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</si>
  <si>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</si>
  <si>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</si>
  <si>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</si>
  <si>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</si>
  <si>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</si>
  <si>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</si>
  <si>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</si>
  <si>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</si>
  <si>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</si>
  <si>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</si>
  <si>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</si>
  <si>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</si>
  <si>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</si>
  <si>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</si>
  <si>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</si>
  <si>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</si>
  <si>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</si>
  <si>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</si>
  <si>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</si>
  <si>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</si>
  <si>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</si>
  <si>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</si>
  <si>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</si>
  <si>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</si>
  <si>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</si>
  <si>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</si>
  <si>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</si>
  <si>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</si>
  <si>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</si>
  <si>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</si>
  <si>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</si>
  <si>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</si>
  <si>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</si>
  <si>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</si>
  <si>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</si>
  <si>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</si>
  <si>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</si>
  <si>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</si>
  <si>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</si>
  <si>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</si>
  <si>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</si>
  <si>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</si>
  <si>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</si>
  <si>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</si>
  <si>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</si>
  <si>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</si>
  <si>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</si>
  <si>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</si>
  <si>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</si>
  <si>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</si>
  <si>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</si>
  <si>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</si>
  <si>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</si>
  <si>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</si>
  <si>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</si>
  <si>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</si>
  <si>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</si>
  <si>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</si>
  <si>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</si>
  <si>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</si>
  <si>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</si>
  <si>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</si>
  <si>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</si>
  <si>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</si>
  <si>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</si>
  <si>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</si>
  <si>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</si>
  <si>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</si>
  <si>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</si>
  <si>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</si>
  <si>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</si>
  <si>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</si>
  <si>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</si>
  <si>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</si>
  <si>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</si>
  <si>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</si>
  <si>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</si>
  <si>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</si>
  <si>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</si>
  <si>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</si>
  <si>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</si>
  <si>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</si>
  <si>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</si>
  <si>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</si>
  <si>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</si>
  <si>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</si>
  <si>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</si>
  <si>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</si>
  <si>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</si>
  <si>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</si>
  <si>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</si>
  <si>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</si>
  <si>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</si>
  <si>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</si>
  <si>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</si>
  <si>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</si>
  <si>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</si>
  <si>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</si>
  <si>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</si>
  <si>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</si>
  <si>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</si>
  <si>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</si>
  <si>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</si>
  <si>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</si>
  <si>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</si>
  <si>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</si>
  <si>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</si>
  <si>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</si>
  <si>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</si>
  <si>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</si>
  <si>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</si>
  <si>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</si>
  <si>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</si>
  <si>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</si>
  <si>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</si>
  <si>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</si>
  <si>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</si>
  <si>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</si>
  <si>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</si>
  <si>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</si>
  <si>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</si>
  <si>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</si>
  <si>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</si>
  <si>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</si>
  <si>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</si>
  <si>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</si>
  <si>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</si>
  <si>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</si>
  <si>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</si>
  <si>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</si>
  <si>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</si>
  <si>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</si>
  <si>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</si>
  <si>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</si>
  <si>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</si>
  <si>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</si>
  <si>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</si>
  <si>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</si>
  <si>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</si>
  <si>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</si>
  <si>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</si>
  <si>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</si>
  <si>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</si>
  <si>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</si>
  <si>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</si>
  <si>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</si>
  <si>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</si>
  <si>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</si>
  <si>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</si>
  <si>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</si>
  <si>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</si>
  <si>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</si>
  <si>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</si>
  <si>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</si>
  <si>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</si>
  <si>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</si>
  <si>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</si>
  <si>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</si>
  <si>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</si>
  <si>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</si>
  <si>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</si>
  <si>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</si>
  <si>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</si>
  <si>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</si>
  <si>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</si>
  <si>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</si>
  <si>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</si>
  <si>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</si>
  <si>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</si>
  <si>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</si>
  <si>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</si>
  <si>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</si>
  <si>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</si>
  <si>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Josh Thomason</t>
  </si>
  <si>
    <t>80 West Wieuca Road, Suite 204</t>
  </si>
  <si>
    <t>josh@peachtreehousing.com</t>
  </si>
  <si>
    <t>No</t>
  </si>
  <si>
    <t>Yes</t>
  </si>
  <si>
    <t>Peachtree Housing Communities, LLC</t>
  </si>
  <si>
    <t>Pointe North Senior Village</t>
  </si>
  <si>
    <t>Member</t>
  </si>
  <si>
    <t>Affordable Equity Partners, Inc.</t>
  </si>
  <si>
    <t>206 Peach Way</t>
  </si>
  <si>
    <t>Brian Kimes</t>
  </si>
  <si>
    <t>Director of Acquisitions</t>
  </si>
  <si>
    <t>Bkimes@aepartners.com</t>
  </si>
  <si>
    <t>Fairway Construction Co., Inc.</t>
  </si>
  <si>
    <t>Fairway Management</t>
  </si>
  <si>
    <t>Director</t>
  </si>
  <si>
    <t>Coleman Talley</t>
  </si>
  <si>
    <t>910 North Patterson Street</t>
  </si>
  <si>
    <t>Tom Kurrie</t>
  </si>
  <si>
    <t>Partner</t>
  </si>
  <si>
    <t>tom.kurrie@colemantalley.com</t>
  </si>
  <si>
    <t>Martin Riley Associates</t>
  </si>
  <si>
    <t>215 Church Street</t>
  </si>
  <si>
    <t>Mike Riley</t>
  </si>
  <si>
    <t>mriley@martinriley.com</t>
  </si>
  <si>
    <t>For Profit</t>
  </si>
  <si>
    <t>The Managing GP has an identity of interest with the Developer.  The Federal LP, State LP, Contractor and Management Company all have identity of interests with one another</t>
  </si>
  <si>
    <t>CohnReznick</t>
  </si>
  <si>
    <t>Rick Suid</t>
  </si>
  <si>
    <t>rick.suid@cohnreznick.com</t>
  </si>
  <si>
    <t>3560 Lenox Road NE, Suite 2800</t>
  </si>
  <si>
    <t>Mayor</t>
  </si>
  <si>
    <t>Competitive Round</t>
  </si>
  <si>
    <t>Peachtree Housing Communities</t>
  </si>
  <si>
    <t>Affordable Equity Partners</t>
  </si>
  <si>
    <t>Personal Property Tax</t>
  </si>
  <si>
    <t>Cable</t>
  </si>
  <si>
    <t>Electric Heat Pump</t>
  </si>
  <si>
    <t>North Lake Senior Village, LP</t>
  </si>
  <si>
    <t>Located off Veterans Court, part of parcel # 072 010 019</t>
  </si>
  <si>
    <t>City of Columbus</t>
  </si>
  <si>
    <t>Teresa Tomlinson</t>
  </si>
  <si>
    <t xml:space="preserve">100 10th Street </t>
  </si>
  <si>
    <t>columbusga.org</t>
  </si>
  <si>
    <t>ttomlinson@columbusga.org</t>
  </si>
  <si>
    <t>HFOP</t>
  </si>
  <si>
    <t>Muscogee Housing Ventures, LLC</t>
  </si>
  <si>
    <t>Agree</t>
  </si>
  <si>
    <t>Geotechnical and Environmental Consultants, Inc.</t>
  </si>
  <si>
    <t>None</t>
  </si>
  <si>
    <t>Contract/Option</t>
  </si>
  <si>
    <t>Georgia Power</t>
  </si>
  <si>
    <t>Electrical utilities provided by Georgia Power.  Letter of availability located in appropriate tab in binder.</t>
  </si>
  <si>
    <t>Columbus Water Works</t>
  </si>
  <si>
    <t>Letters of availability are located in appropriate tab in binder</t>
  </si>
  <si>
    <t>On-site laundry</t>
  </si>
  <si>
    <t>Fenced Community Garden</t>
  </si>
  <si>
    <t>See Tab 16 of the Application Binder for the Conceptual Site Development Plan. All site related amenities are on the Conceptual Site Development Plan.</t>
  </si>
  <si>
    <t>Qualified without Conditions</t>
  </si>
  <si>
    <t>See Tab 18 for DCA's determination letter and the org. chart</t>
  </si>
  <si>
    <t>Items A-D provided at Pre-Application</t>
  </si>
  <si>
    <t>The Applicant has reviewed the application and does not believe there are any missing or incomplete documents and furthermore believes the application is organized properly and that there should be no financial or other adjustments.</t>
  </si>
  <si>
    <t xml:space="preserve">In the desirable section (Tab 25) we have 15 desirable points listed.  The Applicant understands that there are only 12 points possible in this category but the applicant went ahead and demonstrated 15 possible desirable pointes behind Tab 25.  There are no undesirables. </t>
  </si>
  <si>
    <t>Please see documentation from the Public Transit authority confirming these points in Tab 26 of the Application Binder.</t>
  </si>
  <si>
    <t>Earth Craft House Multifamily</t>
  </si>
  <si>
    <t>See Tab 28 for the scoring sheet for Earth Craft Multifamily</t>
  </si>
  <si>
    <t>Upper</t>
  </si>
  <si>
    <t>See Tab 29 for evidence that the property is located in a Stable Census Tract with less than 10% poverty and is designated middle or upper income.</t>
  </si>
  <si>
    <t xml:space="preserve">The market study has been prepared properly and indicates a strong demand for affordable senior housing in Columbus.  </t>
  </si>
  <si>
    <t>The Applicant agrees to forego the cancellation option for at least five years.</t>
  </si>
  <si>
    <t>Pass</t>
  </si>
  <si>
    <t>The site is zoned RO (Residential Office Zoning District) which allows for Multi-family housing.  See Tab 10 in the application binder for support</t>
  </si>
  <si>
    <t>3+ Story</t>
  </si>
  <si>
    <t>Columbus Housing Authority</t>
  </si>
  <si>
    <t>Applicant confirmed with the Housing Authority that the above utility allowances are applicable for 2013.</t>
  </si>
  <si>
    <t>MJVI Loan</t>
  </si>
  <si>
    <t>Sterling</t>
  </si>
  <si>
    <t xml:space="preserve">Sterling </t>
  </si>
  <si>
    <t>Amortizing</t>
  </si>
  <si>
    <t>PA 13-12</t>
  </si>
  <si>
    <t>Horizon Senior Village</t>
  </si>
  <si>
    <t>Will Markel</t>
  </si>
  <si>
    <t>President</t>
  </si>
  <si>
    <t>wmarkel@jesmith.com</t>
  </si>
  <si>
    <t xml:space="preserve">The Federal Limited Partner will contribute capital for an allocation of 99.99% of the Federal Tax Credits at $.85 per credit.  The State Limited Partner will contribute capital for an allocation of 99.99% of the State tax credits at $.263 per credit.
Interest rate on the MJVI loan is 1.5% but will not be higher than the long term AFR rate should the AFR rate drop below 1.5%.  </t>
  </si>
  <si>
    <t>State Boost</t>
  </si>
  <si>
    <t>MJVI loan Permanent Loan Interest Rate fixed at 1.5% but will not be higher than the long term AFR rate should the AFR rate drop below 1.5%.  Payable from available cash flow at a 1.20 debt service coverage.</t>
  </si>
  <si>
    <t>Novogradac &amp; Company, LLC</t>
  </si>
  <si>
    <t>The site's main entrance will be accessed from North Lake Loop Road.  The site will also be accessible off of Veterans Court.</t>
  </si>
  <si>
    <t>Room</t>
  </si>
  <si>
    <t>Gazebo</t>
  </si>
  <si>
    <t>Documentation of nonprofit loan with a below AFR interest rate is located in Tab 1 Item 4.</t>
  </si>
  <si>
    <t>North Lake Senior Village is a proposed 70 unit senior housing development for those age fifty-five and older.  North Lake Senior Village will be located in Columbus, Muscogee County, Georgia.  The property is located off North Lake Loop and Veterans Court and is part of parcel # 072 010 019.  We believe that the development of North Lake Senior Village will provide quality affordable housing to the senior residents of Muscogee County.  Not only will North Lake Senior Village provide the needed housing and economic boost, but it will provide it in the most beneficial and desirable location.  There are a multitude of shopping and dining opportunities within two miles of North Lake Senior Village.
North Lake Senior Village will consist of one three-story interior entry building with an elevator.  As stated previously, our residents will be age fifty-five and older and North Lake Senior Village will have other amenities geared towards an aging population, such as:  a raised and fenced community garden that is ADA compliant, a gazebo for gathering, an indoor mail kiosk, a community room for community events, a fitness center with low impact exercise equipment appropriate for an aging population, a fully equipped computer center, a centralized laundry facility and interior furnished sitting and gathering areas in several locations in the lobbies and corridors for our residents to rest and socialize.
Furthermore, North Lake Senior Village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North Lake Senior Village are afforded a more enjoyable and sustainable environment in which to live.  
In conclusion, North Lake Senior Village will be financed with equity from Affordable Equity Partners, a construction and permanent loan from Sterling Bank, and a construction and permanent loan at below the Applicable Federal Rate (AFR) from Mission Joint Venture International (MJVI).  MJVI is a non-profit organization that desires to make this loan at below AFR to ensure that the rents at North Lake Senior Village can be kept at an affordable level.   Affordable Equity Partners, Sterling Bank and Mission Joint Venture International believe that investing in North Lake Senior Village is a sound decision, both from a financial and sociological perspective.</t>
  </si>
  <si>
    <t>Hard cost estimates were provided by experienced mult-family third party construction company. 
There is only one building.  The community room, exercise room, computer room, manager and maintenance room is broken out under Acessory Structure.
Rent-up reserve is equal to 3 months of projected operating expenses.  DCA Core app mistakingly calculates 4 months operating expenses.</t>
  </si>
  <si>
    <t>See Tab 1, Item 6 in this application for a detailed calculation of real estate taxes and insurance.</t>
  </si>
  <si>
    <t>Semi-monthly birthday parties and game nights</t>
  </si>
  <si>
    <t>Semi-monthly gardening, computer training, exercise classes</t>
  </si>
  <si>
    <t xml:space="preserve">All capture rates criteria and absortion criteria are within DCA's threshold requirements.  The project is located in an urban location.  No DCA tax credit projects have been funded within a 2 mile radius of the proposed site from 2008-2012.  </t>
  </si>
  <si>
    <t>See documentation in Tab 13 of the application binder.  The Planning Advisory Commission and City Council both voted to approve the rezoning; this constitutes support for the development.  The Applicant gave presentations at the Planning Advisory Commission meeting and City Council meeting;  this constitutes notification and engagement.</t>
  </si>
  <si>
    <t>The Applicant believes all of its cost estimates are accurate and reasonable.  Furthermore, the unit sizes are comprised of reasonable square footages.  Therefore, we believe the subject development constitutes an optimal utilization of resources.</t>
  </si>
  <si>
    <t>The project is located in an urban location.  No DCA tax credit projects have been funded within a 2 mile radius of the proposed site from 2008-2012.</t>
  </si>
  <si>
    <t>20-24 units/month, 3-4 months</t>
  </si>
  <si>
    <t>3-4 months</t>
  </si>
  <si>
    <t>Rail road, Veterans Parkway</t>
  </si>
  <si>
    <t>Other (Specify) Developer's Operating Agreement and Documentation that developer entity is registered to do business in Georgia</t>
  </si>
  <si>
    <t>Utility Allowances</t>
  </si>
  <si>
    <t>Explanation of Basis Boost</t>
  </si>
  <si>
    <t>Schedule of Values</t>
  </si>
  <si>
    <t>Threshold Section I</t>
  </si>
  <si>
    <t>Core Section 8</t>
  </si>
  <si>
    <t>2013-035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</si>
</sst>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2" fillId="0" borderId="0" xfId="12" applyFont="1" applyProtection="1"/>
    <xf numFmtId="0" fontId="133" fillId="0" borderId="0" xfId="12" applyFont="1" applyProtection="1"/>
    <xf numFmtId="0" fontId="135" fillId="0" borderId="0" xfId="12" applyFont="1" applyBorder="1" applyAlignment="1" applyProtection="1">
      <alignment horizontal="left"/>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5" fillId="0" borderId="87" xfId="12" applyFont="1" applyBorder="1" applyAlignment="1" applyProtection="1">
      <alignment horizontal="left"/>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49" fontId="3" fillId="0" borderId="20" xfId="12" applyNumberFormat="1" applyFont="1" applyBorder="1" applyAlignment="1" applyProtection="1">
      <alignment horizontal="left" vertical="top"/>
    </xf>
    <xf numFmtId="49" fontId="133" fillId="0" borderId="20" xfId="12" applyNumberFormat="1" applyFont="1" applyBorder="1" applyAlignment="1" applyProtection="1">
      <alignment vertical="top"/>
    </xf>
    <xf numFmtId="0" fontId="3" fillId="0" borderId="20" xfId="12" applyFont="1" applyBorder="1" applyAlignment="1" applyProtection="1">
      <alignment vertical="top"/>
    </xf>
    <xf numFmtId="0" fontId="104" fillId="0" borderId="20" xfId="12" applyFont="1" applyBorder="1" applyAlignment="1" applyProtection="1">
      <alignment vertical="top"/>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0" fontId="49" fillId="5" borderId="3" xfId="0"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8" xfId="0" applyFont="1" applyFill="1" applyBorder="1" applyAlignment="1" applyProtection="1">
      <alignment horizontal="center"/>
    </xf>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19"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0" fontId="53" fillId="0" borderId="0" xfId="0" applyFont="1" applyAlignment="1" applyProtection="1"/>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3" fontId="11" fillId="5" borderId="19" xfId="0" applyNumberFormat="1" applyFont="1" applyFill="1" applyBorder="1" applyProtection="1"/>
    <xf numFmtId="3" fontId="11" fillId="5" borderId="19" xfId="10" applyNumberFormat="1" applyFont="1" applyFill="1" applyBorder="1" applyProtection="1"/>
    <xf numFmtId="3" fontId="11" fillId="5" borderId="3" xfId="0" applyNumberFormat="1" applyFont="1" applyFill="1" applyBorder="1" applyAlignment="1" applyProtection="1">
      <alignment vertical="center"/>
    </xf>
    <xf numFmtId="3" fontId="11" fillId="5" borderId="44" xfId="0"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2"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13" fillId="5" borderId="3" xfId="0" applyFont="1" applyFill="1" applyBorder="1" applyAlignment="1" applyProtection="1">
      <alignment horizontal="center" vertical="center"/>
    </xf>
    <xf numFmtId="0" fontId="90" fillId="0" borderId="14"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9" xfId="0" applyFont="1" applyFill="1" applyBorder="1" applyAlignment="1" applyProtection="1">
      <alignment horizontal="center" vertical="center"/>
    </xf>
    <xf numFmtId="0" fontId="13" fillId="5" borderId="34"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90"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133" fillId="0" borderId="0" xfId="12" applyFont="1" applyAlignment="1" applyProtection="1">
      <alignment horizontal="justify"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43" fillId="0" borderId="89" xfId="12" applyFont="1" applyBorder="1" applyAlignment="1" applyProtection="1">
      <alignment horizontal="center" vertical="center" wrapText="1"/>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justify" vertical="top" wrapText="1"/>
    </xf>
    <xf numFmtId="0" fontId="133" fillId="0" borderId="0" xfId="12" applyFont="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49" fontId="133" fillId="0" borderId="21" xfId="12" applyNumberFormat="1" applyFont="1" applyBorder="1" applyAlignment="1" applyProtection="1">
      <alignment horizontal="left" vertical="top" wrapText="1"/>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3" fillId="0" borderId="0" xfId="12" applyFont="1" applyBorder="1" applyAlignment="1" applyProtection="1">
      <alignment horizontal="center" wrapText="1"/>
    </xf>
    <xf numFmtId="0" fontId="133" fillId="0" borderId="87" xfId="12" applyFont="1" applyBorder="1" applyAlignment="1" applyProtection="1">
      <alignment horizontal="center" wrapText="1"/>
    </xf>
    <xf numFmtId="0" fontId="135" fillId="0" borderId="0" xfId="12" applyFont="1" applyBorder="1" applyAlignment="1" applyProtection="1">
      <alignment horizontal="center" wrapText="1"/>
    </xf>
    <xf numFmtId="0" fontId="135" fillId="0" borderId="87" xfId="12" applyFont="1" applyBorder="1" applyAlignment="1" applyProtection="1">
      <alignment horizontal="center" wrapText="1"/>
    </xf>
    <xf numFmtId="49" fontId="134" fillId="0" borderId="89" xfId="12" applyNumberFormat="1" applyFont="1" applyBorder="1" applyAlignment="1" applyProtection="1">
      <alignment horizontal="center" vertical="top"/>
    </xf>
    <xf numFmtId="0" fontId="133" fillId="10" borderId="18" xfId="12" applyFont="1" applyFill="1" applyBorder="1" applyAlignment="1" applyProtection="1">
      <alignment horizontal="left" vertical="top"/>
    </xf>
    <xf numFmtId="0" fontId="133" fillId="10" borderId="19" xfId="12" applyFont="1" applyFill="1" applyBorder="1" applyAlignment="1" applyProtection="1">
      <alignment horizontal="left" vertical="top"/>
    </xf>
    <xf numFmtId="0" fontId="133" fillId="10" borderId="17" xfId="12" applyFont="1" applyFill="1" applyBorder="1" applyAlignment="1" applyProtection="1">
      <alignment horizontal="left" vertical="top"/>
    </xf>
    <xf numFmtId="0" fontId="133" fillId="0" borderId="9" xfId="12" applyFont="1" applyBorder="1" applyAlignment="1" applyProtection="1">
      <alignment horizontal="left" vertical="top" wrapText="1"/>
    </xf>
    <xf numFmtId="49" fontId="133" fillId="0" borderId="0" xfId="12" applyNumberFormat="1" applyFont="1" applyAlignment="1" applyProtection="1">
      <alignment horizontal="left" vertical="top" wrapText="1"/>
    </xf>
    <xf numFmtId="49" fontId="133" fillId="0" borderId="20" xfId="12" applyNumberFormat="1" applyFont="1" applyFill="1" applyBorder="1" applyAlignment="1" applyProtection="1">
      <alignment horizontal="left" vertical="top" wrapText="1"/>
    </xf>
    <xf numFmtId="49" fontId="133" fillId="0" borderId="0" xfId="12" applyNumberFormat="1" applyFont="1" applyFill="1" applyBorder="1" applyAlignment="1" applyProtection="1">
      <alignment horizontal="left" vertical="top" wrapText="1"/>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0" borderId="14" xfId="12" applyNumberFormat="1" applyFont="1" applyBorder="1" applyAlignment="1" applyProtection="1">
      <alignment horizontal="center"/>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37"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0" fontId="0" fillId="0" borderId="38" xfId="0" applyBorder="1" applyProtection="1"/>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169" fontId="53" fillId="5" borderId="37" xfId="0"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49" fillId="5" borderId="24" xfId="0" applyFont="1" applyFill="1" applyBorder="1" applyAlignment="1" applyProtection="1">
      <alignment horizontal="left" vertical="center"/>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7"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169" fontId="53" fillId="5" borderId="38" xfId="0" applyNumberFormat="1"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53" fillId="5" borderId="2"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0" fontId="53" fillId="5" borderId="7" xfId="0" applyFont="1" applyFill="1" applyBorder="1" applyAlignment="1" applyProtection="1">
      <alignment horizontal="left"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53" fillId="0" borderId="15" xfId="0" applyFont="1" applyBorder="1" applyProtection="1"/>
    <xf numFmtId="167" fontId="53" fillId="5" borderId="86" xfId="0" applyNumberFormat="1" applyFont="1" applyFill="1" applyBorder="1" applyAlignment="1" applyProtection="1">
      <alignment horizontal="left" vertical="center"/>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5" borderId="2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53" fillId="5" borderId="59"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53" fillId="5" borderId="34"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3" fillId="0" borderId="14" xfId="0" applyFont="1" applyBorder="1" applyAlignment="1" applyProtection="1">
      <alignment horizontal="center" wrapText="1"/>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right" vertical="center"/>
    </xf>
    <xf numFmtId="38" fontId="53" fillId="5" borderId="38" xfId="0" applyNumberFormat="1" applyFont="1" applyFill="1" applyBorder="1" applyAlignment="1" applyProtection="1">
      <alignment horizontal="right"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53" fillId="5" borderId="38"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0" fontId="53" fillId="0" borderId="14" xfId="0" applyFont="1" applyFill="1" applyBorder="1" applyAlignment="1" applyProtection="1">
      <alignment horizontal="left" vertical="center"/>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6" xfId="0" applyNumberFormat="1" applyFont="1" applyFill="1" applyBorder="1" applyAlignment="1" applyProtection="1">
      <alignment horizontal="right" vertical="center"/>
    </xf>
    <xf numFmtId="0" fontId="53" fillId="5" borderId="3" xfId="0" applyFont="1" applyFill="1" applyBorder="1" applyAlignment="1" applyProtection="1">
      <alignment horizontal="left"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0" borderId="6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0" fontId="0" fillId="0" borderId="14" xfId="0" applyBorder="1" applyProtection="1"/>
    <xf numFmtId="0" fontId="0" fillId="0" borderId="15" xfId="0" applyBorder="1" applyProtection="1"/>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0" fillId="0" borderId="86" xfId="0" applyBorder="1" applyProtection="1"/>
    <xf numFmtId="0" fontId="0" fillId="0" borderId="83" xfId="0" applyBorder="1" applyProtection="1"/>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0" fillId="0" borderId="35" xfId="0" applyBorder="1" applyAlignment="1" applyProtection="1">
      <alignment horizontal="left" vertical="center"/>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5" borderId="82"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6"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30" xfId="0"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0" fillId="0" borderId="32" xfId="0" applyBorder="1" applyAlignment="1" applyProtection="1">
      <alignment horizontal="left"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3" fillId="5" borderId="35" xfId="0" applyFont="1" applyFill="1" applyBorder="1" applyAlignment="1" applyProtection="1">
      <alignment horizontal="left" vertic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32" xfId="0" applyFont="1" applyFill="1" applyBorder="1" applyAlignment="1" applyProtection="1">
      <alignment horizontal="left" vertical="center"/>
    </xf>
    <xf numFmtId="0" fontId="0" fillId="0" borderId="0" xfId="0" applyAlignment="1" applyProtection="1">
      <alignment horizontal="left" vertical="center" wrapText="1"/>
    </xf>
    <xf numFmtId="0" fontId="13" fillId="5" borderId="19" xfId="0" applyFont="1" applyFill="1" applyBorder="1" applyAlignment="1" applyProtection="1">
      <alignment horizontal="left" vertical="center"/>
    </xf>
    <xf numFmtId="0" fontId="13" fillId="5" borderId="17" xfId="0" applyFont="1" applyFill="1" applyBorder="1" applyAlignment="1" applyProtection="1">
      <alignment horizontal="left" vertical="center"/>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3" fillId="0" borderId="20" xfId="0" applyFont="1" applyBorder="1" applyAlignment="1" applyProtection="1">
      <alignment horizontal="center" wrapText="1"/>
    </xf>
    <xf numFmtId="0" fontId="3" fillId="0" borderId="14" xfId="0" applyFont="1" applyBorder="1" applyAlignment="1" applyProtection="1">
      <alignment horizontal="center"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6" xfId="0"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4" xfId="13" applyFont="1" applyBorder="1" applyAlignment="1" applyProtection="1">
      <alignment horizontal="left"/>
    </xf>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817" customWidth="1"/>
    <col min="2" max="2" width="10.7109375" style="893" customWidth="1"/>
    <col min="3" max="3" width="4.85546875" style="893" customWidth="1"/>
    <col min="4" max="4" width="8.5703125" style="893" customWidth="1"/>
    <col min="5" max="5" width="4.28515625" style="894" customWidth="1"/>
    <col min="6" max="7" width="26.28515625" style="817" customWidth="1"/>
    <col min="8" max="8" width="30" style="817" customWidth="1"/>
    <col min="9" max="9" width="4" style="892" customWidth="1"/>
    <col min="10" max="10" width="6.42578125" style="817" customWidth="1"/>
    <col min="11" max="11" width="9.7109375" style="817" customWidth="1"/>
    <col min="12" max="12" width="3.42578125" style="817" customWidth="1"/>
    <col min="13" max="16384" width="9.140625" style="817"/>
  </cols>
  <sheetData>
    <row r="1" spans="1:12" s="816" customFormat="1" ht="15.75">
      <c r="A1" s="1044" t="str">
        <f>CONCATENATE("2013 Application Tabs Checklist for:  ",'Part I-Project Information'!F23, ",  ",'Part I-Project Information'!F26, ",  ",'Part I-Project Information'!J27, " County")</f>
        <v>2013 Application Tabs Checklist for:  North Lake Senior Village, LP,  Columbus,  Muscogee County</v>
      </c>
      <c r="B1" s="1045"/>
      <c r="C1" s="1045"/>
      <c r="D1" s="1045"/>
      <c r="E1" s="1045"/>
      <c r="F1" s="1045"/>
      <c r="G1" s="1045"/>
      <c r="H1" s="1045"/>
      <c r="I1" s="1045"/>
      <c r="J1" s="1045"/>
      <c r="K1" s="1045"/>
      <c r="L1" s="1046"/>
    </row>
    <row r="2" spans="1:12" ht="26.25" customHeight="1">
      <c r="A2" s="1034" t="s">
        <v>3971</v>
      </c>
      <c r="B2" s="1034"/>
      <c r="C2" s="1034"/>
      <c r="D2" s="1034"/>
      <c r="E2" s="1034"/>
      <c r="F2" s="1034"/>
      <c r="G2" s="1034"/>
      <c r="H2" s="1034"/>
      <c r="I2" s="1034"/>
      <c r="J2" s="1034"/>
      <c r="K2" s="1034"/>
      <c r="L2" s="1034"/>
    </row>
    <row r="3" spans="1:12" s="821" customFormat="1" ht="12" customHeight="1">
      <c r="A3" s="1047" t="s">
        <v>3775</v>
      </c>
      <c r="B3" s="818"/>
      <c r="C3" s="818"/>
      <c r="D3" s="818"/>
      <c r="E3" s="1049" t="s">
        <v>3776</v>
      </c>
      <c r="F3" s="819"/>
      <c r="G3" s="819"/>
      <c r="H3" s="819"/>
      <c r="I3" s="820"/>
      <c r="J3" s="819"/>
      <c r="K3" s="819"/>
      <c r="L3" s="1049" t="s">
        <v>3777</v>
      </c>
    </row>
    <row r="4" spans="1:12" s="821" customFormat="1" ht="12.75" thickBot="1">
      <c r="A4" s="1048"/>
      <c r="B4" s="822" t="s">
        <v>3778</v>
      </c>
      <c r="C4" s="822"/>
      <c r="D4" s="822"/>
      <c r="E4" s="1050"/>
      <c r="F4" s="822" t="s">
        <v>4000</v>
      </c>
      <c r="G4" s="823"/>
      <c r="H4" s="823"/>
      <c r="I4" s="822" t="s">
        <v>3779</v>
      </c>
      <c r="J4" s="823"/>
      <c r="K4" s="823"/>
      <c r="L4" s="1050"/>
    </row>
    <row r="5" spans="1:12" s="827" customFormat="1">
      <c r="A5" s="824"/>
      <c r="B5" s="825"/>
      <c r="C5" s="825"/>
      <c r="D5" s="825"/>
      <c r="E5" s="826"/>
      <c r="F5" s="827" t="s">
        <v>3780</v>
      </c>
      <c r="I5" s="828"/>
      <c r="L5" s="829" t="s">
        <v>4068</v>
      </c>
    </row>
    <row r="6" spans="1:12" s="827" customFormat="1" ht="12" customHeight="1">
      <c r="A6" s="830" t="s">
        <v>3781</v>
      </c>
      <c r="B6" s="825" t="s">
        <v>1866</v>
      </c>
      <c r="C6" s="825"/>
      <c r="D6" s="825"/>
      <c r="E6" s="831" t="s">
        <v>3781</v>
      </c>
      <c r="F6" s="827" t="s">
        <v>3967</v>
      </c>
      <c r="I6" s="828"/>
      <c r="L6" s="832" t="s">
        <v>4068</v>
      </c>
    </row>
    <row r="7" spans="1:12" s="827" customFormat="1" ht="12" customHeight="1">
      <c r="A7" s="824"/>
      <c r="B7" s="825"/>
      <c r="C7" s="825"/>
      <c r="D7" s="825"/>
      <c r="E7" s="833" t="s">
        <v>3609</v>
      </c>
      <c r="F7" s="827" t="s">
        <v>3782</v>
      </c>
      <c r="I7" s="828"/>
      <c r="L7" s="832" t="s">
        <v>4068</v>
      </c>
    </row>
    <row r="8" spans="1:12" s="827" customFormat="1" ht="12" customHeight="1">
      <c r="A8" s="824"/>
      <c r="B8" s="825"/>
      <c r="C8" s="825"/>
      <c r="D8" s="825"/>
      <c r="E8" s="833" t="s">
        <v>3607</v>
      </c>
      <c r="F8" s="827" t="s">
        <v>554</v>
      </c>
      <c r="I8" s="828"/>
      <c r="L8" s="832" t="s">
        <v>4067</v>
      </c>
    </row>
    <row r="9" spans="1:12" s="827" customFormat="1" ht="12" customHeight="1">
      <c r="A9" s="824"/>
      <c r="B9" s="825"/>
      <c r="C9" s="825"/>
      <c r="D9" s="825"/>
      <c r="E9" s="833" t="s">
        <v>3608</v>
      </c>
      <c r="F9" s="827" t="s">
        <v>3577</v>
      </c>
      <c r="I9" s="828"/>
      <c r="L9" s="832" t="s">
        <v>4068</v>
      </c>
    </row>
    <row r="10" spans="1:12" s="827" customFormat="1" ht="12" customHeight="1">
      <c r="A10" s="824"/>
      <c r="B10" s="825"/>
      <c r="C10" s="825"/>
      <c r="D10" s="825"/>
      <c r="E10" s="833" t="s">
        <v>3610</v>
      </c>
      <c r="F10" s="827" t="s">
        <v>3597</v>
      </c>
      <c r="I10" s="828"/>
      <c r="J10" s="834"/>
      <c r="L10" s="832" t="s">
        <v>4068</v>
      </c>
    </row>
    <row r="11" spans="1:12" s="827" customFormat="1" ht="12" customHeight="1">
      <c r="A11" s="824"/>
      <c r="B11" s="825"/>
      <c r="C11" s="825"/>
      <c r="D11" s="825"/>
      <c r="E11" s="833" t="s">
        <v>3611</v>
      </c>
      <c r="F11" s="827" t="s">
        <v>3783</v>
      </c>
      <c r="I11" s="828"/>
      <c r="J11" s="834"/>
      <c r="L11" s="835" t="s">
        <v>4067</v>
      </c>
    </row>
    <row r="12" spans="1:12" s="827" customFormat="1" ht="12" customHeight="1">
      <c r="A12" s="824"/>
      <c r="B12" s="825"/>
      <c r="C12" s="825"/>
      <c r="D12" s="825"/>
      <c r="E12" s="836" t="s">
        <v>3612</v>
      </c>
      <c r="F12" s="827" t="s">
        <v>3969</v>
      </c>
      <c r="I12" s="828"/>
      <c r="J12" s="834"/>
      <c r="L12" s="835" t="s">
        <v>4067</v>
      </c>
    </row>
    <row r="13" spans="1:12" s="827" customFormat="1" ht="12" customHeight="1">
      <c r="A13" s="1051" t="s">
        <v>3784</v>
      </c>
      <c r="B13" s="1051"/>
      <c r="C13" s="1051"/>
      <c r="D13" s="1051"/>
      <c r="E13" s="1051"/>
      <c r="F13" s="1051"/>
      <c r="G13" s="1051"/>
      <c r="H13" s="1051"/>
      <c r="I13" s="1051"/>
      <c r="J13" s="1051"/>
      <c r="K13" s="1051"/>
      <c r="L13" s="1051"/>
    </row>
    <row r="14" spans="1:12" s="827" customFormat="1" ht="12" customHeight="1">
      <c r="A14" s="837" t="s">
        <v>3609</v>
      </c>
      <c r="B14" s="838" t="s">
        <v>4031</v>
      </c>
      <c r="C14" s="838"/>
      <c r="D14" s="839" t="s">
        <v>4032</v>
      </c>
      <c r="E14" s="831" t="s">
        <v>3609</v>
      </c>
      <c r="F14" s="827" t="s">
        <v>3785</v>
      </c>
      <c r="I14" s="828"/>
      <c r="J14" s="834"/>
      <c r="L14" s="832" t="s">
        <v>4067</v>
      </c>
    </row>
    <row r="15" spans="1:12" s="827" customFormat="1" ht="12" customHeight="1">
      <c r="A15" s="824"/>
      <c r="C15" s="840"/>
      <c r="D15" s="825" t="s">
        <v>3786</v>
      </c>
      <c r="E15" s="833" t="s">
        <v>3607</v>
      </c>
      <c r="F15" s="1031" t="s">
        <v>3787</v>
      </c>
      <c r="G15" s="1031"/>
      <c r="H15" s="1031"/>
      <c r="I15" s="841" t="s">
        <v>3931</v>
      </c>
      <c r="J15" s="842" t="s">
        <v>3932</v>
      </c>
      <c r="K15" s="842" t="s">
        <v>3936</v>
      </c>
      <c r="L15" s="832" t="s">
        <v>4067</v>
      </c>
    </row>
    <row r="16" spans="1:12" s="827" customFormat="1" ht="12" customHeight="1">
      <c r="A16" s="824"/>
      <c r="C16" s="840"/>
      <c r="D16" s="825"/>
      <c r="E16" s="833"/>
      <c r="F16" s="1031"/>
      <c r="G16" s="1031"/>
      <c r="H16" s="1031"/>
      <c r="I16" s="841" t="s">
        <v>3933</v>
      </c>
      <c r="J16" s="842" t="s">
        <v>2697</v>
      </c>
      <c r="K16" s="842" t="s">
        <v>3937</v>
      </c>
    </row>
    <row r="17" spans="1:12" s="827" customFormat="1" ht="12" customHeight="1">
      <c r="A17" s="824"/>
      <c r="C17" s="840"/>
      <c r="D17" s="825"/>
      <c r="E17" s="833"/>
      <c r="F17" s="1031"/>
      <c r="G17" s="1031"/>
      <c r="H17" s="1031"/>
      <c r="I17" s="841" t="s">
        <v>3793</v>
      </c>
      <c r="J17" s="842" t="s">
        <v>3934</v>
      </c>
      <c r="K17" s="842" t="s">
        <v>565</v>
      </c>
    </row>
    <row r="18" spans="1:12" s="827" customFormat="1" ht="23.25" customHeight="1">
      <c r="A18" s="824"/>
      <c r="C18" s="840"/>
      <c r="D18" s="825"/>
      <c r="E18" s="833"/>
      <c r="F18" s="1031"/>
      <c r="G18" s="1031"/>
      <c r="H18" s="1031"/>
      <c r="I18" s="841" t="s">
        <v>3793</v>
      </c>
      <c r="J18" s="842" t="s">
        <v>3935</v>
      </c>
      <c r="K18" s="842" t="s">
        <v>565</v>
      </c>
    </row>
    <row r="19" spans="1:12" s="827" customFormat="1" ht="12" customHeight="1">
      <c r="A19" s="824"/>
      <c r="C19" s="840"/>
      <c r="D19" s="825" t="s">
        <v>3788</v>
      </c>
      <c r="E19" s="833" t="s">
        <v>3608</v>
      </c>
      <c r="F19" s="834" t="s">
        <v>3976</v>
      </c>
      <c r="G19" s="843"/>
      <c r="H19" s="843"/>
      <c r="I19" s="841"/>
      <c r="J19" s="842"/>
      <c r="L19" s="832" t="s">
        <v>4068</v>
      </c>
    </row>
    <row r="20" spans="1:12" s="827" customFormat="1" ht="12" customHeight="1">
      <c r="A20" s="824"/>
      <c r="C20" s="840"/>
      <c r="D20" s="825"/>
      <c r="E20" s="844"/>
      <c r="F20" s="827" t="s">
        <v>3977</v>
      </c>
      <c r="I20" s="828"/>
      <c r="J20" s="834"/>
      <c r="L20" s="832" t="s">
        <v>4068</v>
      </c>
    </row>
    <row r="21" spans="1:12" s="827" customFormat="1" ht="23.25" customHeight="1">
      <c r="A21" s="824"/>
      <c r="C21" s="840"/>
      <c r="D21" s="825" t="s">
        <v>3789</v>
      </c>
      <c r="E21" s="833" t="s">
        <v>3610</v>
      </c>
      <c r="F21" s="827" t="s">
        <v>3978</v>
      </c>
      <c r="I21" s="841" t="s">
        <v>3790</v>
      </c>
      <c r="J21" s="842" t="s">
        <v>3791</v>
      </c>
      <c r="K21" s="842" t="s">
        <v>3792</v>
      </c>
      <c r="L21" s="832" t="s">
        <v>4068</v>
      </c>
    </row>
    <row r="22" spans="1:12" s="827" customFormat="1" ht="12" customHeight="1">
      <c r="A22" s="824"/>
      <c r="C22" s="840"/>
      <c r="D22" s="825"/>
      <c r="E22" s="844"/>
      <c r="F22" s="827" t="s">
        <v>3979</v>
      </c>
      <c r="I22" s="828" t="s">
        <v>3793</v>
      </c>
      <c r="J22" s="834" t="s">
        <v>3794</v>
      </c>
      <c r="K22" s="827" t="s">
        <v>565</v>
      </c>
      <c r="L22" s="832" t="s">
        <v>4067</v>
      </c>
    </row>
    <row r="23" spans="1:12" s="827" customFormat="1" ht="12" customHeight="1">
      <c r="A23" s="824"/>
      <c r="C23" s="840"/>
      <c r="D23" s="825"/>
      <c r="E23" s="844"/>
      <c r="F23" s="827" t="s">
        <v>3980</v>
      </c>
      <c r="I23" s="828"/>
      <c r="J23" s="834"/>
      <c r="L23" s="832" t="s">
        <v>4067</v>
      </c>
    </row>
    <row r="24" spans="1:12" s="827" customFormat="1" ht="12" customHeight="1">
      <c r="A24" s="824"/>
      <c r="C24" s="840"/>
      <c r="D24" s="825"/>
      <c r="E24" s="844"/>
      <c r="F24" s="827" t="s">
        <v>3981</v>
      </c>
      <c r="I24" s="828"/>
      <c r="J24" s="834"/>
      <c r="L24" s="832" t="s">
        <v>4067</v>
      </c>
    </row>
    <row r="25" spans="1:12" s="827" customFormat="1" ht="12" customHeight="1">
      <c r="A25" s="824"/>
      <c r="C25" s="840"/>
      <c r="D25" s="825"/>
      <c r="E25" s="844"/>
      <c r="F25" s="827" t="s">
        <v>3982</v>
      </c>
      <c r="I25" s="828"/>
      <c r="J25" s="834"/>
      <c r="L25" s="832" t="s">
        <v>4067</v>
      </c>
    </row>
    <row r="26" spans="1:12" s="827" customFormat="1" ht="12" customHeight="1">
      <c r="A26" s="824"/>
      <c r="C26" s="840"/>
      <c r="D26" s="825" t="s">
        <v>3795</v>
      </c>
      <c r="E26" s="833" t="s">
        <v>3611</v>
      </c>
      <c r="F26" s="827" t="s">
        <v>3983</v>
      </c>
      <c r="I26" s="828"/>
      <c r="J26" s="834"/>
      <c r="L26" s="832" t="s">
        <v>4067</v>
      </c>
    </row>
    <row r="27" spans="1:12" s="827" customFormat="1" ht="12" customHeight="1">
      <c r="A27" s="824"/>
      <c r="B27" s="845"/>
      <c r="C27" s="845"/>
      <c r="D27" s="845"/>
      <c r="E27" s="844"/>
      <c r="F27" s="827" t="s">
        <v>3984</v>
      </c>
      <c r="I27" s="828"/>
      <c r="J27" s="834"/>
      <c r="L27" s="832" t="s">
        <v>4067</v>
      </c>
    </row>
    <row r="28" spans="1:12" s="827" customFormat="1" ht="12" customHeight="1">
      <c r="A28" s="824"/>
      <c r="B28" s="845"/>
      <c r="C28" s="845"/>
      <c r="D28" s="845"/>
      <c r="E28" s="844"/>
      <c r="F28" s="827" t="s">
        <v>3985</v>
      </c>
      <c r="I28" s="828"/>
      <c r="J28" s="834"/>
      <c r="L28" s="832" t="s">
        <v>4067</v>
      </c>
    </row>
    <row r="29" spans="1:12" s="827" customFormat="1" ht="12" customHeight="1">
      <c r="A29" s="824"/>
      <c r="B29" s="845"/>
      <c r="C29" s="845"/>
      <c r="D29" s="845"/>
      <c r="E29" s="844"/>
      <c r="F29" s="827" t="s">
        <v>3986</v>
      </c>
      <c r="I29" s="828"/>
      <c r="J29" s="834"/>
      <c r="L29" s="832" t="s">
        <v>4067</v>
      </c>
    </row>
    <row r="30" spans="1:12" s="827" customFormat="1" ht="12" customHeight="1">
      <c r="A30" s="824"/>
      <c r="B30" s="845"/>
      <c r="C30" s="845"/>
      <c r="D30" s="845"/>
      <c r="E30" s="833" t="s">
        <v>3612</v>
      </c>
      <c r="F30" s="827" t="s">
        <v>3796</v>
      </c>
      <c r="I30" s="828"/>
      <c r="J30" s="834"/>
      <c r="L30" s="832" t="s">
        <v>4068</v>
      </c>
    </row>
    <row r="31" spans="1:12" s="827" customFormat="1" ht="12" customHeight="1">
      <c r="A31" s="824"/>
      <c r="B31" s="845"/>
      <c r="C31" s="845"/>
      <c r="D31" s="845"/>
      <c r="E31" s="833" t="s">
        <v>3613</v>
      </c>
      <c r="F31" s="827" t="s">
        <v>3797</v>
      </c>
      <c r="I31" s="828"/>
      <c r="J31" s="834"/>
      <c r="L31" s="832" t="s">
        <v>4067</v>
      </c>
    </row>
    <row r="32" spans="1:12" s="827" customFormat="1" ht="23.25" customHeight="1">
      <c r="A32" s="846" t="s">
        <v>3607</v>
      </c>
      <c r="B32" s="847" t="s">
        <v>3798</v>
      </c>
      <c r="C32" s="847"/>
      <c r="D32" s="847"/>
      <c r="E32" s="831" t="s">
        <v>3609</v>
      </c>
      <c r="F32" s="1037" t="s">
        <v>3799</v>
      </c>
      <c r="G32" s="1037"/>
      <c r="H32" s="1037"/>
      <c r="I32" s="848" t="s">
        <v>3800</v>
      </c>
      <c r="J32" s="849" t="s">
        <v>3801</v>
      </c>
      <c r="K32" s="850" t="s">
        <v>3802</v>
      </c>
      <c r="L32" s="832" t="s">
        <v>4067</v>
      </c>
    </row>
    <row r="33" spans="1:12" s="827" customFormat="1" ht="12" customHeight="1">
      <c r="A33" s="824"/>
      <c r="B33" s="825"/>
      <c r="C33" s="825"/>
      <c r="D33" s="825"/>
      <c r="E33" s="833" t="s">
        <v>3607</v>
      </c>
      <c r="F33" s="827" t="s">
        <v>3803</v>
      </c>
      <c r="I33" s="828"/>
      <c r="J33" s="834"/>
      <c r="L33" s="832" t="s">
        <v>4067</v>
      </c>
    </row>
    <row r="34" spans="1:12" s="827" customFormat="1" ht="12" customHeight="1">
      <c r="A34" s="846" t="s">
        <v>3608</v>
      </c>
      <c r="B34" s="847" t="s">
        <v>4033</v>
      </c>
      <c r="C34" s="847"/>
      <c r="D34" s="847" t="s">
        <v>3840</v>
      </c>
      <c r="E34" s="831" t="s">
        <v>3609</v>
      </c>
      <c r="F34" s="851" t="s">
        <v>3804</v>
      </c>
      <c r="G34" s="851"/>
      <c r="H34" s="851"/>
      <c r="I34" s="848"/>
      <c r="J34" s="849"/>
      <c r="K34" s="850"/>
      <c r="L34" s="832" t="s">
        <v>4067</v>
      </c>
    </row>
    <row r="35" spans="1:12" s="827" customFormat="1" ht="12" customHeight="1">
      <c r="A35" s="846" t="s">
        <v>3610</v>
      </c>
      <c r="B35" s="847" t="s">
        <v>4034</v>
      </c>
      <c r="C35" s="847"/>
      <c r="D35" s="847" t="s">
        <v>3837</v>
      </c>
      <c r="E35" s="831" t="s">
        <v>3609</v>
      </c>
      <c r="F35" s="851" t="s">
        <v>3805</v>
      </c>
      <c r="G35" s="851"/>
      <c r="H35" s="851"/>
      <c r="I35" s="848"/>
      <c r="J35" s="849"/>
      <c r="K35" s="850"/>
      <c r="L35" s="832" t="s">
        <v>4067</v>
      </c>
    </row>
    <row r="36" spans="1:12" s="827" customFormat="1" ht="12" customHeight="1">
      <c r="A36" s="824"/>
      <c r="B36" s="840"/>
      <c r="C36" s="840"/>
      <c r="D36" s="825" t="s">
        <v>3806</v>
      </c>
      <c r="E36" s="833" t="s">
        <v>3607</v>
      </c>
      <c r="F36" s="852" t="s">
        <v>3807</v>
      </c>
      <c r="I36" s="828"/>
      <c r="J36" s="834"/>
      <c r="L36" s="832" t="s">
        <v>4067</v>
      </c>
    </row>
    <row r="37" spans="1:12" s="827" customFormat="1" ht="12" customHeight="1">
      <c r="A37" s="846" t="s">
        <v>3611</v>
      </c>
      <c r="B37" s="847" t="s">
        <v>3808</v>
      </c>
      <c r="C37" s="847"/>
      <c r="D37" s="847"/>
      <c r="E37" s="831" t="s">
        <v>3609</v>
      </c>
      <c r="F37" s="851" t="s">
        <v>584</v>
      </c>
      <c r="G37" s="851"/>
      <c r="H37" s="851"/>
      <c r="I37" s="848" t="s">
        <v>463</v>
      </c>
      <c r="J37" s="849" t="s">
        <v>3809</v>
      </c>
      <c r="K37" s="850" t="s">
        <v>3810</v>
      </c>
      <c r="L37" s="832" t="s">
        <v>4068</v>
      </c>
    </row>
    <row r="38" spans="1:12" s="827" customFormat="1" ht="12" customHeight="1">
      <c r="A38" s="846" t="s">
        <v>3612</v>
      </c>
      <c r="B38" s="847" t="s">
        <v>4035</v>
      </c>
      <c r="C38" s="847"/>
      <c r="D38" s="847" t="s">
        <v>3806</v>
      </c>
      <c r="E38" s="831" t="s">
        <v>3609</v>
      </c>
      <c r="F38" s="851" t="s">
        <v>3811</v>
      </c>
      <c r="G38" s="851"/>
      <c r="H38" s="851"/>
      <c r="I38" s="848"/>
      <c r="J38" s="849"/>
      <c r="K38" s="850"/>
      <c r="L38" s="832" t="s">
        <v>4067</v>
      </c>
    </row>
    <row r="39" spans="1:12" s="827" customFormat="1" ht="12" customHeight="1">
      <c r="A39" s="846" t="s">
        <v>3613</v>
      </c>
      <c r="B39" s="847" t="s">
        <v>4036</v>
      </c>
      <c r="C39" s="847"/>
      <c r="D39" s="847" t="s">
        <v>4037</v>
      </c>
      <c r="E39" s="831" t="s">
        <v>3609</v>
      </c>
      <c r="F39" s="851" t="s">
        <v>3812</v>
      </c>
      <c r="G39" s="851"/>
      <c r="H39" s="851"/>
      <c r="I39" s="848"/>
      <c r="J39" s="849"/>
      <c r="K39" s="850"/>
      <c r="L39" s="832" t="s">
        <v>4067</v>
      </c>
    </row>
    <row r="40" spans="1:12" s="827" customFormat="1" ht="12" customHeight="1">
      <c r="B40" s="1040" t="s">
        <v>4038</v>
      </c>
      <c r="C40" s="1040"/>
      <c r="D40" s="853"/>
      <c r="E40" s="833" t="s">
        <v>3607</v>
      </c>
      <c r="F40" s="827" t="s">
        <v>3813</v>
      </c>
      <c r="I40" s="828"/>
      <c r="J40" s="834"/>
      <c r="L40" s="832" t="s">
        <v>4068</v>
      </c>
    </row>
    <row r="41" spans="1:12" s="827" customFormat="1" ht="12" customHeight="1">
      <c r="B41" s="1040"/>
      <c r="C41" s="1040"/>
      <c r="D41" s="853"/>
      <c r="E41" s="833" t="s">
        <v>3608</v>
      </c>
      <c r="F41" s="827" t="s">
        <v>3814</v>
      </c>
      <c r="I41" s="828"/>
      <c r="J41" s="834"/>
      <c r="L41" s="832" t="s">
        <v>4067</v>
      </c>
    </row>
    <row r="42" spans="1:12" s="827" customFormat="1" ht="12" customHeight="1">
      <c r="B42" s="1040"/>
      <c r="C42" s="1040"/>
      <c r="D42" s="824"/>
      <c r="E42" s="854" t="s">
        <v>3610</v>
      </c>
      <c r="F42" s="1035" t="s">
        <v>3970</v>
      </c>
      <c r="G42" s="1035"/>
      <c r="H42" s="1035"/>
      <c r="I42" s="1035"/>
      <c r="J42" s="1035"/>
      <c r="K42" s="1036"/>
      <c r="L42" s="832" t="s">
        <v>4067</v>
      </c>
    </row>
    <row r="43" spans="1:12" s="827" customFormat="1" ht="23.25" customHeight="1">
      <c r="A43" s="846" t="s">
        <v>3946</v>
      </c>
      <c r="B43" s="855" t="s">
        <v>3815</v>
      </c>
      <c r="C43" s="855"/>
      <c r="D43" s="855"/>
      <c r="E43" s="831" t="s">
        <v>3609</v>
      </c>
      <c r="F43" s="1038" t="s">
        <v>3816</v>
      </c>
      <c r="G43" s="1038"/>
      <c r="H43" s="1038"/>
      <c r="I43" s="848" t="s">
        <v>3800</v>
      </c>
      <c r="J43" s="849" t="s">
        <v>2697</v>
      </c>
      <c r="K43" s="850" t="s">
        <v>3802</v>
      </c>
      <c r="L43" s="832" t="s">
        <v>4068</v>
      </c>
    </row>
    <row r="44" spans="1:12" s="827" customFormat="1" ht="12" customHeight="1">
      <c r="A44" s="824"/>
      <c r="B44" s="825"/>
      <c r="C44" s="825"/>
      <c r="D44" s="825"/>
      <c r="E44" s="833" t="s">
        <v>3607</v>
      </c>
      <c r="F44" s="827" t="s">
        <v>3817</v>
      </c>
      <c r="I44" s="828"/>
      <c r="J44" s="834"/>
      <c r="L44" s="832" t="s">
        <v>4067</v>
      </c>
    </row>
    <row r="45" spans="1:12" s="827" customFormat="1" ht="12" customHeight="1">
      <c r="A45" s="824"/>
      <c r="B45" s="825"/>
      <c r="C45" s="825"/>
      <c r="D45" s="825"/>
      <c r="E45" s="833" t="s">
        <v>3608</v>
      </c>
      <c r="F45" s="827" t="s">
        <v>3818</v>
      </c>
      <c r="I45" s="828"/>
      <c r="J45" s="834"/>
      <c r="L45" s="832" t="s">
        <v>4067</v>
      </c>
    </row>
    <row r="46" spans="1:12" s="827" customFormat="1" ht="12" customHeight="1">
      <c r="A46" s="846" t="s">
        <v>3947</v>
      </c>
      <c r="B46" s="847" t="s">
        <v>3819</v>
      </c>
      <c r="C46" s="847"/>
      <c r="D46" s="847"/>
      <c r="E46" s="831" t="s">
        <v>3609</v>
      </c>
      <c r="F46" s="851" t="s">
        <v>3820</v>
      </c>
      <c r="G46" s="851"/>
      <c r="H46" s="851"/>
      <c r="I46" s="848"/>
      <c r="J46" s="849"/>
      <c r="K46" s="850"/>
      <c r="L46" s="832" t="s">
        <v>4068</v>
      </c>
    </row>
    <row r="47" spans="1:12" s="827" customFormat="1" ht="12" customHeight="1">
      <c r="A47" s="856">
        <v>10</v>
      </c>
      <c r="B47" s="847" t="s">
        <v>3821</v>
      </c>
      <c r="C47" s="847"/>
      <c r="D47" s="847"/>
      <c r="E47" s="831" t="s">
        <v>3609</v>
      </c>
      <c r="F47" s="851" t="s">
        <v>3822</v>
      </c>
      <c r="G47" s="851"/>
      <c r="H47" s="851"/>
      <c r="I47" s="848"/>
      <c r="J47" s="849"/>
      <c r="K47" s="850"/>
      <c r="L47" s="832" t="s">
        <v>4068</v>
      </c>
    </row>
    <row r="48" spans="1:12" s="827" customFormat="1" ht="12" customHeight="1">
      <c r="A48" s="824"/>
      <c r="B48" s="825"/>
      <c r="C48" s="825"/>
      <c r="D48" s="825"/>
      <c r="E48" s="833" t="s">
        <v>3607</v>
      </c>
      <c r="F48" s="827" t="s">
        <v>3823</v>
      </c>
      <c r="I48" s="828"/>
      <c r="J48" s="834"/>
      <c r="L48" s="832" t="s">
        <v>4068</v>
      </c>
    </row>
    <row r="49" spans="1:12" s="827" customFormat="1" ht="12" customHeight="1">
      <c r="A49" s="856">
        <v>11</v>
      </c>
      <c r="B49" s="847" t="s">
        <v>3824</v>
      </c>
      <c r="C49" s="847"/>
      <c r="D49" s="847"/>
      <c r="E49" s="831" t="s">
        <v>3609</v>
      </c>
      <c r="F49" s="851" t="s">
        <v>3825</v>
      </c>
      <c r="G49" s="851"/>
      <c r="H49" s="851"/>
      <c r="I49" s="848"/>
      <c r="J49" s="849"/>
      <c r="K49" s="850"/>
      <c r="L49" s="832" t="s">
        <v>4068</v>
      </c>
    </row>
    <row r="50" spans="1:12" s="827" customFormat="1" ht="12" customHeight="1">
      <c r="A50" s="856">
        <v>12</v>
      </c>
      <c r="B50" s="847" t="s">
        <v>3826</v>
      </c>
      <c r="C50" s="847"/>
      <c r="D50" s="847"/>
      <c r="E50" s="831" t="s">
        <v>3609</v>
      </c>
      <c r="F50" s="851" t="s">
        <v>3827</v>
      </c>
      <c r="G50" s="851"/>
      <c r="H50" s="851"/>
      <c r="I50" s="848"/>
      <c r="J50" s="849"/>
      <c r="K50" s="850"/>
      <c r="L50" s="832" t="s">
        <v>4068</v>
      </c>
    </row>
    <row r="51" spans="1:12" s="827" customFormat="1" ht="12" customHeight="1">
      <c r="A51" s="824"/>
      <c r="B51" s="825"/>
      <c r="C51" s="825"/>
      <c r="D51" s="825"/>
      <c r="E51" s="833" t="s">
        <v>3607</v>
      </c>
      <c r="F51" s="827" t="s">
        <v>3828</v>
      </c>
      <c r="I51" s="828"/>
      <c r="J51" s="834"/>
      <c r="L51" s="832" t="s">
        <v>4067</v>
      </c>
    </row>
    <row r="52" spans="1:12" s="827" customFormat="1" ht="12" customHeight="1">
      <c r="A52" s="824"/>
      <c r="B52" s="825"/>
      <c r="C52" s="825"/>
      <c r="D52" s="825"/>
      <c r="E52" s="833" t="s">
        <v>3608</v>
      </c>
      <c r="F52" s="827" t="s">
        <v>3829</v>
      </c>
      <c r="I52" s="828"/>
      <c r="J52" s="834"/>
      <c r="L52" s="832" t="s">
        <v>4067</v>
      </c>
    </row>
    <row r="53" spans="1:12" s="827" customFormat="1" ht="12" customHeight="1">
      <c r="A53" s="856">
        <v>13</v>
      </c>
      <c r="B53" s="847" t="s">
        <v>3830</v>
      </c>
      <c r="C53" s="847"/>
      <c r="D53" s="847"/>
      <c r="E53" s="831" t="s">
        <v>3609</v>
      </c>
      <c r="F53" s="851" t="s">
        <v>3831</v>
      </c>
      <c r="G53" s="851"/>
      <c r="H53" s="851"/>
      <c r="I53" s="848"/>
      <c r="J53" s="849"/>
      <c r="K53" s="850"/>
      <c r="L53" s="832" t="s">
        <v>4068</v>
      </c>
    </row>
    <row r="54" spans="1:12" s="827" customFormat="1" ht="12" customHeight="1">
      <c r="A54" s="824"/>
      <c r="B54" s="825"/>
      <c r="C54" s="825"/>
      <c r="D54" s="825"/>
      <c r="E54" s="833" t="s">
        <v>3607</v>
      </c>
      <c r="F54" s="827" t="s">
        <v>3832</v>
      </c>
      <c r="I54" s="828"/>
      <c r="J54" s="834"/>
      <c r="L54" s="832" t="s">
        <v>4067</v>
      </c>
    </row>
    <row r="55" spans="1:12" s="827" customFormat="1" ht="12" customHeight="1">
      <c r="A55" s="856">
        <v>14</v>
      </c>
      <c r="B55" s="847" t="s">
        <v>3833</v>
      </c>
      <c r="C55" s="847"/>
      <c r="D55" s="847"/>
      <c r="E55" s="831" t="s">
        <v>3609</v>
      </c>
      <c r="F55" s="851" t="s">
        <v>3834</v>
      </c>
      <c r="G55" s="851"/>
      <c r="H55" s="851"/>
      <c r="I55" s="848"/>
      <c r="J55" s="849"/>
      <c r="K55" s="850"/>
      <c r="L55" s="832" t="s">
        <v>4067</v>
      </c>
    </row>
    <row r="56" spans="1:12" s="827" customFormat="1" ht="12" customHeight="1">
      <c r="A56" s="856">
        <v>15</v>
      </c>
      <c r="B56" s="847" t="s">
        <v>3835</v>
      </c>
      <c r="C56" s="847"/>
      <c r="D56" s="847"/>
      <c r="E56" s="831" t="s">
        <v>3609</v>
      </c>
      <c r="F56" s="851" t="s">
        <v>3836</v>
      </c>
      <c r="G56" s="851"/>
      <c r="H56" s="851"/>
      <c r="I56" s="848"/>
      <c r="J56" s="849"/>
      <c r="K56" s="850"/>
      <c r="L56" s="832" t="s">
        <v>4067</v>
      </c>
    </row>
    <row r="57" spans="1:12" s="827" customFormat="1" ht="12" customHeight="1">
      <c r="A57" s="824"/>
      <c r="B57" s="840"/>
      <c r="C57" s="840"/>
      <c r="D57" s="825" t="s">
        <v>3837</v>
      </c>
      <c r="E57" s="833" t="s">
        <v>3607</v>
      </c>
      <c r="F57" s="827" t="s">
        <v>3838</v>
      </c>
      <c r="I57" s="828"/>
      <c r="J57" s="834"/>
      <c r="L57" s="832" t="s">
        <v>4067</v>
      </c>
    </row>
    <row r="58" spans="1:12" s="827" customFormat="1" ht="12" customHeight="1">
      <c r="A58" s="824"/>
      <c r="B58" s="840"/>
      <c r="C58" s="840"/>
      <c r="D58" s="825" t="s">
        <v>3806</v>
      </c>
      <c r="E58" s="833" t="s">
        <v>3608</v>
      </c>
      <c r="F58" s="827" t="s">
        <v>3839</v>
      </c>
      <c r="I58" s="828"/>
      <c r="J58" s="834"/>
      <c r="L58" s="832" t="s">
        <v>4067</v>
      </c>
    </row>
    <row r="59" spans="1:12" s="827" customFormat="1" ht="12" customHeight="1">
      <c r="A59" s="824"/>
      <c r="B59" s="840"/>
      <c r="C59" s="840"/>
      <c r="D59" s="825" t="s">
        <v>3840</v>
      </c>
      <c r="E59" s="833" t="s">
        <v>3610</v>
      </c>
      <c r="F59" s="827" t="s">
        <v>3841</v>
      </c>
      <c r="I59" s="828"/>
      <c r="J59" s="834"/>
      <c r="L59" s="832" t="s">
        <v>4067</v>
      </c>
    </row>
    <row r="60" spans="1:12" s="827" customFormat="1" ht="12" customHeight="1">
      <c r="A60" s="856">
        <v>16</v>
      </c>
      <c r="B60" s="1041" t="s">
        <v>3842</v>
      </c>
      <c r="C60" s="1041"/>
      <c r="D60" s="847"/>
      <c r="E60" s="831" t="s">
        <v>3609</v>
      </c>
      <c r="F60" s="851" t="s">
        <v>3843</v>
      </c>
      <c r="G60" s="851"/>
      <c r="H60" s="851"/>
      <c r="I60" s="848"/>
      <c r="J60" s="849"/>
      <c r="K60" s="850"/>
      <c r="L60" s="832" t="s">
        <v>4068</v>
      </c>
    </row>
    <row r="61" spans="1:12" s="827" customFormat="1" ht="12" customHeight="1">
      <c r="A61" s="824"/>
      <c r="B61" s="1042"/>
      <c r="C61" s="1042"/>
      <c r="D61" s="825"/>
      <c r="E61" s="833" t="s">
        <v>3607</v>
      </c>
      <c r="F61" s="827" t="s">
        <v>3844</v>
      </c>
      <c r="I61" s="828"/>
      <c r="J61" s="834"/>
      <c r="L61" s="832" t="s">
        <v>4068</v>
      </c>
    </row>
    <row r="62" spans="1:12" s="827" customFormat="1" ht="12" customHeight="1">
      <c r="A62" s="824"/>
      <c r="B62" s="1042"/>
      <c r="C62" s="1042"/>
      <c r="D62" s="825"/>
      <c r="E62" s="833" t="s">
        <v>3608</v>
      </c>
      <c r="F62" s="827" t="s">
        <v>3845</v>
      </c>
      <c r="I62" s="828"/>
      <c r="J62" s="834"/>
      <c r="L62" s="832" t="s">
        <v>4068</v>
      </c>
    </row>
    <row r="63" spans="1:12" s="827" customFormat="1" ht="12" customHeight="1">
      <c r="A63" s="824"/>
      <c r="B63" s="825"/>
      <c r="C63" s="825"/>
      <c r="D63" s="825"/>
      <c r="E63" s="833" t="s">
        <v>3610</v>
      </c>
      <c r="F63" s="827" t="s">
        <v>3846</v>
      </c>
      <c r="I63" s="828"/>
      <c r="J63" s="834"/>
      <c r="L63" s="832" t="s">
        <v>4068</v>
      </c>
    </row>
    <row r="64" spans="1:12" s="827" customFormat="1" ht="12" customHeight="1">
      <c r="A64" s="856" t="s">
        <v>3948</v>
      </c>
      <c r="B64" s="1041" t="s">
        <v>4041</v>
      </c>
      <c r="C64" s="1041"/>
      <c r="D64" s="847" t="s">
        <v>4037</v>
      </c>
      <c r="E64" s="831" t="s">
        <v>3609</v>
      </c>
      <c r="F64" s="857" t="s">
        <v>3847</v>
      </c>
      <c r="G64" s="858"/>
      <c r="H64" s="851"/>
      <c r="I64" s="848"/>
      <c r="J64" s="849"/>
      <c r="K64" s="850"/>
      <c r="L64" s="832" t="s">
        <v>4067</v>
      </c>
    </row>
    <row r="65" spans="1:12" s="827" customFormat="1" ht="12" customHeight="1">
      <c r="A65" s="824"/>
      <c r="B65" s="1043"/>
      <c r="C65" s="1043"/>
      <c r="D65" s="825"/>
      <c r="E65" s="844" t="s">
        <v>3607</v>
      </c>
      <c r="F65" s="827" t="s">
        <v>3848</v>
      </c>
      <c r="I65" s="828"/>
      <c r="J65" s="834"/>
      <c r="L65" s="832" t="s">
        <v>4067</v>
      </c>
    </row>
    <row r="66" spans="1:12" s="827" customFormat="1" ht="12" customHeight="1">
      <c r="A66" s="856" t="s">
        <v>3949</v>
      </c>
      <c r="B66" s="1041" t="s">
        <v>4043</v>
      </c>
      <c r="C66" s="1041"/>
      <c r="D66" s="847"/>
      <c r="E66" s="831" t="s">
        <v>3609</v>
      </c>
      <c r="F66" s="851" t="s">
        <v>3930</v>
      </c>
      <c r="G66" s="851"/>
      <c r="H66" s="851"/>
      <c r="I66" s="848"/>
      <c r="J66" s="849"/>
      <c r="K66" s="850"/>
      <c r="L66" s="832" t="s">
        <v>4068</v>
      </c>
    </row>
    <row r="67" spans="1:12" s="827" customFormat="1" ht="12" customHeight="1">
      <c r="A67" s="824"/>
      <c r="B67" s="1042"/>
      <c r="C67" s="1042"/>
      <c r="D67" s="825" t="s">
        <v>3849</v>
      </c>
      <c r="E67" s="833" t="s">
        <v>3607</v>
      </c>
      <c r="F67" s="827" t="s">
        <v>3850</v>
      </c>
      <c r="I67" s="828"/>
      <c r="J67" s="834"/>
      <c r="L67" s="832" t="s">
        <v>4067</v>
      </c>
    </row>
    <row r="68" spans="1:12" s="827" customFormat="1" ht="12" customHeight="1">
      <c r="A68" s="838"/>
      <c r="B68" s="839" t="s">
        <v>3851</v>
      </c>
      <c r="C68" s="839"/>
      <c r="D68" s="839"/>
      <c r="E68" s="833" t="s">
        <v>3608</v>
      </c>
      <c r="F68" s="859" t="s">
        <v>3852</v>
      </c>
      <c r="G68" s="859"/>
      <c r="H68" s="859"/>
      <c r="I68" s="860"/>
      <c r="J68" s="859"/>
      <c r="K68" s="861"/>
      <c r="L68" s="832" t="s">
        <v>4068</v>
      </c>
    </row>
    <row r="69" spans="1:12" s="827" customFormat="1" ht="12" customHeight="1">
      <c r="A69" s="824"/>
      <c r="B69" s="825"/>
      <c r="C69" s="825"/>
      <c r="D69" s="825"/>
      <c r="E69" s="833" t="s">
        <v>3610</v>
      </c>
      <c r="F69" s="827" t="s">
        <v>3853</v>
      </c>
      <c r="I69" s="828"/>
      <c r="L69" s="832" t="s">
        <v>4068</v>
      </c>
    </row>
    <row r="70" spans="1:12" s="827" customFormat="1" ht="12" customHeight="1">
      <c r="A70" s="824"/>
      <c r="B70" s="825"/>
      <c r="C70" s="825"/>
      <c r="D70" s="825"/>
      <c r="E70" s="833" t="s">
        <v>3611</v>
      </c>
      <c r="F70" s="827" t="s">
        <v>3854</v>
      </c>
      <c r="I70" s="828"/>
      <c r="L70" s="832" t="s">
        <v>4068</v>
      </c>
    </row>
    <row r="71" spans="1:12" s="827" customFormat="1" ht="23.25" customHeight="1">
      <c r="A71" s="824"/>
      <c r="C71" s="840"/>
      <c r="D71" s="825" t="s">
        <v>3837</v>
      </c>
      <c r="E71" s="833" t="s">
        <v>3612</v>
      </c>
      <c r="F71" s="1039" t="s">
        <v>3972</v>
      </c>
      <c r="G71" s="1039"/>
      <c r="H71" s="1039"/>
      <c r="I71" s="828" t="s">
        <v>3855</v>
      </c>
      <c r="J71" s="834" t="s">
        <v>3856</v>
      </c>
      <c r="K71" s="827" t="s">
        <v>3857</v>
      </c>
      <c r="L71" s="832" t="s">
        <v>4067</v>
      </c>
    </row>
    <row r="72" spans="1:12" s="827" customFormat="1" ht="12" customHeight="1">
      <c r="A72" s="824"/>
      <c r="C72" s="840"/>
      <c r="D72" s="825" t="s">
        <v>3806</v>
      </c>
      <c r="E72" s="833" t="s">
        <v>3613</v>
      </c>
      <c r="F72" s="827" t="s">
        <v>3987</v>
      </c>
      <c r="I72" s="828"/>
      <c r="J72" s="834"/>
      <c r="L72" s="832" t="s">
        <v>4067</v>
      </c>
    </row>
    <row r="73" spans="1:12" s="827" customFormat="1" ht="12" customHeight="1">
      <c r="A73" s="824"/>
      <c r="B73" s="825"/>
      <c r="C73" s="825"/>
      <c r="D73" s="825"/>
      <c r="E73" s="833"/>
      <c r="F73" s="827" t="s">
        <v>3988</v>
      </c>
      <c r="I73" s="828"/>
      <c r="J73" s="834"/>
      <c r="L73" s="832" t="s">
        <v>4068</v>
      </c>
    </row>
    <row r="74" spans="1:12" s="827" customFormat="1" ht="12" customHeight="1">
      <c r="A74" s="824"/>
      <c r="B74" s="825"/>
      <c r="C74" s="825"/>
      <c r="D74" s="825"/>
      <c r="E74" s="833"/>
      <c r="F74" s="1032" t="s">
        <v>3989</v>
      </c>
      <c r="G74" s="1032"/>
      <c r="H74" s="1032"/>
      <c r="I74" s="828" t="s">
        <v>3855</v>
      </c>
      <c r="J74" s="834" t="s">
        <v>3856</v>
      </c>
      <c r="K74" s="827" t="s">
        <v>3857</v>
      </c>
      <c r="L74" s="832" t="s">
        <v>4067</v>
      </c>
    </row>
    <row r="75" spans="1:12" s="827" customFormat="1" ht="12" customHeight="1">
      <c r="A75" s="824"/>
      <c r="B75" s="825"/>
      <c r="C75" s="825"/>
      <c r="D75" s="825"/>
      <c r="E75" s="833" t="s">
        <v>3946</v>
      </c>
      <c r="F75" s="1033" t="s">
        <v>3990</v>
      </c>
      <c r="G75" s="1033"/>
      <c r="H75" s="1033"/>
      <c r="I75" s="828"/>
      <c r="J75" s="834"/>
      <c r="L75" s="832" t="s">
        <v>4067</v>
      </c>
    </row>
    <row r="76" spans="1:12" s="827" customFormat="1" ht="12" customHeight="1">
      <c r="A76" s="824"/>
      <c r="B76" s="825"/>
      <c r="C76" s="825"/>
      <c r="D76" s="825"/>
      <c r="E76" s="854" t="s">
        <v>3947</v>
      </c>
      <c r="F76" s="1035" t="s">
        <v>4168</v>
      </c>
      <c r="G76" s="1035"/>
      <c r="H76" s="1035"/>
      <c r="I76" s="1035"/>
      <c r="J76" s="1035"/>
      <c r="K76" s="1036"/>
      <c r="L76" s="832" t="s">
        <v>4068</v>
      </c>
    </row>
    <row r="77" spans="1:12" s="827" customFormat="1" ht="12" customHeight="1">
      <c r="A77" s="856">
        <v>19</v>
      </c>
      <c r="B77" s="847" t="s">
        <v>4042</v>
      </c>
      <c r="C77" s="847"/>
      <c r="D77" s="847" t="s">
        <v>3837</v>
      </c>
      <c r="E77" s="831" t="s">
        <v>3609</v>
      </c>
      <c r="F77" s="851" t="s">
        <v>3858</v>
      </c>
      <c r="G77" s="851"/>
      <c r="H77" s="851"/>
      <c r="I77" s="848"/>
      <c r="J77" s="849"/>
      <c r="K77" s="851"/>
      <c r="L77" s="832" t="s">
        <v>4067</v>
      </c>
    </row>
    <row r="78" spans="1:12" s="827" customFormat="1" ht="12" customHeight="1">
      <c r="A78" s="824"/>
      <c r="B78" s="825"/>
      <c r="C78" s="825"/>
      <c r="D78" s="825"/>
      <c r="E78" s="833" t="s">
        <v>3607</v>
      </c>
      <c r="F78" s="827" t="s">
        <v>3859</v>
      </c>
      <c r="I78" s="828"/>
      <c r="J78" s="834"/>
      <c r="L78" s="832" t="s">
        <v>4067</v>
      </c>
    </row>
    <row r="79" spans="1:12" s="827" customFormat="1" ht="12" customHeight="1">
      <c r="A79" s="824"/>
      <c r="C79" s="840"/>
      <c r="D79" s="825" t="s">
        <v>3860</v>
      </c>
      <c r="E79" s="833" t="s">
        <v>3608</v>
      </c>
      <c r="F79" s="827" t="s">
        <v>3861</v>
      </c>
      <c r="I79" s="828"/>
      <c r="J79" s="834"/>
      <c r="L79" s="832" t="s">
        <v>4067</v>
      </c>
    </row>
    <row r="80" spans="1:12" s="827" customFormat="1" ht="12" customHeight="1">
      <c r="A80" s="824"/>
      <c r="B80" s="825"/>
      <c r="C80" s="825"/>
      <c r="D80" s="825"/>
      <c r="E80" s="833" t="s">
        <v>3610</v>
      </c>
      <c r="F80" s="1031" t="s">
        <v>3862</v>
      </c>
      <c r="G80" s="1031"/>
      <c r="H80" s="1031"/>
      <c r="I80" s="828"/>
      <c r="J80" s="834"/>
      <c r="L80" s="832" t="s">
        <v>4067</v>
      </c>
    </row>
    <row r="81" spans="1:12" s="827" customFormat="1" ht="12" customHeight="1">
      <c r="A81" s="856">
        <v>20</v>
      </c>
      <c r="B81" s="847" t="s">
        <v>4039</v>
      </c>
      <c r="C81" s="847"/>
      <c r="D81" s="847" t="s">
        <v>3837</v>
      </c>
      <c r="E81" s="831" t="s">
        <v>3609</v>
      </c>
      <c r="F81" s="862" t="s">
        <v>3863</v>
      </c>
      <c r="G81" s="851"/>
      <c r="H81" s="851"/>
      <c r="I81" s="848"/>
      <c r="J81" s="849"/>
      <c r="K81" s="851"/>
      <c r="L81" s="832" t="s">
        <v>4067</v>
      </c>
    </row>
    <row r="82" spans="1:12" s="827" customFormat="1" ht="12" customHeight="1">
      <c r="A82" s="856">
        <v>21</v>
      </c>
      <c r="B82" s="847" t="s">
        <v>3864</v>
      </c>
      <c r="C82" s="847"/>
      <c r="D82" s="847"/>
      <c r="E82" s="831" t="s">
        <v>3609</v>
      </c>
      <c r="F82" s="851" t="s">
        <v>3865</v>
      </c>
      <c r="G82" s="851"/>
      <c r="H82" s="851"/>
      <c r="I82" s="848"/>
      <c r="J82" s="849"/>
      <c r="K82" s="851"/>
      <c r="L82" s="832" t="s">
        <v>4067</v>
      </c>
    </row>
    <row r="83" spans="1:12" s="827" customFormat="1" ht="12" customHeight="1">
      <c r="A83" s="824"/>
      <c r="B83" s="825"/>
      <c r="C83" s="825"/>
      <c r="D83" s="825"/>
      <c r="E83" s="833" t="s">
        <v>3607</v>
      </c>
      <c r="F83" s="827" t="s">
        <v>3866</v>
      </c>
      <c r="I83" s="828"/>
      <c r="J83" s="834"/>
      <c r="L83" s="832" t="s">
        <v>4067</v>
      </c>
    </row>
    <row r="84" spans="1:12" s="827" customFormat="1" ht="12" customHeight="1">
      <c r="A84" s="856">
        <v>22</v>
      </c>
      <c r="B84" s="1041" t="s">
        <v>3867</v>
      </c>
      <c r="C84" s="1041"/>
      <c r="D84" s="847"/>
      <c r="E84" s="831" t="s">
        <v>3609</v>
      </c>
      <c r="F84" s="851" t="s">
        <v>3973</v>
      </c>
      <c r="G84" s="851"/>
      <c r="H84" s="851"/>
      <c r="I84" s="848"/>
      <c r="J84" s="849"/>
      <c r="K84" s="850"/>
      <c r="L84" s="832" t="s">
        <v>4067</v>
      </c>
    </row>
    <row r="85" spans="1:12" s="827" customFormat="1" ht="12" customHeight="1">
      <c r="A85" s="824"/>
      <c r="B85" s="1042"/>
      <c r="C85" s="1042"/>
      <c r="D85" s="825"/>
      <c r="E85" s="833" t="s">
        <v>3607</v>
      </c>
      <c r="F85" s="827" t="s">
        <v>3184</v>
      </c>
      <c r="I85" s="828"/>
      <c r="J85" s="834"/>
      <c r="L85" s="832" t="s">
        <v>4067</v>
      </c>
    </row>
    <row r="86" spans="1:12" s="827" customFormat="1" ht="12" customHeight="1">
      <c r="A86" s="824"/>
      <c r="B86" s="825"/>
      <c r="C86" s="825"/>
      <c r="D86" s="825"/>
      <c r="E86" s="833" t="s">
        <v>3608</v>
      </c>
      <c r="F86" s="827" t="s">
        <v>3868</v>
      </c>
      <c r="I86" s="828"/>
      <c r="J86" s="834"/>
      <c r="L86" s="832" t="s">
        <v>4067</v>
      </c>
    </row>
    <row r="87" spans="1:12" s="827" customFormat="1" ht="12" customHeight="1">
      <c r="A87" s="824"/>
      <c r="B87" s="825"/>
      <c r="C87" s="825"/>
      <c r="D87" s="825"/>
      <c r="E87" s="833" t="s">
        <v>3610</v>
      </c>
      <c r="F87" s="827" t="s">
        <v>624</v>
      </c>
      <c r="I87" s="828"/>
      <c r="J87" s="834"/>
      <c r="L87" s="832" t="s">
        <v>4067</v>
      </c>
    </row>
    <row r="88" spans="1:12" s="827" customFormat="1" ht="12" customHeight="1">
      <c r="A88" s="824"/>
      <c r="B88" s="825"/>
      <c r="C88" s="825"/>
      <c r="D88" s="825"/>
      <c r="E88" s="833" t="s">
        <v>3611</v>
      </c>
      <c r="F88" s="827" t="s">
        <v>831</v>
      </c>
      <c r="I88" s="828"/>
      <c r="J88" s="834"/>
      <c r="L88" s="832" t="s">
        <v>4067</v>
      </c>
    </row>
    <row r="89" spans="1:12" s="827" customFormat="1" ht="12" customHeight="1">
      <c r="A89" s="824"/>
      <c r="B89" s="825"/>
      <c r="C89" s="825"/>
      <c r="D89" s="825"/>
      <c r="E89" s="833" t="s">
        <v>3612</v>
      </c>
      <c r="F89" s="827" t="s">
        <v>1998</v>
      </c>
      <c r="I89" s="828"/>
      <c r="J89" s="834"/>
      <c r="L89" s="832" t="s">
        <v>4067</v>
      </c>
    </row>
    <row r="90" spans="1:12" s="827" customFormat="1" ht="12" customHeight="1">
      <c r="A90" s="824"/>
      <c r="B90" s="825"/>
      <c r="C90" s="825"/>
      <c r="D90" s="825"/>
      <c r="E90" s="854" t="s">
        <v>3613</v>
      </c>
      <c r="F90" s="827" t="s">
        <v>4063</v>
      </c>
      <c r="I90" s="828"/>
      <c r="J90" s="834"/>
      <c r="L90" s="832" t="s">
        <v>4067</v>
      </c>
    </row>
    <row r="91" spans="1:12" s="827" customFormat="1" ht="12" customHeight="1">
      <c r="A91" s="856">
        <v>23</v>
      </c>
      <c r="B91" s="847" t="s">
        <v>4040</v>
      </c>
      <c r="C91" s="847"/>
      <c r="D91" s="847" t="s">
        <v>3837</v>
      </c>
      <c r="E91" s="831" t="s">
        <v>3609</v>
      </c>
      <c r="F91" s="851" t="s">
        <v>3869</v>
      </c>
      <c r="G91" s="851"/>
      <c r="H91" s="851"/>
      <c r="I91" s="848"/>
      <c r="J91" s="849"/>
      <c r="K91" s="851"/>
      <c r="L91" s="832" t="s">
        <v>4067</v>
      </c>
    </row>
    <row r="92" spans="1:12" s="827" customFormat="1" ht="12" customHeight="1">
      <c r="A92" s="824"/>
      <c r="C92" s="840"/>
      <c r="D92" s="825" t="s">
        <v>3806</v>
      </c>
      <c r="E92" s="833" t="s">
        <v>3607</v>
      </c>
      <c r="F92" s="827" t="s">
        <v>3870</v>
      </c>
      <c r="I92" s="828"/>
      <c r="J92" s="834"/>
      <c r="L92" s="832" t="s">
        <v>4067</v>
      </c>
    </row>
    <row r="93" spans="1:12" s="827" customFormat="1" ht="12" customHeight="1">
      <c r="A93" s="824"/>
      <c r="C93" s="840"/>
      <c r="D93" s="825" t="s">
        <v>3840</v>
      </c>
      <c r="E93" s="833" t="s">
        <v>3608</v>
      </c>
      <c r="F93" s="827" t="s">
        <v>3871</v>
      </c>
      <c r="I93" s="828"/>
      <c r="J93" s="834"/>
      <c r="L93" s="832" t="s">
        <v>4067</v>
      </c>
    </row>
    <row r="94" spans="1:12" s="827" customFormat="1" ht="12" customHeight="1">
      <c r="A94" s="824"/>
      <c r="C94" s="840"/>
      <c r="D94" s="825" t="s">
        <v>3849</v>
      </c>
      <c r="E94" s="833" t="s">
        <v>3610</v>
      </c>
      <c r="F94" s="827" t="s">
        <v>3872</v>
      </c>
      <c r="I94" s="828"/>
      <c r="J94" s="834"/>
      <c r="L94" s="832" t="s">
        <v>4067</v>
      </c>
    </row>
    <row r="95" spans="1:12" s="827" customFormat="1" ht="12" customHeight="1">
      <c r="A95" s="856">
        <v>24</v>
      </c>
      <c r="B95" s="1057" t="s">
        <v>3873</v>
      </c>
      <c r="C95" s="1057"/>
      <c r="D95" s="863"/>
      <c r="E95" s="831" t="s">
        <v>3609</v>
      </c>
      <c r="F95" s="864" t="s">
        <v>3874</v>
      </c>
      <c r="G95" s="864"/>
      <c r="H95" s="864"/>
      <c r="I95" s="848"/>
      <c r="J95" s="849"/>
      <c r="K95" s="851"/>
      <c r="L95" s="832" t="s">
        <v>4068</v>
      </c>
    </row>
    <row r="96" spans="1:12" s="827" customFormat="1" ht="12" customHeight="1">
      <c r="A96" s="865"/>
      <c r="B96" s="1058"/>
      <c r="C96" s="1058"/>
      <c r="D96" s="866"/>
      <c r="E96" s="833" t="s">
        <v>3607</v>
      </c>
      <c r="F96" s="852" t="s">
        <v>1914</v>
      </c>
      <c r="G96" s="852"/>
      <c r="H96" s="852"/>
      <c r="I96" s="828"/>
      <c r="J96" s="834"/>
      <c r="L96" s="832" t="s">
        <v>4067</v>
      </c>
    </row>
    <row r="97" spans="1:12" s="827" customFormat="1" ht="12" customHeight="1">
      <c r="A97" s="865"/>
      <c r="B97" s="867"/>
      <c r="C97" s="867"/>
      <c r="D97" s="867"/>
      <c r="E97" s="833" t="s">
        <v>3608</v>
      </c>
      <c r="F97" s="852" t="s">
        <v>3875</v>
      </c>
      <c r="G97" s="852"/>
      <c r="H97" s="852"/>
      <c r="I97" s="828"/>
      <c r="J97" s="834"/>
      <c r="L97" s="832" t="s">
        <v>4067</v>
      </c>
    </row>
    <row r="98" spans="1:12" s="827" customFormat="1" ht="12" customHeight="1">
      <c r="A98" s="865"/>
      <c r="B98" s="867"/>
      <c r="C98" s="867"/>
      <c r="D98" s="867"/>
      <c r="E98" s="833" t="s">
        <v>3610</v>
      </c>
      <c r="F98" s="852" t="s">
        <v>2943</v>
      </c>
      <c r="G98" s="852"/>
      <c r="H98" s="852"/>
      <c r="I98" s="828"/>
      <c r="J98" s="834"/>
      <c r="L98" s="832" t="s">
        <v>4067</v>
      </c>
    </row>
    <row r="99" spans="1:12" s="827" customFormat="1" ht="12" customHeight="1">
      <c r="A99" s="865"/>
      <c r="B99" s="867"/>
      <c r="C99" s="867"/>
      <c r="D99" s="867"/>
      <c r="E99" s="833" t="s">
        <v>3611</v>
      </c>
      <c r="F99" s="852" t="s">
        <v>3876</v>
      </c>
      <c r="G99" s="852"/>
      <c r="H99" s="852"/>
      <c r="I99" s="828"/>
      <c r="J99" s="834"/>
      <c r="L99" s="832" t="s">
        <v>4067</v>
      </c>
    </row>
    <row r="100" spans="1:12" s="827" customFormat="1" ht="12" customHeight="1">
      <c r="A100" s="865"/>
      <c r="B100" s="865"/>
      <c r="C100" s="865"/>
      <c r="D100" s="865"/>
      <c r="E100" s="833" t="s">
        <v>3612</v>
      </c>
      <c r="F100" s="852" t="s">
        <v>3877</v>
      </c>
      <c r="G100" s="852"/>
      <c r="H100" s="852"/>
      <c r="I100" s="828"/>
      <c r="J100" s="834"/>
      <c r="L100" s="832" t="s">
        <v>4067</v>
      </c>
    </row>
    <row r="101" spans="1:12" s="827" customFormat="1" ht="12" customHeight="1">
      <c r="A101" s="865"/>
      <c r="B101" s="865"/>
      <c r="C101" s="865"/>
      <c r="D101" s="865"/>
      <c r="E101" s="833" t="s">
        <v>3613</v>
      </c>
      <c r="F101" s="852" t="s">
        <v>3878</v>
      </c>
      <c r="G101" s="852"/>
      <c r="H101" s="852"/>
      <c r="I101" s="828"/>
      <c r="J101" s="834"/>
      <c r="L101" s="835" t="s">
        <v>4067</v>
      </c>
    </row>
    <row r="102" spans="1:12" s="827" customFormat="1" ht="12" customHeight="1">
      <c r="A102" s="865"/>
      <c r="B102" s="865"/>
      <c r="C102" s="865"/>
      <c r="D102" s="865"/>
      <c r="E102" s="836" t="s">
        <v>3946</v>
      </c>
      <c r="F102" s="852" t="s">
        <v>3974</v>
      </c>
      <c r="G102" s="852"/>
      <c r="H102" s="852"/>
      <c r="I102" s="828"/>
      <c r="J102" s="834"/>
      <c r="L102" s="835" t="s">
        <v>4067</v>
      </c>
    </row>
    <row r="103" spans="1:12" s="859" customFormat="1" ht="12" customHeight="1">
      <c r="A103" s="1051" t="s">
        <v>3879</v>
      </c>
      <c r="B103" s="1051"/>
      <c r="C103" s="1051"/>
      <c r="D103" s="1051"/>
      <c r="E103" s="1051"/>
      <c r="F103" s="1051"/>
      <c r="G103" s="1051"/>
      <c r="H103" s="1051"/>
      <c r="I103" s="1051"/>
      <c r="J103" s="1051"/>
      <c r="K103" s="1051"/>
      <c r="L103" s="1051"/>
    </row>
    <row r="104" spans="1:12" s="827" customFormat="1" ht="12" customHeight="1">
      <c r="A104" s="838">
        <v>25</v>
      </c>
      <c r="B104" s="1056" t="s">
        <v>4044</v>
      </c>
      <c r="C104" s="1056"/>
      <c r="D104" s="825"/>
      <c r="E104" s="831" t="s">
        <v>3609</v>
      </c>
      <c r="F104" s="827" t="s">
        <v>3880</v>
      </c>
      <c r="I104" s="828"/>
      <c r="J104" s="834"/>
      <c r="L104" s="832" t="s">
        <v>4068</v>
      </c>
    </row>
    <row r="105" spans="1:12" s="827" customFormat="1" ht="12" customHeight="1">
      <c r="A105" s="824"/>
      <c r="B105" s="1056"/>
      <c r="C105" s="1056"/>
      <c r="D105" s="825"/>
      <c r="E105" s="833" t="s">
        <v>3607</v>
      </c>
      <c r="F105" s="827" t="s">
        <v>3881</v>
      </c>
      <c r="I105" s="828"/>
      <c r="J105" s="834"/>
      <c r="L105" s="832" t="s">
        <v>4068</v>
      </c>
    </row>
    <row r="106" spans="1:12" s="827" customFormat="1" ht="12" customHeight="1">
      <c r="A106" s="824"/>
      <c r="B106" s="825"/>
      <c r="C106" s="825"/>
      <c r="D106" s="825"/>
      <c r="E106" s="833" t="s">
        <v>3608</v>
      </c>
      <c r="F106" s="827" t="s">
        <v>3882</v>
      </c>
      <c r="I106" s="828"/>
      <c r="J106" s="834"/>
      <c r="L106" s="832" t="s">
        <v>4068</v>
      </c>
    </row>
    <row r="107" spans="1:12" s="827" customFormat="1" ht="23.25" customHeight="1">
      <c r="A107" s="824"/>
      <c r="B107" s="825"/>
      <c r="C107" s="825"/>
      <c r="D107" s="825"/>
      <c r="E107" s="833" t="s">
        <v>3610</v>
      </c>
      <c r="F107" s="1039" t="s">
        <v>3975</v>
      </c>
      <c r="G107" s="1039"/>
      <c r="H107" s="1039"/>
      <c r="I107" s="1039"/>
      <c r="J107" s="1039"/>
      <c r="K107" s="1055"/>
      <c r="L107" s="832" t="s">
        <v>4067</v>
      </c>
    </row>
    <row r="108" spans="1:12" s="827" customFormat="1" ht="12" customHeight="1">
      <c r="A108" s="824"/>
      <c r="B108" s="825"/>
      <c r="C108" s="825"/>
      <c r="D108" s="825"/>
      <c r="E108" s="833" t="s">
        <v>3611</v>
      </c>
      <c r="F108" s="827" t="s">
        <v>3883</v>
      </c>
      <c r="I108" s="828"/>
      <c r="J108" s="834"/>
      <c r="L108" s="832" t="s">
        <v>4067</v>
      </c>
    </row>
    <row r="109" spans="1:12" s="827" customFormat="1" ht="12" customHeight="1">
      <c r="A109" s="856">
        <v>26</v>
      </c>
      <c r="B109" s="847" t="s">
        <v>3884</v>
      </c>
      <c r="C109" s="847"/>
      <c r="D109" s="847"/>
      <c r="E109" s="831" t="s">
        <v>3609</v>
      </c>
      <c r="F109" s="851" t="s">
        <v>3885</v>
      </c>
      <c r="G109" s="851"/>
      <c r="H109" s="851"/>
      <c r="I109" s="848"/>
      <c r="J109" s="849"/>
      <c r="K109" s="851"/>
      <c r="L109" s="832" t="s">
        <v>4068</v>
      </c>
    </row>
    <row r="110" spans="1:12" s="827" customFormat="1" ht="12" customHeight="1">
      <c r="A110" s="824"/>
      <c r="B110" s="825"/>
      <c r="C110" s="825"/>
      <c r="D110" s="825"/>
      <c r="E110" s="833" t="s">
        <v>3607</v>
      </c>
      <c r="F110" s="827" t="s">
        <v>547</v>
      </c>
      <c r="I110" s="828"/>
      <c r="J110" s="834"/>
      <c r="L110" s="832" t="s">
        <v>4068</v>
      </c>
    </row>
    <row r="111" spans="1:12" s="827" customFormat="1" ht="12" customHeight="1">
      <c r="A111" s="868">
        <v>27</v>
      </c>
      <c r="B111" s="847" t="s">
        <v>3886</v>
      </c>
      <c r="C111" s="847"/>
      <c r="D111" s="847"/>
      <c r="E111" s="831" t="s">
        <v>3609</v>
      </c>
      <c r="F111" s="851" t="s">
        <v>598</v>
      </c>
      <c r="G111" s="851"/>
      <c r="H111" s="851"/>
      <c r="I111" s="848"/>
      <c r="J111" s="849"/>
      <c r="K111" s="851"/>
      <c r="L111" s="832" t="s">
        <v>4067</v>
      </c>
    </row>
    <row r="112" spans="1:12" s="827" customFormat="1" ht="23.25" customHeight="1">
      <c r="A112" s="824"/>
      <c r="B112" s="825"/>
      <c r="C112" s="825"/>
      <c r="D112" s="825"/>
      <c r="E112" s="833" t="s">
        <v>3607</v>
      </c>
      <c r="F112" s="1039" t="s">
        <v>3887</v>
      </c>
      <c r="G112" s="1039"/>
      <c r="H112" s="1039"/>
      <c r="I112" s="1039"/>
      <c r="J112" s="1039"/>
      <c r="K112" s="1055"/>
      <c r="L112" s="832" t="s">
        <v>4067</v>
      </c>
    </row>
    <row r="113" spans="1:12" s="827" customFormat="1" ht="12" customHeight="1">
      <c r="A113" s="824"/>
      <c r="B113" s="825"/>
      <c r="C113" s="825"/>
      <c r="D113" s="825"/>
      <c r="E113" s="833" t="s">
        <v>3608</v>
      </c>
      <c r="F113" s="827" t="s">
        <v>3888</v>
      </c>
      <c r="I113" s="828"/>
      <c r="J113" s="834"/>
      <c r="L113" s="832" t="s">
        <v>4067</v>
      </c>
    </row>
    <row r="114" spans="1:12" s="827" customFormat="1" ht="12" customHeight="1">
      <c r="A114" s="824"/>
      <c r="B114" s="825"/>
      <c r="C114" s="825"/>
      <c r="D114" s="825"/>
      <c r="E114" s="833" t="s">
        <v>3610</v>
      </c>
      <c r="F114" s="827" t="s">
        <v>3889</v>
      </c>
      <c r="I114" s="828"/>
      <c r="J114" s="834"/>
      <c r="L114" s="832" t="s">
        <v>4067</v>
      </c>
    </row>
    <row r="115" spans="1:12" s="827" customFormat="1" ht="12" customHeight="1">
      <c r="A115" s="824"/>
      <c r="B115" s="825"/>
      <c r="C115" s="825"/>
      <c r="D115" s="825"/>
      <c r="E115" s="854" t="s">
        <v>3611</v>
      </c>
      <c r="F115" s="827" t="s">
        <v>3890</v>
      </c>
      <c r="I115" s="828"/>
      <c r="J115" s="834"/>
      <c r="L115" s="832" t="s">
        <v>4067</v>
      </c>
    </row>
    <row r="116" spans="1:12" s="827" customFormat="1" ht="12" customHeight="1">
      <c r="A116" s="856">
        <v>28</v>
      </c>
      <c r="B116" s="1041" t="s">
        <v>3891</v>
      </c>
      <c r="C116" s="1041"/>
      <c r="D116" s="847" t="s">
        <v>4055</v>
      </c>
      <c r="E116" s="831" t="s">
        <v>3609</v>
      </c>
      <c r="F116" s="851" t="s">
        <v>3991</v>
      </c>
      <c r="G116" s="851"/>
      <c r="H116" s="851"/>
      <c r="I116" s="848"/>
      <c r="J116" s="849"/>
      <c r="K116" s="850"/>
      <c r="L116" s="832" t="s">
        <v>4067</v>
      </c>
    </row>
    <row r="117" spans="1:12" s="827" customFormat="1" ht="12" customHeight="1">
      <c r="B117" s="1042"/>
      <c r="C117" s="1042"/>
      <c r="D117" s="825"/>
      <c r="E117" s="833"/>
      <c r="F117" s="827" t="s">
        <v>3992</v>
      </c>
      <c r="I117" s="828"/>
      <c r="J117" s="834"/>
      <c r="L117" s="832" t="s">
        <v>4067</v>
      </c>
    </row>
    <row r="118" spans="1:12" s="827" customFormat="1" ht="12" customHeight="1">
      <c r="A118" s="824"/>
      <c r="C118" s="825"/>
      <c r="D118" s="825"/>
      <c r="E118" s="833"/>
      <c r="F118" s="827" t="s">
        <v>3993</v>
      </c>
      <c r="I118" s="828"/>
      <c r="J118" s="834"/>
      <c r="L118" s="832" t="s">
        <v>4067</v>
      </c>
    </row>
    <row r="119" spans="1:12" s="827" customFormat="1" ht="12" customHeight="1">
      <c r="A119" s="824"/>
      <c r="C119" s="825"/>
      <c r="D119" s="825"/>
      <c r="E119" s="833"/>
      <c r="F119" s="869" t="s">
        <v>3994</v>
      </c>
      <c r="I119" s="828"/>
      <c r="J119" s="834"/>
      <c r="L119" s="870"/>
    </row>
    <row r="120" spans="1:12" s="827" customFormat="1" ht="12" customHeight="1">
      <c r="A120" s="824"/>
      <c r="C120" s="840"/>
      <c r="D120" s="825" t="s">
        <v>4052</v>
      </c>
      <c r="E120" s="833" t="s">
        <v>3607</v>
      </c>
      <c r="F120" s="827" t="s">
        <v>3995</v>
      </c>
      <c r="I120" s="828"/>
      <c r="J120" s="834"/>
      <c r="L120" s="832" t="s">
        <v>4067</v>
      </c>
    </row>
    <row r="121" spans="1:12" s="827" customFormat="1" ht="12" customHeight="1">
      <c r="D121" s="825"/>
      <c r="E121" s="844"/>
      <c r="F121" s="827" t="s">
        <v>3996</v>
      </c>
      <c r="I121" s="828"/>
      <c r="J121" s="834"/>
      <c r="L121" s="832" t="s">
        <v>4067</v>
      </c>
    </row>
    <row r="122" spans="1:12" s="827" customFormat="1" ht="12" customHeight="1">
      <c r="D122" s="825"/>
      <c r="E122" s="844"/>
      <c r="F122" s="869" t="s">
        <v>3997</v>
      </c>
      <c r="I122" s="828"/>
      <c r="J122" s="834"/>
    </row>
    <row r="123" spans="1:12" s="827" customFormat="1" ht="12" customHeight="1">
      <c r="A123" s="824"/>
      <c r="C123" s="840"/>
      <c r="D123" s="825" t="s">
        <v>3806</v>
      </c>
      <c r="E123" s="833" t="s">
        <v>3608</v>
      </c>
      <c r="F123" s="827" t="s">
        <v>3998</v>
      </c>
      <c r="I123" s="828"/>
      <c r="J123" s="834"/>
      <c r="L123" s="832" t="s">
        <v>4068</v>
      </c>
    </row>
    <row r="124" spans="1:12" s="827" customFormat="1" ht="23.25" customHeight="1">
      <c r="A124" s="824"/>
      <c r="B124" s="825"/>
      <c r="C124" s="825"/>
      <c r="D124" s="825"/>
      <c r="E124" s="844"/>
      <c r="F124" s="1031" t="s">
        <v>3999</v>
      </c>
      <c r="G124" s="1031"/>
      <c r="H124" s="1031"/>
      <c r="I124" s="828"/>
      <c r="J124" s="834"/>
      <c r="L124" s="832" t="s">
        <v>4068</v>
      </c>
    </row>
    <row r="125" spans="1:12" s="827" customFormat="1" ht="12" customHeight="1">
      <c r="A125" s="856">
        <v>29</v>
      </c>
      <c r="B125" s="1041" t="s">
        <v>4045</v>
      </c>
      <c r="C125" s="1041"/>
      <c r="D125" s="847" t="s">
        <v>3837</v>
      </c>
      <c r="E125" s="831" t="s">
        <v>3609</v>
      </c>
      <c r="F125" s="851" t="s">
        <v>3892</v>
      </c>
      <c r="G125" s="851"/>
      <c r="H125" s="851"/>
      <c r="I125" s="848"/>
      <c r="J125" s="849"/>
      <c r="K125" s="850"/>
      <c r="L125" s="832" t="s">
        <v>4068</v>
      </c>
    </row>
    <row r="126" spans="1:12" s="827" customFormat="1" ht="12" customHeight="1">
      <c r="A126" s="824"/>
      <c r="B126" s="1042"/>
      <c r="C126" s="1042"/>
      <c r="D126" s="825" t="s">
        <v>4056</v>
      </c>
      <c r="E126" s="833" t="s">
        <v>3607</v>
      </c>
      <c r="F126" s="827" t="s">
        <v>4001</v>
      </c>
      <c r="I126" s="828"/>
      <c r="J126" s="834"/>
      <c r="L126" s="832" t="s">
        <v>4067</v>
      </c>
    </row>
    <row r="127" spans="1:12" s="827" customFormat="1" ht="12" customHeight="1">
      <c r="A127" s="824"/>
      <c r="E127" s="844"/>
      <c r="F127" s="827" t="s">
        <v>4002</v>
      </c>
      <c r="I127" s="828"/>
      <c r="J127" s="834"/>
      <c r="L127" s="832" t="s">
        <v>4067</v>
      </c>
    </row>
    <row r="128" spans="1:12" s="827" customFormat="1" ht="12" customHeight="1">
      <c r="A128" s="824"/>
      <c r="E128" s="844"/>
      <c r="F128" s="827" t="s">
        <v>4003</v>
      </c>
      <c r="I128" s="828"/>
      <c r="J128" s="834"/>
      <c r="L128" s="832" t="s">
        <v>4067</v>
      </c>
    </row>
    <row r="129" spans="1:12" s="827" customFormat="1" ht="12" customHeight="1">
      <c r="A129" s="824"/>
      <c r="E129" s="844"/>
      <c r="F129" s="827" t="s">
        <v>4004</v>
      </c>
      <c r="I129" s="828"/>
      <c r="J129" s="834"/>
      <c r="L129" s="832" t="s">
        <v>4067</v>
      </c>
    </row>
    <row r="130" spans="1:12" s="827" customFormat="1" ht="12" customHeight="1">
      <c r="A130" s="824"/>
      <c r="C130" s="825"/>
      <c r="D130" s="824"/>
      <c r="E130" s="844"/>
      <c r="F130" s="827" t="s">
        <v>4005</v>
      </c>
      <c r="I130" s="828"/>
      <c r="J130" s="834"/>
      <c r="L130" s="832" t="s">
        <v>4067</v>
      </c>
    </row>
    <row r="131" spans="1:12" s="827" customFormat="1" ht="12" customHeight="1">
      <c r="A131" s="824"/>
      <c r="C131" s="840"/>
      <c r="D131" s="824" t="s">
        <v>4057</v>
      </c>
      <c r="E131" s="833" t="s">
        <v>3608</v>
      </c>
      <c r="F131" s="827" t="s">
        <v>4006</v>
      </c>
      <c r="I131" s="828"/>
      <c r="J131" s="834"/>
      <c r="L131" s="832" t="s">
        <v>4067</v>
      </c>
    </row>
    <row r="132" spans="1:12" s="827" customFormat="1" ht="12" customHeight="1">
      <c r="A132" s="824"/>
      <c r="C132" s="825"/>
      <c r="D132" s="824"/>
      <c r="E132" s="844"/>
      <c r="F132" s="827" t="s">
        <v>4007</v>
      </c>
      <c r="I132" s="828"/>
      <c r="J132" s="834"/>
      <c r="L132" s="832" t="s">
        <v>4067</v>
      </c>
    </row>
    <row r="133" spans="1:12" s="827" customFormat="1" ht="12" customHeight="1">
      <c r="A133" s="824"/>
      <c r="E133" s="844"/>
      <c r="F133" s="827" t="s">
        <v>4008</v>
      </c>
      <c r="I133" s="828"/>
      <c r="J133" s="834"/>
      <c r="L133" s="832" t="s">
        <v>4067</v>
      </c>
    </row>
    <row r="134" spans="1:12" s="827" customFormat="1" ht="12" customHeight="1">
      <c r="A134" s="824"/>
      <c r="C134" s="840"/>
      <c r="D134" s="825" t="s">
        <v>3912</v>
      </c>
      <c r="E134" s="833" t="s">
        <v>3610</v>
      </c>
      <c r="F134" s="827" t="s">
        <v>4009</v>
      </c>
      <c r="I134" s="828"/>
      <c r="J134" s="834"/>
      <c r="L134" s="832" t="s">
        <v>4067</v>
      </c>
    </row>
    <row r="135" spans="1:12" s="827" customFormat="1" ht="12" customHeight="1">
      <c r="A135" s="824"/>
      <c r="B135" s="825"/>
      <c r="C135" s="825"/>
      <c r="D135" s="825"/>
      <c r="E135" s="844"/>
      <c r="F135" s="827" t="s">
        <v>4010</v>
      </c>
      <c r="I135" s="828"/>
      <c r="J135" s="834"/>
      <c r="L135" s="832" t="s">
        <v>4067</v>
      </c>
    </row>
    <row r="136" spans="1:12" s="827" customFormat="1" ht="12" customHeight="1">
      <c r="A136" s="824"/>
      <c r="B136" s="825"/>
      <c r="C136" s="825"/>
      <c r="D136" s="825"/>
      <c r="E136" s="844"/>
      <c r="F136" s="827" t="s">
        <v>4011</v>
      </c>
      <c r="I136" s="828"/>
      <c r="J136" s="834"/>
      <c r="L136" s="832" t="s">
        <v>4067</v>
      </c>
    </row>
    <row r="137" spans="1:12" s="827" customFormat="1" ht="12" customHeight="1">
      <c r="A137" s="824"/>
      <c r="B137" s="825"/>
      <c r="C137" s="825"/>
      <c r="D137" s="825"/>
      <c r="E137" s="844"/>
      <c r="F137" s="827" t="s">
        <v>4012</v>
      </c>
      <c r="I137" s="828"/>
      <c r="J137" s="834"/>
      <c r="L137" s="832" t="s">
        <v>4067</v>
      </c>
    </row>
    <row r="138" spans="1:12" s="827" customFormat="1" ht="12" customHeight="1">
      <c r="A138" s="824"/>
      <c r="B138" s="825"/>
      <c r="C138" s="825"/>
      <c r="D138" s="825"/>
      <c r="E138" s="844"/>
      <c r="F138" s="827" t="s">
        <v>4013</v>
      </c>
      <c r="I138" s="828"/>
      <c r="J138" s="834"/>
      <c r="L138" s="832" t="s">
        <v>4067</v>
      </c>
    </row>
    <row r="139" spans="1:12" s="827" customFormat="1" ht="12" customHeight="1">
      <c r="A139" s="824"/>
      <c r="B139" s="825"/>
      <c r="C139" s="825"/>
      <c r="D139" s="825"/>
      <c r="E139" s="844"/>
      <c r="F139" s="827" t="s">
        <v>4014</v>
      </c>
      <c r="I139" s="828"/>
      <c r="J139" s="834"/>
      <c r="L139" s="832" t="s">
        <v>4067</v>
      </c>
    </row>
    <row r="140" spans="1:12" s="827" customFormat="1" ht="12" customHeight="1">
      <c r="A140" s="856">
        <v>30</v>
      </c>
      <c r="B140" s="1041" t="s">
        <v>4046</v>
      </c>
      <c r="C140" s="871"/>
      <c r="D140" s="847" t="s">
        <v>3837</v>
      </c>
      <c r="E140" s="831" t="s">
        <v>3609</v>
      </c>
      <c r="F140" s="851" t="s">
        <v>4015</v>
      </c>
      <c r="G140" s="851"/>
      <c r="H140" s="851"/>
      <c r="I140" s="848"/>
      <c r="J140" s="849"/>
      <c r="K140" s="850"/>
      <c r="L140" s="832" t="s">
        <v>4067</v>
      </c>
    </row>
    <row r="141" spans="1:12" s="827" customFormat="1" ht="23.25" customHeight="1">
      <c r="A141" s="824"/>
      <c r="B141" s="1042"/>
      <c r="C141" s="872"/>
      <c r="D141" s="825"/>
      <c r="E141" s="833"/>
      <c r="F141" s="1039" t="s">
        <v>4016</v>
      </c>
      <c r="G141" s="1039"/>
      <c r="H141" s="1039"/>
      <c r="I141" s="1039"/>
      <c r="J141" s="1039"/>
      <c r="K141" s="1055"/>
      <c r="L141" s="832" t="s">
        <v>4067</v>
      </c>
    </row>
    <row r="142" spans="1:12" s="827" customFormat="1" ht="23.25" customHeight="1">
      <c r="A142" s="824"/>
      <c r="C142" s="840"/>
      <c r="D142" s="825" t="s">
        <v>3806</v>
      </c>
      <c r="E142" s="833" t="s">
        <v>3607</v>
      </c>
      <c r="F142" s="1031" t="s">
        <v>3893</v>
      </c>
      <c r="G142" s="1031"/>
      <c r="H142" s="1031"/>
      <c r="I142" s="828"/>
      <c r="J142" s="834"/>
      <c r="L142" s="832" t="s">
        <v>4068</v>
      </c>
    </row>
    <row r="143" spans="1:12" s="827" customFormat="1" ht="12" customHeight="1">
      <c r="A143" s="856">
        <v>31</v>
      </c>
      <c r="B143" s="847" t="s">
        <v>3894</v>
      </c>
      <c r="C143" s="847"/>
      <c r="D143" s="847"/>
      <c r="E143" s="831" t="s">
        <v>3609</v>
      </c>
      <c r="F143" s="851" t="s">
        <v>3895</v>
      </c>
      <c r="G143" s="851"/>
      <c r="H143" s="851"/>
      <c r="I143" s="848"/>
      <c r="J143" s="849"/>
      <c r="K143" s="850"/>
      <c r="L143" s="832" t="s">
        <v>4067</v>
      </c>
    </row>
    <row r="144" spans="1:12" s="827" customFormat="1" ht="12" customHeight="1">
      <c r="A144" s="856">
        <v>32</v>
      </c>
      <c r="B144" s="847" t="s">
        <v>3896</v>
      </c>
      <c r="C144" s="847"/>
      <c r="D144" s="847"/>
      <c r="E144" s="831" t="s">
        <v>3609</v>
      </c>
      <c r="F144" s="851" t="s">
        <v>3897</v>
      </c>
      <c r="G144" s="851"/>
      <c r="H144" s="851"/>
      <c r="I144" s="848"/>
      <c r="J144" s="849"/>
      <c r="K144" s="850"/>
      <c r="L144" s="832" t="s">
        <v>4067</v>
      </c>
    </row>
    <row r="145" spans="1:12" s="827" customFormat="1" ht="12" customHeight="1">
      <c r="A145" s="824"/>
      <c r="B145" s="825"/>
      <c r="C145" s="825"/>
      <c r="D145" s="825"/>
      <c r="E145" s="833" t="s">
        <v>3607</v>
      </c>
      <c r="F145" s="827" t="s">
        <v>3898</v>
      </c>
      <c r="I145" s="828"/>
      <c r="J145" s="834"/>
      <c r="L145" s="832" t="s">
        <v>4067</v>
      </c>
    </row>
    <row r="146" spans="1:12" s="827" customFormat="1" ht="12" customHeight="1">
      <c r="A146" s="824"/>
      <c r="B146" s="825"/>
      <c r="C146" s="825"/>
      <c r="D146" s="825"/>
      <c r="E146" s="833" t="s">
        <v>3608</v>
      </c>
      <c r="F146" s="827" t="s">
        <v>3899</v>
      </c>
      <c r="I146" s="828"/>
      <c r="J146" s="834"/>
      <c r="L146" s="832" t="s">
        <v>4067</v>
      </c>
    </row>
    <row r="147" spans="1:12" s="827" customFormat="1" ht="12" customHeight="1">
      <c r="A147" s="824"/>
      <c r="B147" s="825"/>
      <c r="C147" s="825"/>
      <c r="D147" s="825"/>
      <c r="E147" s="833" t="s">
        <v>3610</v>
      </c>
      <c r="F147" s="827" t="s">
        <v>3900</v>
      </c>
      <c r="I147" s="828"/>
      <c r="J147" s="834"/>
      <c r="L147" s="832" t="s">
        <v>4067</v>
      </c>
    </row>
    <row r="148" spans="1:12" s="827" customFormat="1" ht="12" customHeight="1">
      <c r="A148" s="856">
        <v>33</v>
      </c>
      <c r="B148" s="847" t="s">
        <v>4048</v>
      </c>
      <c r="C148" s="847"/>
      <c r="D148" s="847"/>
      <c r="E148" s="873" t="s">
        <v>3609</v>
      </c>
      <c r="F148" s="851" t="s">
        <v>3901</v>
      </c>
      <c r="G148" s="851"/>
      <c r="H148" s="851"/>
      <c r="I148" s="848"/>
      <c r="J148" s="849"/>
      <c r="K148" s="850"/>
      <c r="L148" s="832" t="s">
        <v>4067</v>
      </c>
    </row>
    <row r="149" spans="1:12" s="827" customFormat="1" ht="12" customHeight="1">
      <c r="A149" s="856">
        <v>34</v>
      </c>
      <c r="B149" s="847" t="s">
        <v>4047</v>
      </c>
      <c r="C149" s="847"/>
      <c r="D149" s="847" t="s">
        <v>3840</v>
      </c>
      <c r="E149" s="831" t="s">
        <v>3609</v>
      </c>
      <c r="F149" s="851" t="s">
        <v>3902</v>
      </c>
      <c r="G149" s="851"/>
      <c r="H149" s="851"/>
      <c r="I149" s="848"/>
      <c r="J149" s="849"/>
      <c r="K149" s="850"/>
      <c r="L149" s="832" t="s">
        <v>4067</v>
      </c>
    </row>
    <row r="150" spans="1:12" s="827" customFormat="1" ht="12" customHeight="1">
      <c r="A150" s="824"/>
      <c r="B150" s="825"/>
      <c r="C150" s="825"/>
      <c r="D150" s="825"/>
      <c r="E150" s="833" t="s">
        <v>3607</v>
      </c>
      <c r="F150" s="827" t="s">
        <v>3903</v>
      </c>
      <c r="I150" s="828"/>
      <c r="J150" s="834"/>
      <c r="L150" s="832" t="s">
        <v>4067</v>
      </c>
    </row>
    <row r="151" spans="1:12" s="827" customFormat="1" ht="12" customHeight="1">
      <c r="A151" s="824"/>
      <c r="B151" s="825"/>
      <c r="C151" s="825"/>
      <c r="D151" s="825"/>
      <c r="E151" s="833" t="s">
        <v>3608</v>
      </c>
      <c r="F151" s="827" t="s">
        <v>3904</v>
      </c>
      <c r="I151" s="828"/>
      <c r="J151" s="834"/>
      <c r="L151" s="832" t="s">
        <v>4067</v>
      </c>
    </row>
    <row r="152" spans="1:12" s="827" customFormat="1" ht="12" customHeight="1">
      <c r="A152" s="824"/>
      <c r="B152" s="825"/>
      <c r="C152" s="825"/>
      <c r="D152" s="825"/>
      <c r="E152" s="833" t="s">
        <v>3610</v>
      </c>
      <c r="F152" s="827" t="s">
        <v>3905</v>
      </c>
      <c r="I152" s="828"/>
      <c r="J152" s="834"/>
      <c r="L152" s="832" t="s">
        <v>4067</v>
      </c>
    </row>
    <row r="153" spans="1:12" s="827" customFormat="1" ht="12" customHeight="1">
      <c r="A153" s="824"/>
      <c r="B153" s="825"/>
      <c r="C153" s="825"/>
      <c r="D153" s="825"/>
      <c r="E153" s="833" t="s">
        <v>3611</v>
      </c>
      <c r="F153" s="827" t="s">
        <v>3906</v>
      </c>
      <c r="I153" s="828"/>
      <c r="J153" s="834"/>
      <c r="L153" s="832" t="s">
        <v>4067</v>
      </c>
    </row>
    <row r="154" spans="1:12" s="827" customFormat="1" ht="12" customHeight="1">
      <c r="A154" s="824"/>
      <c r="B154" s="825"/>
      <c r="C154" s="825"/>
      <c r="D154" s="825"/>
      <c r="E154" s="833" t="s">
        <v>3612</v>
      </c>
      <c r="F154" s="827" t="s">
        <v>34</v>
      </c>
      <c r="I154" s="828"/>
      <c r="J154" s="834"/>
      <c r="L154" s="832" t="s">
        <v>4067</v>
      </c>
    </row>
    <row r="155" spans="1:12" s="827" customFormat="1" ht="12" customHeight="1">
      <c r="A155" s="824"/>
      <c r="B155" s="825"/>
      <c r="C155" s="825"/>
      <c r="D155" s="825"/>
      <c r="E155" s="833" t="s">
        <v>3613</v>
      </c>
      <c r="F155" s="827" t="s">
        <v>3907</v>
      </c>
      <c r="I155" s="828"/>
      <c r="J155" s="834"/>
      <c r="L155" s="832" t="s">
        <v>4067</v>
      </c>
    </row>
    <row r="156" spans="1:12" s="827" customFormat="1" ht="12" customHeight="1">
      <c r="A156" s="856">
        <v>35</v>
      </c>
      <c r="B156" s="1041" t="s">
        <v>3968</v>
      </c>
      <c r="C156" s="847"/>
      <c r="D156" s="847" t="s">
        <v>3837</v>
      </c>
      <c r="E156" s="831" t="s">
        <v>3609</v>
      </c>
      <c r="F156" s="851" t="s">
        <v>4017</v>
      </c>
      <c r="G156" s="851"/>
      <c r="H156" s="851"/>
      <c r="I156" s="848"/>
      <c r="J156" s="851"/>
      <c r="K156" s="850"/>
      <c r="L156" s="832" t="s">
        <v>4067</v>
      </c>
    </row>
    <row r="157" spans="1:12" s="827" customFormat="1" ht="12" customHeight="1">
      <c r="A157" s="824"/>
      <c r="B157" s="1042"/>
      <c r="C157" s="825"/>
      <c r="D157" s="825"/>
      <c r="E157" s="844"/>
      <c r="F157" s="827" t="s">
        <v>4018</v>
      </c>
      <c r="I157" s="828"/>
      <c r="J157" s="834"/>
      <c r="L157" s="832" t="s">
        <v>4067</v>
      </c>
    </row>
    <row r="158" spans="1:12" s="827" customFormat="1" ht="12" customHeight="1">
      <c r="A158" s="824"/>
      <c r="B158" s="1042"/>
      <c r="C158" s="825"/>
      <c r="D158" s="825"/>
      <c r="E158" s="844"/>
      <c r="F158" s="827" t="s">
        <v>4019</v>
      </c>
      <c r="I158" s="828"/>
      <c r="J158" s="834"/>
      <c r="L158" s="832" t="s">
        <v>4067</v>
      </c>
    </row>
    <row r="159" spans="1:12" s="827" customFormat="1" ht="12" customHeight="1">
      <c r="A159" s="824"/>
      <c r="B159" s="825"/>
      <c r="C159" s="825"/>
      <c r="D159" s="825"/>
      <c r="E159" s="844"/>
      <c r="F159" s="827" t="s">
        <v>4020</v>
      </c>
      <c r="I159" s="828"/>
      <c r="J159" s="834"/>
      <c r="L159" s="832" t="s">
        <v>4067</v>
      </c>
    </row>
    <row r="160" spans="1:12" s="827" customFormat="1" ht="12" customHeight="1">
      <c r="A160" s="824"/>
      <c r="B160" s="825"/>
      <c r="C160" s="825"/>
      <c r="D160" s="825"/>
      <c r="E160" s="844"/>
      <c r="F160" s="827" t="s">
        <v>4021</v>
      </c>
      <c r="I160" s="828"/>
      <c r="J160" s="834"/>
      <c r="L160" s="832" t="s">
        <v>4067</v>
      </c>
    </row>
    <row r="161" spans="1:12" s="827" customFormat="1" ht="12" customHeight="1">
      <c r="A161" s="824"/>
      <c r="B161" s="825"/>
      <c r="C161" s="825"/>
      <c r="D161" s="825"/>
      <c r="E161" s="844"/>
      <c r="F161" s="827" t="s">
        <v>4022</v>
      </c>
      <c r="I161" s="828"/>
      <c r="J161" s="834"/>
      <c r="L161" s="832" t="s">
        <v>4067</v>
      </c>
    </row>
    <row r="162" spans="1:12" s="827" customFormat="1" ht="12" customHeight="1">
      <c r="A162" s="824"/>
      <c r="C162" s="840"/>
      <c r="D162" s="825" t="s">
        <v>3806</v>
      </c>
      <c r="E162" s="833" t="s">
        <v>3607</v>
      </c>
      <c r="F162" s="827" t="s">
        <v>4023</v>
      </c>
      <c r="I162" s="828"/>
      <c r="J162" s="834"/>
      <c r="L162" s="832" t="s">
        <v>4067</v>
      </c>
    </row>
    <row r="163" spans="1:12" s="827" customFormat="1" ht="12" customHeight="1">
      <c r="A163" s="824"/>
      <c r="B163" s="825"/>
      <c r="C163" s="825"/>
      <c r="D163" s="825"/>
      <c r="E163" s="844"/>
      <c r="F163" s="827" t="s">
        <v>4024</v>
      </c>
      <c r="I163" s="828"/>
      <c r="J163" s="834"/>
      <c r="L163" s="832" t="s">
        <v>4067</v>
      </c>
    </row>
    <row r="164" spans="1:12" s="827" customFormat="1" ht="12" customHeight="1">
      <c r="A164" s="856">
        <v>36</v>
      </c>
      <c r="B164" s="1041" t="s">
        <v>4049</v>
      </c>
      <c r="C164" s="1041"/>
      <c r="D164" s="847" t="s">
        <v>3806</v>
      </c>
      <c r="E164" s="831" t="s">
        <v>3609</v>
      </c>
      <c r="F164" s="862" t="s">
        <v>3908</v>
      </c>
      <c r="G164" s="862"/>
      <c r="H164" s="862"/>
      <c r="I164" s="848"/>
      <c r="J164" s="849"/>
      <c r="K164" s="850"/>
      <c r="L164" s="832" t="s">
        <v>4067</v>
      </c>
    </row>
    <row r="165" spans="1:12" s="827" customFormat="1" ht="12" customHeight="1">
      <c r="A165" s="824"/>
      <c r="B165" s="1043"/>
      <c r="C165" s="1043"/>
      <c r="D165" s="825"/>
      <c r="E165" s="833" t="s">
        <v>3607</v>
      </c>
      <c r="F165" s="874" t="s">
        <v>3909</v>
      </c>
      <c r="G165" s="874"/>
      <c r="H165" s="874"/>
      <c r="I165" s="828"/>
      <c r="J165" s="834"/>
      <c r="L165" s="832" t="s">
        <v>4067</v>
      </c>
    </row>
    <row r="166" spans="1:12" s="827" customFormat="1" ht="12" customHeight="1">
      <c r="A166" s="856">
        <v>37</v>
      </c>
      <c r="B166" s="1041" t="s">
        <v>4050</v>
      </c>
      <c r="C166" s="1041"/>
      <c r="D166" s="847" t="s">
        <v>3837</v>
      </c>
      <c r="E166" s="831" t="s">
        <v>3609</v>
      </c>
      <c r="F166" s="851" t="s">
        <v>597</v>
      </c>
      <c r="G166" s="851"/>
      <c r="H166" s="851"/>
      <c r="I166" s="848"/>
      <c r="J166" s="849"/>
      <c r="K166" s="850"/>
      <c r="L166" s="832" t="s">
        <v>4067</v>
      </c>
    </row>
    <row r="167" spans="1:12" s="827" customFormat="1" ht="12" customHeight="1">
      <c r="A167" s="824"/>
      <c r="B167" s="1042"/>
      <c r="C167" s="1042"/>
      <c r="D167" s="825"/>
      <c r="E167" s="833" t="s">
        <v>3607</v>
      </c>
      <c r="F167" s="827" t="s">
        <v>548</v>
      </c>
      <c r="I167" s="828"/>
      <c r="J167" s="834"/>
      <c r="L167" s="832" t="s">
        <v>4067</v>
      </c>
    </row>
    <row r="168" spans="1:12" s="827" customFormat="1" ht="12" customHeight="1">
      <c r="A168" s="824"/>
      <c r="B168" s="825"/>
      <c r="C168" s="825"/>
      <c r="D168" s="825"/>
      <c r="E168" s="833" t="s">
        <v>3608</v>
      </c>
      <c r="F168" s="827" t="s">
        <v>3910</v>
      </c>
      <c r="I168" s="828"/>
      <c r="J168" s="834"/>
      <c r="L168" s="832" t="s">
        <v>4067</v>
      </c>
    </row>
    <row r="169" spans="1:12" s="827" customFormat="1" ht="12" customHeight="1">
      <c r="A169" s="824"/>
      <c r="C169" s="840"/>
      <c r="D169" s="825" t="s">
        <v>4053</v>
      </c>
      <c r="E169" s="833" t="s">
        <v>3610</v>
      </c>
      <c r="F169" s="827" t="s">
        <v>3911</v>
      </c>
      <c r="I169" s="828"/>
      <c r="J169" s="834"/>
      <c r="L169" s="832" t="s">
        <v>4067</v>
      </c>
    </row>
    <row r="170" spans="1:12" s="827" customFormat="1" ht="12" customHeight="1">
      <c r="A170" s="856">
        <v>38</v>
      </c>
      <c r="B170" s="847" t="s">
        <v>4051</v>
      </c>
      <c r="C170" s="847"/>
      <c r="D170" s="847" t="s">
        <v>4052</v>
      </c>
      <c r="E170" s="831" t="s">
        <v>3609</v>
      </c>
      <c r="F170" s="851" t="s">
        <v>4025</v>
      </c>
      <c r="G170" s="851"/>
      <c r="H170" s="851"/>
      <c r="I170" s="848"/>
      <c r="J170" s="849"/>
      <c r="K170" s="850"/>
      <c r="L170" s="832" t="s">
        <v>4067</v>
      </c>
    </row>
    <row r="171" spans="1:12" s="827" customFormat="1" ht="12" customHeight="1">
      <c r="A171" s="824"/>
      <c r="B171" s="825"/>
      <c r="C171" s="825"/>
      <c r="D171" s="825"/>
      <c r="E171" s="875"/>
      <c r="F171" s="827" t="s">
        <v>4026</v>
      </c>
      <c r="I171" s="828"/>
      <c r="J171" s="834"/>
      <c r="L171" s="832" t="s">
        <v>4067</v>
      </c>
    </row>
    <row r="172" spans="1:12" s="827" customFormat="1" ht="12" customHeight="1">
      <c r="A172" s="824"/>
      <c r="C172" s="840"/>
      <c r="D172" s="825" t="s">
        <v>3912</v>
      </c>
      <c r="E172" s="833" t="s">
        <v>3607</v>
      </c>
      <c r="F172" s="827" t="s">
        <v>4027</v>
      </c>
      <c r="I172" s="828"/>
      <c r="J172" s="834"/>
      <c r="L172" s="832" t="s">
        <v>4067</v>
      </c>
    </row>
    <row r="173" spans="1:12" s="827" customFormat="1" ht="12" customHeight="1">
      <c r="A173" s="824"/>
      <c r="C173" s="840"/>
      <c r="D173" s="825" t="s">
        <v>3913</v>
      </c>
      <c r="E173" s="833"/>
      <c r="F173" s="827" t="s">
        <v>4028</v>
      </c>
      <c r="I173" s="828"/>
      <c r="J173" s="834"/>
      <c r="L173" s="832" t="s">
        <v>4067</v>
      </c>
    </row>
    <row r="174" spans="1:12" s="827" customFormat="1" ht="12" customHeight="1">
      <c r="A174" s="824"/>
      <c r="C174" s="840"/>
      <c r="D174" s="825" t="s">
        <v>3914</v>
      </c>
      <c r="E174" s="833"/>
      <c r="F174" s="827" t="s">
        <v>4029</v>
      </c>
      <c r="I174" s="828"/>
      <c r="J174" s="834"/>
      <c r="L174" s="832" t="s">
        <v>4067</v>
      </c>
    </row>
    <row r="175" spans="1:12" s="827" customFormat="1" ht="12" customHeight="1">
      <c r="A175" s="824"/>
      <c r="B175" s="825"/>
      <c r="C175" s="825"/>
      <c r="D175" s="825"/>
      <c r="E175" s="836"/>
      <c r="F175" s="827" t="s">
        <v>4030</v>
      </c>
      <c r="I175" s="828"/>
      <c r="L175" s="832" t="s">
        <v>4067</v>
      </c>
    </row>
    <row r="176" spans="1:12" s="827" customFormat="1" ht="12" customHeight="1">
      <c r="A176" s="876">
        <v>39</v>
      </c>
      <c r="B176" s="877" t="s">
        <v>4060</v>
      </c>
      <c r="C176" s="877"/>
      <c r="D176" s="877"/>
      <c r="E176" s="878"/>
      <c r="F176" s="878"/>
      <c r="G176" s="878"/>
      <c r="H176" s="878"/>
      <c r="I176" s="878"/>
      <c r="J176" s="878"/>
      <c r="K176" s="878"/>
    </row>
    <row r="177" spans="1:12" s="827" customFormat="1" ht="23.25" customHeight="1">
      <c r="A177" s="838"/>
      <c r="B177" s="1063" t="s">
        <v>4058</v>
      </c>
      <c r="C177" s="1063"/>
      <c r="D177" s="879" t="s">
        <v>4059</v>
      </c>
      <c r="E177" s="880" t="s">
        <v>3776</v>
      </c>
      <c r="F177" s="881" t="s">
        <v>4061</v>
      </c>
      <c r="G177" s="882"/>
      <c r="H177" s="882"/>
      <c r="I177" s="882"/>
      <c r="J177" s="882"/>
      <c r="K177" s="882"/>
    </row>
    <row r="178" spans="1:12" s="827" customFormat="1" ht="12" customHeight="1">
      <c r="A178" s="838"/>
      <c r="B178" s="1059" t="s">
        <v>4172</v>
      </c>
      <c r="C178" s="1060"/>
      <c r="D178" s="883"/>
      <c r="E178" s="884" t="s">
        <v>3609</v>
      </c>
      <c r="F178" s="1054" t="s">
        <v>4169</v>
      </c>
      <c r="G178" s="1054"/>
      <c r="H178" s="1054"/>
      <c r="I178" s="1054"/>
      <c r="J178" s="1054"/>
      <c r="K178" s="1054"/>
      <c r="L178" s="832" t="s">
        <v>4068</v>
      </c>
    </row>
    <row r="179" spans="1:12" s="827" customFormat="1" ht="12" customHeight="1">
      <c r="A179" s="824"/>
      <c r="B179" s="1061" t="s">
        <v>4173</v>
      </c>
      <c r="C179" s="1062"/>
      <c r="D179" s="885"/>
      <c r="E179" s="886" t="s">
        <v>3607</v>
      </c>
      <c r="F179" s="1052" t="s">
        <v>4170</v>
      </c>
      <c r="G179" s="1052"/>
      <c r="H179" s="1052"/>
      <c r="I179" s="1052"/>
      <c r="J179" s="1052"/>
      <c r="K179" s="1052"/>
      <c r="L179" s="832" t="s">
        <v>4068</v>
      </c>
    </row>
    <row r="180" spans="1:12" s="827" customFormat="1" ht="12" customHeight="1">
      <c r="A180" s="824"/>
      <c r="B180" s="1061" t="s">
        <v>4172</v>
      </c>
      <c r="C180" s="1062"/>
      <c r="D180" s="885"/>
      <c r="E180" s="886" t="s">
        <v>3608</v>
      </c>
      <c r="F180" s="1052" t="s">
        <v>4171</v>
      </c>
      <c r="G180" s="1052"/>
      <c r="H180" s="1052"/>
      <c r="I180" s="1052"/>
      <c r="J180" s="1052"/>
      <c r="K180" s="1052"/>
      <c r="L180" s="832" t="s">
        <v>4068</v>
      </c>
    </row>
    <row r="181" spans="1:12" s="827" customFormat="1" ht="12" customHeight="1">
      <c r="A181" s="824"/>
      <c r="B181" s="1061"/>
      <c r="C181" s="1062"/>
      <c r="D181" s="885"/>
      <c r="E181" s="886" t="s">
        <v>3610</v>
      </c>
      <c r="F181" s="1052"/>
      <c r="G181" s="1052"/>
      <c r="H181" s="1052"/>
      <c r="I181" s="1052"/>
      <c r="J181" s="1052"/>
      <c r="K181" s="1052"/>
      <c r="L181" s="832"/>
    </row>
    <row r="182" spans="1:12" s="827" customFormat="1" ht="12" customHeight="1">
      <c r="A182" s="824"/>
      <c r="B182" s="1061"/>
      <c r="C182" s="1062"/>
      <c r="D182" s="885"/>
      <c r="E182" s="886" t="s">
        <v>3611</v>
      </c>
      <c r="F182" s="1052"/>
      <c r="G182" s="1052"/>
      <c r="H182" s="1052"/>
      <c r="I182" s="1052"/>
      <c r="J182" s="1052"/>
      <c r="K182" s="1052"/>
      <c r="L182" s="832"/>
    </row>
    <row r="183" spans="1:12" s="827" customFormat="1" ht="12" customHeight="1">
      <c r="A183" s="824"/>
      <c r="B183" s="1061"/>
      <c r="C183" s="1062"/>
      <c r="D183" s="885"/>
      <c r="E183" s="886" t="s">
        <v>3612</v>
      </c>
      <c r="F183" s="1052"/>
      <c r="G183" s="1052"/>
      <c r="H183" s="1052"/>
      <c r="I183" s="1052"/>
      <c r="J183" s="1052"/>
      <c r="K183" s="1052"/>
      <c r="L183" s="832"/>
    </row>
    <row r="184" spans="1:12" s="827" customFormat="1" ht="12" customHeight="1">
      <c r="A184" s="824"/>
      <c r="B184" s="1061"/>
      <c r="C184" s="1062"/>
      <c r="D184" s="885"/>
      <c r="E184" s="886" t="s">
        <v>3613</v>
      </c>
      <c r="F184" s="1052"/>
      <c r="G184" s="1052"/>
      <c r="H184" s="1052"/>
      <c r="I184" s="1052"/>
      <c r="J184" s="1052"/>
      <c r="K184" s="1052"/>
      <c r="L184" s="832"/>
    </row>
    <row r="185" spans="1:12" s="827" customFormat="1" ht="12" customHeight="1">
      <c r="A185" s="824"/>
      <c r="B185" s="1061"/>
      <c r="C185" s="1062"/>
      <c r="D185" s="885"/>
      <c r="E185" s="886" t="s">
        <v>3946</v>
      </c>
      <c r="F185" s="1052"/>
      <c r="G185" s="1052"/>
      <c r="H185" s="1052"/>
      <c r="I185" s="1052"/>
      <c r="J185" s="1052"/>
      <c r="K185" s="1052"/>
      <c r="L185" s="832"/>
    </row>
    <row r="186" spans="1:12" s="827" customFormat="1" ht="12" customHeight="1">
      <c r="A186" s="824"/>
      <c r="B186" s="1061"/>
      <c r="C186" s="1062"/>
      <c r="D186" s="885"/>
      <c r="E186" s="886" t="s">
        <v>3947</v>
      </c>
      <c r="F186" s="1052"/>
      <c r="G186" s="1052"/>
      <c r="H186" s="1052"/>
      <c r="I186" s="1052"/>
      <c r="J186" s="1052"/>
      <c r="K186" s="1052"/>
      <c r="L186" s="832"/>
    </row>
    <row r="187" spans="1:12" s="827" customFormat="1" ht="12" customHeight="1">
      <c r="A187" s="824"/>
      <c r="B187" s="1064"/>
      <c r="C187" s="1065"/>
      <c r="D187" s="887"/>
      <c r="E187" s="888" t="s">
        <v>4054</v>
      </c>
      <c r="F187" s="1053"/>
      <c r="G187" s="1053"/>
      <c r="H187" s="1053"/>
      <c r="I187" s="1053"/>
      <c r="J187" s="1053"/>
      <c r="K187" s="1053"/>
      <c r="L187" s="832"/>
    </row>
    <row r="188" spans="1:12" s="827" customFormat="1">
      <c r="A188" s="824"/>
      <c r="B188" s="825"/>
      <c r="C188" s="825"/>
      <c r="D188" s="825"/>
      <c r="E188" s="845"/>
      <c r="I188" s="828"/>
    </row>
    <row r="189" spans="1:12" s="827" customFormat="1">
      <c r="A189" s="824"/>
      <c r="B189" s="825"/>
      <c r="C189" s="825"/>
      <c r="D189" s="825"/>
      <c r="E189" s="845"/>
      <c r="I189" s="828"/>
    </row>
    <row r="190" spans="1:12" s="827" customFormat="1">
      <c r="A190" s="824"/>
      <c r="B190" s="825"/>
      <c r="C190" s="825"/>
      <c r="D190" s="825"/>
      <c r="E190" s="845"/>
      <c r="I190" s="828"/>
    </row>
    <row r="191" spans="1:12" s="827" customFormat="1">
      <c r="A191" s="824"/>
      <c r="B191" s="825"/>
      <c r="C191" s="825"/>
      <c r="D191" s="825"/>
      <c r="E191" s="845"/>
      <c r="I191" s="828"/>
    </row>
    <row r="192" spans="1:12" s="827" customFormat="1">
      <c r="A192" s="824"/>
      <c r="B192" s="825"/>
      <c r="C192" s="825"/>
      <c r="D192" s="825"/>
      <c r="E192" s="845"/>
      <c r="I192" s="828"/>
    </row>
    <row r="193" spans="1:9" s="827" customFormat="1">
      <c r="A193" s="824"/>
      <c r="B193" s="825"/>
      <c r="C193" s="825"/>
      <c r="D193" s="825"/>
      <c r="E193" s="845"/>
      <c r="I193" s="828"/>
    </row>
    <row r="194" spans="1:9" s="827" customFormat="1">
      <c r="A194" s="824"/>
      <c r="B194" s="825"/>
      <c r="C194" s="825"/>
      <c r="D194" s="825"/>
      <c r="E194" s="845"/>
      <c r="I194" s="828"/>
    </row>
    <row r="195" spans="1:9" s="827" customFormat="1">
      <c r="A195" s="824"/>
      <c r="B195" s="825"/>
      <c r="C195" s="825"/>
      <c r="D195" s="825"/>
      <c r="E195" s="845"/>
      <c r="I195" s="828"/>
    </row>
    <row r="196" spans="1:9" s="827" customFormat="1">
      <c r="A196" s="824"/>
      <c r="B196" s="825"/>
      <c r="C196" s="825"/>
      <c r="D196" s="825"/>
      <c r="E196" s="845"/>
      <c r="I196" s="828"/>
    </row>
    <row r="197" spans="1:9" s="827" customFormat="1">
      <c r="A197" s="824"/>
      <c r="B197" s="825"/>
      <c r="C197" s="825"/>
      <c r="D197" s="825"/>
      <c r="E197" s="845"/>
      <c r="I197" s="828"/>
    </row>
    <row r="198" spans="1:9" s="827" customFormat="1">
      <c r="A198" s="824"/>
      <c r="B198" s="825"/>
      <c r="C198" s="825"/>
      <c r="D198" s="825"/>
      <c r="E198" s="845"/>
      <c r="I198" s="828"/>
    </row>
    <row r="199" spans="1:9" s="827" customFormat="1">
      <c r="A199" s="824"/>
      <c r="B199" s="825"/>
      <c r="C199" s="825"/>
      <c r="D199" s="825"/>
      <c r="E199" s="845"/>
      <c r="I199" s="828"/>
    </row>
    <row r="200" spans="1:9" s="827" customFormat="1">
      <c r="A200" s="824"/>
      <c r="B200" s="825"/>
      <c r="C200" s="825"/>
      <c r="D200" s="825"/>
      <c r="E200" s="845"/>
      <c r="I200" s="828"/>
    </row>
    <row r="201" spans="1:9" s="827" customFormat="1">
      <c r="A201" s="824"/>
      <c r="B201" s="825"/>
      <c r="C201" s="825"/>
      <c r="D201" s="825"/>
      <c r="E201" s="845"/>
      <c r="I201" s="828"/>
    </row>
    <row r="202" spans="1:9" s="827" customFormat="1">
      <c r="A202" s="824"/>
      <c r="B202" s="825"/>
      <c r="C202" s="825"/>
      <c r="D202" s="825"/>
      <c r="E202" s="845"/>
      <c r="I202" s="828"/>
    </row>
    <row r="203" spans="1:9" s="827" customFormat="1">
      <c r="A203" s="824"/>
      <c r="B203" s="825"/>
      <c r="C203" s="825"/>
      <c r="D203" s="825"/>
      <c r="E203" s="845"/>
      <c r="I203" s="828"/>
    </row>
    <row r="204" spans="1:9" s="827" customFormat="1">
      <c r="A204" s="824"/>
      <c r="B204" s="825"/>
      <c r="C204" s="825"/>
      <c r="D204" s="825"/>
      <c r="E204" s="845"/>
      <c r="I204" s="828"/>
    </row>
    <row r="205" spans="1:9" s="827" customFormat="1">
      <c r="A205" s="824"/>
      <c r="B205" s="825"/>
      <c r="C205" s="825"/>
      <c r="D205" s="825"/>
      <c r="E205" s="845"/>
      <c r="I205" s="828"/>
    </row>
    <row r="206" spans="1:9" s="827" customFormat="1">
      <c r="A206" s="824"/>
      <c r="B206" s="825"/>
      <c r="C206" s="825"/>
      <c r="D206" s="825"/>
      <c r="E206" s="845"/>
      <c r="I206" s="828"/>
    </row>
    <row r="207" spans="1:9" s="827" customFormat="1">
      <c r="A207" s="824"/>
      <c r="B207" s="825"/>
      <c r="C207" s="825"/>
      <c r="D207" s="825"/>
      <c r="E207" s="845"/>
      <c r="I207" s="828"/>
    </row>
    <row r="208" spans="1:9" s="827" customFormat="1">
      <c r="A208" s="824"/>
      <c r="B208" s="825"/>
      <c r="C208" s="825"/>
      <c r="D208" s="825"/>
      <c r="E208" s="845"/>
      <c r="I208" s="828"/>
    </row>
    <row r="209" spans="1:9" s="827" customFormat="1">
      <c r="A209" s="824"/>
      <c r="B209" s="825"/>
      <c r="C209" s="825"/>
      <c r="D209" s="825"/>
      <c r="E209" s="845"/>
      <c r="I209" s="828"/>
    </row>
    <row r="210" spans="1:9" s="827" customFormat="1">
      <c r="A210" s="824"/>
      <c r="B210" s="825"/>
      <c r="C210" s="825"/>
      <c r="D210" s="825"/>
      <c r="E210" s="845"/>
      <c r="I210" s="828"/>
    </row>
    <row r="211" spans="1:9" s="827" customFormat="1">
      <c r="A211" s="824"/>
      <c r="B211" s="825"/>
      <c r="C211" s="825"/>
      <c r="D211" s="825"/>
      <c r="E211" s="845"/>
      <c r="I211" s="828"/>
    </row>
    <row r="212" spans="1:9" s="827" customFormat="1">
      <c r="A212" s="824"/>
      <c r="B212" s="825"/>
      <c r="C212" s="825"/>
      <c r="D212" s="825"/>
      <c r="E212" s="845"/>
      <c r="I212" s="828"/>
    </row>
    <row r="213" spans="1:9" s="827" customFormat="1">
      <c r="A213" s="824"/>
      <c r="B213" s="825"/>
      <c r="C213" s="825"/>
      <c r="D213" s="825"/>
      <c r="E213" s="845"/>
      <c r="I213" s="828"/>
    </row>
    <row r="214" spans="1:9" s="827" customFormat="1">
      <c r="A214" s="824"/>
      <c r="B214" s="825"/>
      <c r="C214" s="825"/>
      <c r="D214" s="825"/>
      <c r="E214" s="845"/>
      <c r="I214" s="828"/>
    </row>
    <row r="215" spans="1:9" s="827" customFormat="1">
      <c r="A215" s="824"/>
      <c r="B215" s="825"/>
      <c r="C215" s="825"/>
      <c r="D215" s="825"/>
      <c r="E215" s="845"/>
      <c r="I215" s="828"/>
    </row>
    <row r="216" spans="1:9" s="827" customFormat="1">
      <c r="A216" s="824"/>
      <c r="B216" s="825"/>
      <c r="C216" s="825"/>
      <c r="D216" s="825"/>
      <c r="E216" s="845"/>
      <c r="I216" s="828"/>
    </row>
    <row r="217" spans="1:9" s="827" customFormat="1">
      <c r="A217" s="824"/>
      <c r="B217" s="825"/>
      <c r="C217" s="825"/>
      <c r="D217" s="825"/>
      <c r="E217" s="845"/>
      <c r="I217" s="828"/>
    </row>
    <row r="218" spans="1:9" s="827" customFormat="1">
      <c r="A218" s="824"/>
      <c r="B218" s="825"/>
      <c r="C218" s="825"/>
      <c r="D218" s="825"/>
      <c r="E218" s="845"/>
      <c r="I218" s="828"/>
    </row>
    <row r="219" spans="1:9" s="827" customFormat="1">
      <c r="A219" s="824"/>
      <c r="B219" s="825"/>
      <c r="C219" s="825"/>
      <c r="D219" s="825"/>
      <c r="E219" s="845"/>
      <c r="I219" s="828"/>
    </row>
    <row r="220" spans="1:9" s="827" customFormat="1">
      <c r="A220" s="824"/>
      <c r="B220" s="825"/>
      <c r="C220" s="825"/>
      <c r="D220" s="825"/>
      <c r="E220" s="845"/>
      <c r="I220" s="828"/>
    </row>
    <row r="221" spans="1:9" s="827" customFormat="1">
      <c r="A221" s="824"/>
      <c r="B221" s="825"/>
      <c r="C221" s="825"/>
      <c r="D221" s="825"/>
      <c r="E221" s="845"/>
      <c r="I221" s="828"/>
    </row>
    <row r="222" spans="1:9" s="827" customFormat="1">
      <c r="A222" s="824"/>
      <c r="B222" s="825"/>
      <c r="C222" s="825"/>
      <c r="D222" s="825"/>
      <c r="E222" s="845"/>
      <c r="I222" s="828"/>
    </row>
    <row r="223" spans="1:9" s="827" customFormat="1">
      <c r="A223" s="824"/>
      <c r="B223" s="825"/>
      <c r="C223" s="825"/>
      <c r="D223" s="825"/>
      <c r="E223" s="845"/>
      <c r="I223" s="828"/>
    </row>
    <row r="224" spans="1:9" s="827" customFormat="1">
      <c r="A224" s="824"/>
      <c r="B224" s="825"/>
      <c r="C224" s="825"/>
      <c r="D224" s="825"/>
      <c r="E224" s="845"/>
      <c r="I224" s="828"/>
    </row>
    <row r="225" spans="1:9" s="827" customFormat="1">
      <c r="A225" s="824"/>
      <c r="B225" s="825"/>
      <c r="C225" s="825"/>
      <c r="D225" s="825"/>
      <c r="E225" s="845"/>
      <c r="I225" s="828"/>
    </row>
    <row r="226" spans="1:9" s="827" customFormat="1">
      <c r="A226" s="824"/>
      <c r="B226" s="825"/>
      <c r="C226" s="825"/>
      <c r="D226" s="825"/>
      <c r="E226" s="845"/>
      <c r="I226" s="828"/>
    </row>
    <row r="227" spans="1:9" s="827" customFormat="1">
      <c r="A227" s="824"/>
      <c r="B227" s="825"/>
      <c r="C227" s="825"/>
      <c r="D227" s="825"/>
      <c r="E227" s="845"/>
      <c r="I227" s="828"/>
    </row>
    <row r="228" spans="1:9" s="827" customFormat="1">
      <c r="A228" s="824"/>
      <c r="B228" s="825"/>
      <c r="C228" s="825"/>
      <c r="D228" s="825"/>
      <c r="E228" s="845"/>
      <c r="I228" s="828"/>
    </row>
    <row r="229" spans="1:9" s="827" customFormat="1">
      <c r="A229" s="824"/>
      <c r="B229" s="825"/>
      <c r="C229" s="825"/>
      <c r="D229" s="825"/>
      <c r="E229" s="845"/>
      <c r="I229" s="828"/>
    </row>
    <row r="230" spans="1:9" s="827" customFormat="1">
      <c r="A230" s="824"/>
      <c r="B230" s="825"/>
      <c r="C230" s="825"/>
      <c r="D230" s="825"/>
      <c r="E230" s="845"/>
      <c r="I230" s="828"/>
    </row>
    <row r="231" spans="1:9" s="827" customFormat="1">
      <c r="A231" s="824"/>
      <c r="B231" s="825"/>
      <c r="C231" s="825"/>
      <c r="D231" s="825"/>
      <c r="E231" s="845"/>
      <c r="I231" s="828"/>
    </row>
    <row r="232" spans="1:9" s="827" customFormat="1">
      <c r="A232" s="824"/>
      <c r="B232" s="825"/>
      <c r="C232" s="825"/>
      <c r="D232" s="825"/>
      <c r="E232" s="845"/>
      <c r="I232" s="828"/>
    </row>
    <row r="233" spans="1:9" s="827" customFormat="1">
      <c r="A233" s="824"/>
      <c r="B233" s="825"/>
      <c r="C233" s="825"/>
      <c r="D233" s="825"/>
      <c r="E233" s="845"/>
      <c r="I233" s="828"/>
    </row>
    <row r="234" spans="1:9" s="827" customFormat="1">
      <c r="A234" s="824"/>
      <c r="B234" s="825"/>
      <c r="C234" s="825"/>
      <c r="D234" s="825"/>
      <c r="E234" s="845"/>
      <c r="I234" s="828"/>
    </row>
    <row r="235" spans="1:9" s="827" customFormat="1">
      <c r="A235" s="824"/>
      <c r="B235" s="825"/>
      <c r="C235" s="825"/>
      <c r="D235" s="825"/>
      <c r="E235" s="845"/>
      <c r="I235" s="828"/>
    </row>
    <row r="236" spans="1:9" s="827" customFormat="1">
      <c r="A236" s="824"/>
      <c r="B236" s="825"/>
      <c r="C236" s="825"/>
      <c r="D236" s="825"/>
      <c r="E236" s="845"/>
      <c r="I236" s="828"/>
    </row>
    <row r="237" spans="1:9" s="827" customFormat="1">
      <c r="A237" s="824"/>
      <c r="B237" s="825"/>
      <c r="C237" s="825"/>
      <c r="D237" s="825"/>
      <c r="E237" s="845"/>
      <c r="I237" s="828"/>
    </row>
    <row r="238" spans="1:9" s="827" customFormat="1">
      <c r="A238" s="824"/>
      <c r="B238" s="825"/>
      <c r="C238" s="825"/>
      <c r="D238" s="825"/>
      <c r="E238" s="845"/>
      <c r="I238" s="828"/>
    </row>
    <row r="239" spans="1:9" s="827" customFormat="1">
      <c r="A239" s="824"/>
      <c r="B239" s="825"/>
      <c r="C239" s="825"/>
      <c r="D239" s="825"/>
      <c r="E239" s="845"/>
      <c r="I239" s="828"/>
    </row>
    <row r="240" spans="1:9" s="827" customFormat="1">
      <c r="A240" s="824"/>
      <c r="B240" s="825"/>
      <c r="C240" s="825"/>
      <c r="D240" s="825"/>
      <c r="E240" s="845"/>
      <c r="I240" s="828"/>
    </row>
    <row r="241" spans="1:9" s="827" customFormat="1">
      <c r="A241" s="824"/>
      <c r="B241" s="825"/>
      <c r="C241" s="825"/>
      <c r="D241" s="825"/>
      <c r="E241" s="845"/>
      <c r="I241" s="828"/>
    </row>
    <row r="242" spans="1:9" s="827" customFormat="1">
      <c r="A242" s="824"/>
      <c r="B242" s="825"/>
      <c r="C242" s="825"/>
      <c r="D242" s="825"/>
      <c r="E242" s="845"/>
      <c r="I242" s="828"/>
    </row>
    <row r="243" spans="1:9" s="827" customFormat="1">
      <c r="A243" s="824"/>
      <c r="B243" s="825"/>
      <c r="C243" s="825"/>
      <c r="D243" s="825"/>
      <c r="E243" s="845"/>
      <c r="I243" s="828"/>
    </row>
    <row r="244" spans="1:9" s="827" customFormat="1">
      <c r="A244" s="824"/>
      <c r="B244" s="825"/>
      <c r="C244" s="825"/>
      <c r="D244" s="825"/>
      <c r="E244" s="845"/>
      <c r="I244" s="828"/>
    </row>
    <row r="245" spans="1:9" s="827" customFormat="1">
      <c r="A245" s="824"/>
      <c r="B245" s="825"/>
      <c r="C245" s="825"/>
      <c r="D245" s="825"/>
      <c r="E245" s="845"/>
      <c r="I245" s="828"/>
    </row>
    <row r="246" spans="1:9" s="827" customFormat="1">
      <c r="A246" s="824"/>
      <c r="B246" s="825"/>
      <c r="C246" s="825"/>
      <c r="D246" s="825"/>
      <c r="E246" s="845"/>
      <c r="I246" s="828"/>
    </row>
    <row r="247" spans="1:9" s="827" customFormat="1">
      <c r="A247" s="824"/>
      <c r="B247" s="825"/>
      <c r="C247" s="825"/>
      <c r="D247" s="825"/>
      <c r="E247" s="845"/>
      <c r="I247" s="828"/>
    </row>
    <row r="248" spans="1:9">
      <c r="A248" s="889"/>
      <c r="B248" s="890"/>
      <c r="C248" s="890"/>
      <c r="D248" s="890"/>
      <c r="E248" s="891"/>
    </row>
    <row r="249" spans="1:9">
      <c r="A249" s="889"/>
      <c r="B249" s="890"/>
      <c r="C249" s="890"/>
      <c r="D249" s="890"/>
      <c r="E249" s="891"/>
    </row>
    <row r="250" spans="1:9">
      <c r="A250" s="889"/>
      <c r="B250" s="890"/>
      <c r="C250" s="890"/>
      <c r="D250" s="890"/>
      <c r="E250" s="891"/>
    </row>
    <row r="251" spans="1:9">
      <c r="A251" s="889"/>
      <c r="B251" s="890"/>
      <c r="C251" s="890"/>
      <c r="D251" s="890"/>
      <c r="E251" s="891"/>
    </row>
    <row r="252" spans="1:9">
      <c r="A252" s="889"/>
      <c r="B252" s="890"/>
      <c r="C252" s="890"/>
      <c r="D252" s="890"/>
      <c r="E252" s="891"/>
    </row>
    <row r="253" spans="1:9">
      <c r="A253" s="889"/>
      <c r="B253" s="890"/>
      <c r="C253" s="890"/>
      <c r="D253" s="890"/>
      <c r="E253" s="891"/>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1322" t="str">
        <f>CONCATENATE("PART SIX - PROJECTED REVENUES &amp; EXPENSES","  -  ",'Part I-Project Information'!$O$4," ",'Part I-Project Information'!$F$23,", ",'Part I-Project Information'!F26,", ",'Part I-Project Information'!J27," County")</f>
        <v>PART SIX - PROJECTED REVENUES &amp; EXPENSES  -  2013-035 North Lake Senior Village, LP, Columbus, Muscogee County</v>
      </c>
      <c r="B1" s="1323"/>
      <c r="C1" s="1323"/>
      <c r="D1" s="1323"/>
      <c r="E1" s="1323"/>
      <c r="F1" s="1323"/>
      <c r="G1" s="1323"/>
      <c r="H1" s="1323"/>
      <c r="I1" s="1323"/>
      <c r="J1" s="1323"/>
      <c r="K1" s="1323"/>
      <c r="L1" s="1323"/>
      <c r="M1" s="1323"/>
      <c r="N1" s="1323"/>
      <c r="O1" s="1323"/>
      <c r="P1" s="1324"/>
      <c r="T1" s="1512" t="str">
        <f>A1</f>
        <v>PART SIX - PROJECTED REVENUES &amp; EXPENSES  -  2013-035 North Lake Senior Village, LP, Columbus, Muscogee County</v>
      </c>
      <c r="U1" s="1512"/>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468" t="s">
        <v>1315</v>
      </c>
      <c r="W4" s="1468" t="s">
        <v>1061</v>
      </c>
      <c r="X4" s="1468" t="s">
        <v>1062</v>
      </c>
      <c r="Y4" s="1468" t="s">
        <v>1063</v>
      </c>
      <c r="Z4" s="1468" t="s">
        <v>1064</v>
      </c>
      <c r="AA4" s="1468" t="s">
        <v>1316</v>
      </c>
      <c r="AB4" s="1468" t="s">
        <v>3041</v>
      </c>
      <c r="AC4" s="1468" t="s">
        <v>3042</v>
      </c>
      <c r="AD4" s="1468" t="s">
        <v>3043</v>
      </c>
      <c r="AE4" s="1468" t="s">
        <v>3044</v>
      </c>
      <c r="AF4" s="1468" t="s">
        <v>1317</v>
      </c>
      <c r="AG4" s="1468" t="s">
        <v>3045</v>
      </c>
      <c r="AH4" s="1468" t="s">
        <v>3046</v>
      </c>
      <c r="AI4" s="1468" t="s">
        <v>3047</v>
      </c>
      <c r="AJ4" s="1468" t="s">
        <v>3048</v>
      </c>
      <c r="AK4" s="1468" t="s">
        <v>136</v>
      </c>
      <c r="AL4" s="1468" t="s">
        <v>3049</v>
      </c>
      <c r="AM4" s="1468" t="s">
        <v>3050</v>
      </c>
      <c r="AN4" s="1468" t="s">
        <v>3051</v>
      </c>
      <c r="AO4" s="1468" t="s">
        <v>1561</v>
      </c>
      <c r="AP4" s="1468" t="s">
        <v>724</v>
      </c>
      <c r="AQ4" s="1468" t="s">
        <v>725</v>
      </c>
      <c r="AR4" s="1468" t="s">
        <v>750</v>
      </c>
      <c r="AS4" s="1468" t="s">
        <v>751</v>
      </c>
      <c r="AT4" s="1468" t="s">
        <v>752</v>
      </c>
      <c r="AU4" s="1468" t="s">
        <v>753</v>
      </c>
      <c r="AV4" s="1468" t="s">
        <v>754</v>
      </c>
      <c r="AW4" s="1468" t="s">
        <v>755</v>
      </c>
      <c r="AX4" s="1468" t="s">
        <v>756</v>
      </c>
      <c r="AY4" s="1468" t="s">
        <v>757</v>
      </c>
      <c r="AZ4" s="1468" t="s">
        <v>758</v>
      </c>
      <c r="BA4" s="1468" t="s">
        <v>759</v>
      </c>
      <c r="BB4" s="1468" t="s">
        <v>1327</v>
      </c>
      <c r="BC4" s="1468" t="s">
        <v>1328</v>
      </c>
      <c r="BD4" s="1468" t="s">
        <v>1329</v>
      </c>
      <c r="BE4" s="1468" t="s">
        <v>631</v>
      </c>
      <c r="BF4" s="1468" t="s">
        <v>632</v>
      </c>
      <c r="BG4" s="1468" t="s">
        <v>633</v>
      </c>
      <c r="BH4" s="1468" t="s">
        <v>634</v>
      </c>
      <c r="BI4" s="1468" t="s">
        <v>635</v>
      </c>
      <c r="BJ4" s="1468" t="s">
        <v>1275</v>
      </c>
      <c r="BK4" s="1468" t="s">
        <v>1276</v>
      </c>
      <c r="BL4" s="1468" t="s">
        <v>1277</v>
      </c>
      <c r="BM4" s="1468" t="s">
        <v>1278</v>
      </c>
      <c r="BN4" s="1468" t="s">
        <v>1279</v>
      </c>
      <c r="BO4" s="1468" t="s">
        <v>1280</v>
      </c>
      <c r="BP4" s="1468" t="s">
        <v>1281</v>
      </c>
      <c r="BQ4" s="1468" t="s">
        <v>1282</v>
      </c>
      <c r="BR4" s="1468" t="s">
        <v>1283</v>
      </c>
      <c r="BS4" s="1468" t="s">
        <v>1284</v>
      </c>
      <c r="BT4" s="1468" t="s">
        <v>3197</v>
      </c>
      <c r="BU4" s="1468" t="s">
        <v>3198</v>
      </c>
      <c r="BV4" s="1468" t="s">
        <v>3199</v>
      </c>
      <c r="BW4" s="1468" t="s">
        <v>3200</v>
      </c>
      <c r="BX4" s="1468" t="s">
        <v>3201</v>
      </c>
      <c r="BY4" s="1468" t="s">
        <v>123</v>
      </c>
      <c r="BZ4" s="1468" t="s">
        <v>1564</v>
      </c>
      <c r="CA4" s="1468" t="s">
        <v>1565</v>
      </c>
      <c r="CB4" s="1468" t="s">
        <v>1634</v>
      </c>
      <c r="CC4" s="1468" t="s">
        <v>1635</v>
      </c>
      <c r="CD4" s="1469" t="s">
        <v>139</v>
      </c>
      <c r="CE4" s="1469" t="s">
        <v>1636</v>
      </c>
      <c r="CF4" s="1469" t="s">
        <v>1637</v>
      </c>
      <c r="CG4" s="1469" t="s">
        <v>1638</v>
      </c>
      <c r="CH4" s="1469" t="s">
        <v>1639</v>
      </c>
      <c r="CI4" s="1469" t="s">
        <v>138</v>
      </c>
      <c r="CJ4" s="1469" t="s">
        <v>1307</v>
      </c>
      <c r="CK4" s="1469" t="s">
        <v>1308</v>
      </c>
      <c r="CL4" s="1469" t="s">
        <v>1309</v>
      </c>
      <c r="CM4" s="1469" t="s">
        <v>1310</v>
      </c>
      <c r="CN4" s="1469" t="s">
        <v>137</v>
      </c>
      <c r="CO4" s="1469" t="s">
        <v>1311</v>
      </c>
      <c r="CP4" s="1469" t="s">
        <v>1312</v>
      </c>
      <c r="CQ4" s="1469" t="s">
        <v>1313</v>
      </c>
      <c r="CR4" s="1469" t="s">
        <v>1314</v>
      </c>
      <c r="CS4" s="1469" t="s">
        <v>1202</v>
      </c>
      <c r="CT4" s="1469" t="s">
        <v>1203</v>
      </c>
      <c r="CU4" s="1469" t="s">
        <v>1204</v>
      </c>
      <c r="CV4" s="1469" t="s">
        <v>1205</v>
      </c>
      <c r="CW4" s="1469" t="s">
        <v>1206</v>
      </c>
      <c r="CX4" s="1469" t="s">
        <v>1354</v>
      </c>
      <c r="CY4" s="1469" t="s">
        <v>1355</v>
      </c>
      <c r="CZ4" s="1469" t="s">
        <v>1356</v>
      </c>
      <c r="DA4" s="1469" t="s">
        <v>1357</v>
      </c>
      <c r="DB4" s="1469" t="s">
        <v>3196</v>
      </c>
      <c r="DC4" s="1469" t="s">
        <v>1876</v>
      </c>
      <c r="DD4" s="1469" t="s">
        <v>1877</v>
      </c>
      <c r="DE4" s="1469" t="s">
        <v>1878</v>
      </c>
      <c r="DF4" s="1469" t="s">
        <v>1879</v>
      </c>
      <c r="DG4" s="1469" t="s">
        <v>1880</v>
      </c>
      <c r="DH4" s="1469" t="s">
        <v>560</v>
      </c>
      <c r="DI4" s="1469" t="s">
        <v>561</v>
      </c>
      <c r="DJ4" s="1469" t="s">
        <v>562</v>
      </c>
      <c r="DK4" s="1469" t="s">
        <v>563</v>
      </c>
      <c r="DL4" s="1469" t="s">
        <v>564</v>
      </c>
      <c r="DM4" s="1469" t="s">
        <v>18</v>
      </c>
      <c r="DN4" s="1469" t="s">
        <v>19</v>
      </c>
      <c r="DO4" s="1469" t="s">
        <v>20</v>
      </c>
      <c r="DP4" s="1469" t="s">
        <v>21</v>
      </c>
      <c r="DQ4" s="1469" t="s">
        <v>22</v>
      </c>
      <c r="DR4" s="1469" t="s">
        <v>243</v>
      </c>
      <c r="DS4" s="1469" t="s">
        <v>244</v>
      </c>
      <c r="DT4" s="1469" t="s">
        <v>245</v>
      </c>
      <c r="DU4" s="1469" t="s">
        <v>2510</v>
      </c>
      <c r="DV4" s="1469" t="s">
        <v>2511</v>
      </c>
      <c r="DW4" s="1469" t="s">
        <v>2512</v>
      </c>
      <c r="DX4" s="1469" t="s">
        <v>766</v>
      </c>
      <c r="DY4" s="1469" t="s">
        <v>767</v>
      </c>
      <c r="DZ4" s="1469" t="s">
        <v>768</v>
      </c>
      <c r="EA4" s="1469" t="s">
        <v>769</v>
      </c>
      <c r="EB4" s="1469" t="s">
        <v>23</v>
      </c>
      <c r="EC4" s="1469" t="s">
        <v>24</v>
      </c>
      <c r="ED4" s="1469" t="s">
        <v>25</v>
      </c>
      <c r="EE4" s="1469" t="s">
        <v>26</v>
      </c>
      <c r="EF4" s="1469" t="s">
        <v>27</v>
      </c>
      <c r="EG4" s="1469" t="s">
        <v>630</v>
      </c>
      <c r="EH4" s="1469" t="s">
        <v>556</v>
      </c>
      <c r="EI4" s="1469" t="s">
        <v>557</v>
      </c>
      <c r="EJ4" s="1469" t="s">
        <v>558</v>
      </c>
      <c r="EK4" s="1469" t="s">
        <v>559</v>
      </c>
      <c r="EL4" s="1469" t="s">
        <v>2930</v>
      </c>
      <c r="EM4" s="1469" t="s">
        <v>2931</v>
      </c>
      <c r="EN4" s="1469" t="s">
        <v>2932</v>
      </c>
      <c r="EO4" s="1469" t="s">
        <v>1928</v>
      </c>
      <c r="EP4" s="1469" t="s">
        <v>1929</v>
      </c>
      <c r="EQ4" s="1469" t="s">
        <v>28</v>
      </c>
      <c r="ER4" s="1469" t="s">
        <v>29</v>
      </c>
      <c r="ES4" s="1469" t="s">
        <v>30</v>
      </c>
      <c r="ET4" s="1469" t="s">
        <v>31</v>
      </c>
      <c r="EU4" s="1469"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469" t="s">
        <v>2227</v>
      </c>
      <c r="GP4" s="1469" t="s">
        <v>3312</v>
      </c>
      <c r="GQ4" s="1469" t="s">
        <v>3313</v>
      </c>
      <c r="GR4" s="1469" t="s">
        <v>420</v>
      </c>
      <c r="GS4" s="1469" t="s">
        <v>421</v>
      </c>
      <c r="GT4" s="1469" t="s">
        <v>422</v>
      </c>
      <c r="GU4" s="1469" t="s">
        <v>423</v>
      </c>
      <c r="GV4" s="1469" t="s">
        <v>424</v>
      </c>
      <c r="GW4" s="1469" t="s">
        <v>425</v>
      </c>
      <c r="GX4" s="1469" t="s">
        <v>426</v>
      </c>
      <c r="GY4" s="1469" t="s">
        <v>220</v>
      </c>
      <c r="GZ4" s="1469" t="s">
        <v>221</v>
      </c>
      <c r="HA4" s="1469" t="s">
        <v>222</v>
      </c>
      <c r="HB4" s="1469" t="s">
        <v>223</v>
      </c>
      <c r="HC4" s="1469" t="s">
        <v>224</v>
      </c>
      <c r="HD4" s="1469" t="s">
        <v>225</v>
      </c>
      <c r="HE4" s="1469" t="s">
        <v>226</v>
      </c>
      <c r="HF4" s="1469" t="s">
        <v>227</v>
      </c>
      <c r="HG4" s="1469" t="s">
        <v>228</v>
      </c>
      <c r="HH4" s="1469" t="s">
        <v>229</v>
      </c>
      <c r="HI4" s="1469" t="s">
        <v>230</v>
      </c>
      <c r="HJ4" s="1469" t="s">
        <v>231</v>
      </c>
      <c r="HK4" s="1469" t="s">
        <v>232</v>
      </c>
      <c r="HL4" s="1469" t="s">
        <v>233</v>
      </c>
      <c r="HM4" s="1469"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940"/>
      <c r="N5" s="810" t="s">
        <v>749</v>
      </c>
      <c r="P5" s="806" t="s">
        <v>1439</v>
      </c>
      <c r="Q5" s="555"/>
      <c r="R5" s="555"/>
      <c r="S5" s="555"/>
      <c r="V5" s="1468"/>
      <c r="W5" s="1468"/>
      <c r="X5" s="1468"/>
      <c r="Y5" s="1468"/>
      <c r="Z5" s="1468"/>
      <c r="AA5" s="1468"/>
      <c r="AB5" s="1468"/>
      <c r="AC5" s="1468"/>
      <c r="AD5" s="1468"/>
      <c r="AE5" s="1468"/>
      <c r="AF5" s="1468"/>
      <c r="AG5" s="1468"/>
      <c r="AH5" s="1468"/>
      <c r="AI5" s="1468"/>
      <c r="AJ5" s="1468"/>
      <c r="AK5" s="1468"/>
      <c r="AL5" s="1468"/>
      <c r="AM5" s="1468"/>
      <c r="AN5" s="1468"/>
      <c r="AO5" s="1468"/>
      <c r="AP5" s="1468"/>
      <c r="AQ5" s="1468"/>
      <c r="AR5" s="1468"/>
      <c r="AS5" s="1468"/>
      <c r="AT5" s="1468"/>
      <c r="AU5" s="1468"/>
      <c r="AV5" s="1468"/>
      <c r="AW5" s="1468"/>
      <c r="AX5" s="1468"/>
      <c r="AY5" s="1468"/>
      <c r="AZ5" s="1468"/>
      <c r="BA5" s="1468"/>
      <c r="BB5" s="1468"/>
      <c r="BC5" s="1468"/>
      <c r="BD5" s="1468"/>
      <c r="BE5" s="1468"/>
      <c r="BF5" s="1468"/>
      <c r="BG5" s="1468"/>
      <c r="BH5" s="1468"/>
      <c r="BI5" s="1468"/>
      <c r="BJ5" s="1468"/>
      <c r="BK5" s="1468"/>
      <c r="BL5" s="1468"/>
      <c r="BM5" s="1468"/>
      <c r="BN5" s="1468"/>
      <c r="BO5" s="1468"/>
      <c r="BP5" s="1468"/>
      <c r="BQ5" s="1468"/>
      <c r="BR5" s="1468"/>
      <c r="BS5" s="1468"/>
      <c r="BT5" s="1468"/>
      <c r="BU5" s="1468"/>
      <c r="BV5" s="1468"/>
      <c r="BW5" s="1468"/>
      <c r="BX5" s="1468"/>
      <c r="BY5" s="1468"/>
      <c r="BZ5" s="1468"/>
      <c r="CA5" s="1468"/>
      <c r="CB5" s="1468"/>
      <c r="CC5" s="1468"/>
      <c r="CD5" s="1469"/>
      <c r="CE5" s="1469"/>
      <c r="CF5" s="1469"/>
      <c r="CG5" s="1469"/>
      <c r="CH5" s="1469"/>
      <c r="CI5" s="1469"/>
      <c r="CJ5" s="1469"/>
      <c r="CK5" s="1469"/>
      <c r="CL5" s="1469"/>
      <c r="CM5" s="1469"/>
      <c r="CN5" s="1469"/>
      <c r="CO5" s="1469"/>
      <c r="CP5" s="1469"/>
      <c r="CQ5" s="1469"/>
      <c r="CR5" s="1469"/>
      <c r="CS5" s="1469"/>
      <c r="CT5" s="1469"/>
      <c r="CU5" s="1469"/>
      <c r="CV5" s="1469"/>
      <c r="CW5" s="1469"/>
      <c r="CX5" s="1469"/>
      <c r="CY5" s="1469"/>
      <c r="CZ5" s="1469"/>
      <c r="DA5" s="1469"/>
      <c r="DB5" s="1469"/>
      <c r="DC5" s="1469"/>
      <c r="DD5" s="1469"/>
      <c r="DE5" s="1469"/>
      <c r="DF5" s="1469"/>
      <c r="DG5" s="1469"/>
      <c r="DH5" s="1469"/>
      <c r="DI5" s="1469"/>
      <c r="DJ5" s="1469"/>
      <c r="DK5" s="1469"/>
      <c r="DL5" s="1469"/>
      <c r="DM5" s="1469"/>
      <c r="DN5" s="1469"/>
      <c r="DO5" s="1469"/>
      <c r="DP5" s="1469"/>
      <c r="DQ5" s="1469"/>
      <c r="DR5" s="1469"/>
      <c r="DS5" s="1469"/>
      <c r="DT5" s="1469"/>
      <c r="DU5" s="1469"/>
      <c r="DV5" s="1469"/>
      <c r="DW5" s="1469"/>
      <c r="DX5" s="1469"/>
      <c r="DY5" s="1469"/>
      <c r="DZ5" s="1469"/>
      <c r="EA5" s="1469"/>
      <c r="EB5" s="1469"/>
      <c r="EC5" s="1469"/>
      <c r="ED5" s="1469"/>
      <c r="EE5" s="1469"/>
      <c r="EF5" s="1469"/>
      <c r="EG5" s="1469"/>
      <c r="EH5" s="1469"/>
      <c r="EI5" s="1469"/>
      <c r="EJ5" s="1469"/>
      <c r="EK5" s="1469"/>
      <c r="EL5" s="1469"/>
      <c r="EM5" s="1469"/>
      <c r="EN5" s="1469"/>
      <c r="EO5" s="1469"/>
      <c r="EP5" s="1469"/>
      <c r="EQ5" s="1469"/>
      <c r="ER5" s="1469"/>
      <c r="ES5" s="1469"/>
      <c r="ET5" s="1469"/>
      <c r="EU5" s="1469"/>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469"/>
      <c r="GP5" s="1469"/>
      <c r="GQ5" s="1469"/>
      <c r="GR5" s="1469"/>
      <c r="GS5" s="1469"/>
      <c r="GT5" s="1469"/>
      <c r="GU5" s="1469"/>
      <c r="GV5" s="1469"/>
      <c r="GW5" s="1469"/>
      <c r="GX5" s="1469"/>
      <c r="GY5" s="1469"/>
      <c r="GZ5" s="1469"/>
      <c r="HA5" s="1469"/>
      <c r="HB5" s="1469"/>
      <c r="HC5" s="1469"/>
      <c r="HD5" s="1469"/>
      <c r="HE5" s="1469"/>
      <c r="HF5" s="1469"/>
      <c r="HG5" s="1469"/>
      <c r="HH5" s="1469"/>
      <c r="HI5" s="1469"/>
      <c r="HJ5" s="1469"/>
      <c r="HK5" s="1469"/>
      <c r="HL5" s="1469"/>
      <c r="HM5" s="1469"/>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941" t="s">
        <v>4067</v>
      </c>
      <c r="J6" s="804" t="s">
        <v>3169</v>
      </c>
      <c r="N6" s="1506" t="str">
        <f>'Part I-Project Information'!$J$28</f>
        <v>Columbus</v>
      </c>
      <c r="O6" s="1506"/>
      <c r="P6" s="558">
        <f>VLOOKUP('Part I-Project Information'!$J$28,'DCA Underwriting Assumptions'!$C$81:$D$191,2)</f>
        <v>41500</v>
      </c>
      <c r="Q6" s="628"/>
      <c r="R6" s="1508" t="s">
        <v>3602</v>
      </c>
      <c r="S6" s="1508"/>
      <c r="V6" s="1468"/>
      <c r="W6" s="1468"/>
      <c r="X6" s="1468"/>
      <c r="Y6" s="1468"/>
      <c r="Z6" s="1468"/>
      <c r="AA6" s="1468"/>
      <c r="AB6" s="1468"/>
      <c r="AC6" s="1468"/>
      <c r="AD6" s="1468"/>
      <c r="AE6" s="1468"/>
      <c r="AF6" s="1468"/>
      <c r="AG6" s="1468"/>
      <c r="AH6" s="1468"/>
      <c r="AI6" s="1468"/>
      <c r="AJ6" s="1468"/>
      <c r="AK6" s="1468"/>
      <c r="AL6" s="1468"/>
      <c r="AM6" s="1468"/>
      <c r="AN6" s="1468"/>
      <c r="AO6" s="1468"/>
      <c r="AP6" s="1468"/>
      <c r="AQ6" s="1468"/>
      <c r="AR6" s="1468"/>
      <c r="AS6" s="1468"/>
      <c r="AT6" s="1468"/>
      <c r="AU6" s="1468"/>
      <c r="AV6" s="1468"/>
      <c r="AW6" s="1468"/>
      <c r="AX6" s="1468"/>
      <c r="AY6" s="1468"/>
      <c r="AZ6" s="1468"/>
      <c r="BA6" s="1468"/>
      <c r="BB6" s="1468"/>
      <c r="BC6" s="1468"/>
      <c r="BD6" s="1468"/>
      <c r="BE6" s="1468"/>
      <c r="BF6" s="1468"/>
      <c r="BG6" s="1468"/>
      <c r="BH6" s="1468"/>
      <c r="BI6" s="1468"/>
      <c r="BJ6" s="1468"/>
      <c r="BK6" s="1468"/>
      <c r="BL6" s="1468"/>
      <c r="BM6" s="1468"/>
      <c r="BN6" s="1468"/>
      <c r="BO6" s="1468"/>
      <c r="BP6" s="1468"/>
      <c r="BQ6" s="1468"/>
      <c r="BR6" s="1468"/>
      <c r="BS6" s="1468"/>
      <c r="BT6" s="1468"/>
      <c r="BU6" s="1468"/>
      <c r="BV6" s="1468"/>
      <c r="BW6" s="1468"/>
      <c r="BX6" s="1468"/>
      <c r="BY6" s="1468"/>
      <c r="BZ6" s="1468"/>
      <c r="CA6" s="1468"/>
      <c r="CB6" s="1468"/>
      <c r="CC6" s="1468"/>
      <c r="CD6" s="1469"/>
      <c r="CE6" s="1469"/>
      <c r="CF6" s="1469"/>
      <c r="CG6" s="1469"/>
      <c r="CH6" s="1469"/>
      <c r="CI6" s="1469"/>
      <c r="CJ6" s="1469"/>
      <c r="CK6" s="1469"/>
      <c r="CL6" s="1469"/>
      <c r="CM6" s="1469"/>
      <c r="CN6" s="1469"/>
      <c r="CO6" s="1469"/>
      <c r="CP6" s="1469"/>
      <c r="CQ6" s="1469"/>
      <c r="CR6" s="1469"/>
      <c r="CS6" s="1469"/>
      <c r="CT6" s="1469"/>
      <c r="CU6" s="1469"/>
      <c r="CV6" s="1469"/>
      <c r="CW6" s="1469"/>
      <c r="CX6" s="1469"/>
      <c r="CY6" s="1469"/>
      <c r="CZ6" s="1469"/>
      <c r="DA6" s="1469"/>
      <c r="DB6" s="1469"/>
      <c r="DC6" s="1469"/>
      <c r="DD6" s="1469"/>
      <c r="DE6" s="1469"/>
      <c r="DF6" s="1469"/>
      <c r="DG6" s="1469"/>
      <c r="DH6" s="1469"/>
      <c r="DI6" s="1469"/>
      <c r="DJ6" s="1469"/>
      <c r="DK6" s="1469"/>
      <c r="DL6" s="1469"/>
      <c r="DM6" s="1469"/>
      <c r="DN6" s="1469"/>
      <c r="DO6" s="1469"/>
      <c r="DP6" s="1469"/>
      <c r="DQ6" s="1469"/>
      <c r="DR6" s="1469"/>
      <c r="DS6" s="1469"/>
      <c r="DT6" s="1469"/>
      <c r="DU6" s="1469"/>
      <c r="DV6" s="1469"/>
      <c r="DW6" s="1469"/>
      <c r="DX6" s="1469"/>
      <c r="DY6" s="1469"/>
      <c r="DZ6" s="1469"/>
      <c r="EA6" s="1469"/>
      <c r="EB6" s="1469"/>
      <c r="EC6" s="1469"/>
      <c r="ED6" s="1469"/>
      <c r="EE6" s="1469"/>
      <c r="EF6" s="1469"/>
      <c r="EG6" s="1469"/>
      <c r="EH6" s="1469"/>
      <c r="EI6" s="1469"/>
      <c r="EJ6" s="1469"/>
      <c r="EK6" s="1469"/>
      <c r="EL6" s="1469"/>
      <c r="EM6" s="1469"/>
      <c r="EN6" s="1469"/>
      <c r="EO6" s="1469"/>
      <c r="EP6" s="1469"/>
      <c r="EQ6" s="1469"/>
      <c r="ER6" s="1469"/>
      <c r="ES6" s="1469"/>
      <c r="ET6" s="1469"/>
      <c r="EU6" s="1469"/>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469"/>
      <c r="GP6" s="1469"/>
      <c r="GQ6" s="1469"/>
      <c r="GR6" s="1469"/>
      <c r="GS6" s="1469"/>
      <c r="GT6" s="1469"/>
      <c r="GU6" s="1469"/>
      <c r="GV6" s="1469"/>
      <c r="GW6" s="1469"/>
      <c r="GX6" s="1469"/>
      <c r="GY6" s="1469"/>
      <c r="GZ6" s="1469"/>
      <c r="HA6" s="1469"/>
      <c r="HB6" s="1469"/>
      <c r="HC6" s="1469"/>
      <c r="HD6" s="1469"/>
      <c r="HE6" s="1469"/>
      <c r="HF6" s="1469"/>
      <c r="HG6" s="1469"/>
      <c r="HH6" s="1469"/>
      <c r="HI6" s="1469"/>
      <c r="HJ6" s="1469"/>
      <c r="HK6" s="1469"/>
      <c r="HL6" s="1469"/>
      <c r="HM6" s="1469"/>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505" t="str">
        <f>IF(A48&gt;0,"Finish!","")</f>
        <v/>
      </c>
      <c r="B7" s="5"/>
      <c r="C7" s="1"/>
      <c r="D7" s="5"/>
      <c r="E7" s="1"/>
      <c r="F7" s="1"/>
      <c r="G7" s="1"/>
      <c r="H7" s="1"/>
      <c r="I7" s="1"/>
      <c r="J7" s="804" t="s">
        <v>3170</v>
      </c>
      <c r="K7" s="1"/>
      <c r="L7" s="1"/>
      <c r="M7" s="1"/>
      <c r="N7" s="37"/>
      <c r="O7" s="37"/>
      <c r="P7" s="664"/>
      <c r="Q7" s="664"/>
      <c r="R7" s="665"/>
      <c r="S7" s="666" t="s">
        <v>3599</v>
      </c>
      <c r="T7" s="554"/>
      <c r="U7" s="555"/>
      <c r="V7" s="1468"/>
      <c r="W7" s="1468"/>
      <c r="X7" s="1468"/>
      <c r="Y7" s="1468"/>
      <c r="Z7" s="1468"/>
      <c r="AA7" s="1468"/>
      <c r="AB7" s="1468"/>
      <c r="AC7" s="1468"/>
      <c r="AD7" s="1468"/>
      <c r="AE7" s="1468"/>
      <c r="AF7" s="1468"/>
      <c r="AG7" s="1468"/>
      <c r="AH7" s="1468"/>
      <c r="AI7" s="1468"/>
      <c r="AJ7" s="1468"/>
      <c r="AK7" s="1468"/>
      <c r="AL7" s="1468"/>
      <c r="AM7" s="1468"/>
      <c r="AN7" s="1468"/>
      <c r="AO7" s="1468"/>
      <c r="AP7" s="1468"/>
      <c r="AQ7" s="1468"/>
      <c r="AR7" s="1468"/>
      <c r="AS7" s="1468"/>
      <c r="AT7" s="1468"/>
      <c r="AU7" s="1468"/>
      <c r="AV7" s="1468"/>
      <c r="AW7" s="1468"/>
      <c r="AX7" s="1468"/>
      <c r="AY7" s="1468"/>
      <c r="AZ7" s="1468"/>
      <c r="BA7" s="1468"/>
      <c r="BB7" s="1468"/>
      <c r="BC7" s="1468"/>
      <c r="BD7" s="1468"/>
      <c r="BE7" s="1468"/>
      <c r="BF7" s="1468"/>
      <c r="BG7" s="1468"/>
      <c r="BH7" s="1468"/>
      <c r="BI7" s="1468"/>
      <c r="BJ7" s="1468"/>
      <c r="BK7" s="1468"/>
      <c r="BL7" s="1468"/>
      <c r="BM7" s="1468"/>
      <c r="BN7" s="1468"/>
      <c r="BO7" s="1468"/>
      <c r="BP7" s="1468"/>
      <c r="BQ7" s="1468"/>
      <c r="BR7" s="1468"/>
      <c r="BS7" s="1468"/>
      <c r="BT7" s="1468"/>
      <c r="BU7" s="1468"/>
      <c r="BV7" s="1468"/>
      <c r="BW7" s="1468"/>
      <c r="BX7" s="1468"/>
      <c r="BY7" s="1468"/>
      <c r="BZ7" s="1468"/>
      <c r="CA7" s="1468"/>
      <c r="CB7" s="1468"/>
      <c r="CC7" s="1468"/>
      <c r="CD7" s="1469"/>
      <c r="CE7" s="1469"/>
      <c r="CF7" s="1469"/>
      <c r="CG7" s="1469"/>
      <c r="CH7" s="1469"/>
      <c r="CI7" s="1469"/>
      <c r="CJ7" s="1469"/>
      <c r="CK7" s="1469"/>
      <c r="CL7" s="1469"/>
      <c r="CM7" s="1469"/>
      <c r="CN7" s="1469"/>
      <c r="CO7" s="1469"/>
      <c r="CP7" s="1469"/>
      <c r="CQ7" s="1469"/>
      <c r="CR7" s="1469"/>
      <c r="CS7" s="1469"/>
      <c r="CT7" s="1469"/>
      <c r="CU7" s="1469"/>
      <c r="CV7" s="1469"/>
      <c r="CW7" s="1469"/>
      <c r="CX7" s="1469"/>
      <c r="CY7" s="1469"/>
      <c r="CZ7" s="1469"/>
      <c r="DA7" s="1469"/>
      <c r="DB7" s="1469"/>
      <c r="DC7" s="1469"/>
      <c r="DD7" s="1469"/>
      <c r="DE7" s="1469"/>
      <c r="DF7" s="1469"/>
      <c r="DG7" s="1469"/>
      <c r="DH7" s="1469"/>
      <c r="DI7" s="1469"/>
      <c r="DJ7" s="1469"/>
      <c r="DK7" s="1469"/>
      <c r="DL7" s="1469"/>
      <c r="DM7" s="1469"/>
      <c r="DN7" s="1469"/>
      <c r="DO7" s="1469"/>
      <c r="DP7" s="1469"/>
      <c r="DQ7" s="1469"/>
      <c r="DR7" s="1469"/>
      <c r="DS7" s="1469"/>
      <c r="DT7" s="1469"/>
      <c r="DU7" s="1469"/>
      <c r="DV7" s="1469"/>
      <c r="DW7" s="1469"/>
      <c r="DX7" s="1469"/>
      <c r="DY7" s="1469"/>
      <c r="DZ7" s="1469"/>
      <c r="EA7" s="1469"/>
      <c r="EB7" s="1469"/>
      <c r="EC7" s="1469"/>
      <c r="ED7" s="1469"/>
      <c r="EE7" s="1469"/>
      <c r="EF7" s="1469"/>
      <c r="EG7" s="1469"/>
      <c r="EH7" s="1469"/>
      <c r="EI7" s="1469"/>
      <c r="EJ7" s="1469"/>
      <c r="EK7" s="1469"/>
      <c r="EL7" s="1469"/>
      <c r="EM7" s="1469"/>
      <c r="EN7" s="1469"/>
      <c r="EO7" s="1469"/>
      <c r="EP7" s="1469"/>
      <c r="EQ7" s="1469"/>
      <c r="ER7" s="1469"/>
      <c r="ES7" s="1469"/>
      <c r="ET7" s="1469"/>
      <c r="EU7" s="1469"/>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469"/>
      <c r="GP7" s="1469"/>
      <c r="GQ7" s="1469"/>
      <c r="GR7" s="1469"/>
      <c r="GS7" s="1469"/>
      <c r="GT7" s="1469"/>
      <c r="GU7" s="1469"/>
      <c r="GV7" s="1469"/>
      <c r="GW7" s="1469"/>
      <c r="GX7" s="1469"/>
      <c r="GY7" s="1469"/>
      <c r="GZ7" s="1469"/>
      <c r="HA7" s="1469"/>
      <c r="HB7" s="1469"/>
      <c r="HC7" s="1469"/>
      <c r="HD7" s="1469"/>
      <c r="HE7" s="1469"/>
      <c r="HF7" s="1469"/>
      <c r="HG7" s="1469"/>
      <c r="HH7" s="1469"/>
      <c r="HI7" s="1469"/>
      <c r="HJ7" s="1469"/>
      <c r="HK7" s="1469"/>
      <c r="HL7" s="1469"/>
      <c r="HM7" s="1469"/>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505"/>
      <c r="B8" s="198" t="s">
        <v>1927</v>
      </c>
      <c r="C8" s="804" t="s">
        <v>188</v>
      </c>
      <c r="D8" s="804" t="s">
        <v>712</v>
      </c>
      <c r="E8" s="804" t="s">
        <v>1925</v>
      </c>
      <c r="F8" s="804" t="s">
        <v>1925</v>
      </c>
      <c r="G8" s="804" t="s">
        <v>3146</v>
      </c>
      <c r="H8" s="804" t="s">
        <v>3144</v>
      </c>
      <c r="I8" s="804" t="s">
        <v>1191</v>
      </c>
      <c r="J8" s="804" t="s">
        <v>3171</v>
      </c>
      <c r="K8" s="1504" t="s">
        <v>152</v>
      </c>
      <c r="L8" s="1504"/>
      <c r="M8" s="804" t="s">
        <v>3122</v>
      </c>
      <c r="N8" s="804" t="s">
        <v>699</v>
      </c>
      <c r="O8" s="804" t="s">
        <v>417</v>
      </c>
      <c r="P8" s="1507" t="s">
        <v>1446</v>
      </c>
      <c r="Q8" s="1507"/>
      <c r="R8" s="805" t="s">
        <v>3598</v>
      </c>
      <c r="S8" s="805" t="s">
        <v>3600</v>
      </c>
      <c r="T8" s="556"/>
      <c r="U8" s="557"/>
      <c r="V8" s="1468"/>
      <c r="W8" s="1468"/>
      <c r="X8" s="1468"/>
      <c r="Y8" s="1468"/>
      <c r="Z8" s="1468"/>
      <c r="AA8" s="1468"/>
      <c r="AB8" s="1468"/>
      <c r="AC8" s="1468"/>
      <c r="AD8" s="1468"/>
      <c r="AE8" s="1468"/>
      <c r="AF8" s="1468"/>
      <c r="AG8" s="1468"/>
      <c r="AH8" s="1468"/>
      <c r="AI8" s="1468"/>
      <c r="AJ8" s="1468"/>
      <c r="AK8" s="1468"/>
      <c r="AL8" s="1468"/>
      <c r="AM8" s="1468"/>
      <c r="AN8" s="1468"/>
      <c r="AO8" s="1468"/>
      <c r="AP8" s="1468"/>
      <c r="AQ8" s="1468"/>
      <c r="AR8" s="1468"/>
      <c r="AS8" s="1468"/>
      <c r="AT8" s="1468"/>
      <c r="AU8" s="1468"/>
      <c r="AV8" s="1468"/>
      <c r="AW8" s="1468"/>
      <c r="AX8" s="1468"/>
      <c r="AY8" s="1468"/>
      <c r="AZ8" s="1468"/>
      <c r="BA8" s="1468"/>
      <c r="BB8" s="1468"/>
      <c r="BC8" s="1468"/>
      <c r="BD8" s="1468"/>
      <c r="BE8" s="1468"/>
      <c r="BF8" s="1468"/>
      <c r="BG8" s="1468"/>
      <c r="BH8" s="1468"/>
      <c r="BI8" s="1468"/>
      <c r="BJ8" s="1468"/>
      <c r="BK8" s="1468"/>
      <c r="BL8" s="1468"/>
      <c r="BM8" s="1468"/>
      <c r="BN8" s="1468"/>
      <c r="BO8" s="1468"/>
      <c r="BP8" s="1468"/>
      <c r="BQ8" s="1468"/>
      <c r="BR8" s="1468"/>
      <c r="BS8" s="1468"/>
      <c r="BT8" s="1468"/>
      <c r="BU8" s="1468"/>
      <c r="BV8" s="1468"/>
      <c r="BW8" s="1468"/>
      <c r="BX8" s="1468"/>
      <c r="BY8" s="1468"/>
      <c r="BZ8" s="1468"/>
      <c r="CA8" s="1468"/>
      <c r="CB8" s="1468"/>
      <c r="CC8" s="1468"/>
      <c r="CD8" s="1469"/>
      <c r="CE8" s="1469"/>
      <c r="CF8" s="1469"/>
      <c r="CG8" s="1469"/>
      <c r="CH8" s="1469"/>
      <c r="CI8" s="1469"/>
      <c r="CJ8" s="1469"/>
      <c r="CK8" s="1469"/>
      <c r="CL8" s="1469"/>
      <c r="CM8" s="1469"/>
      <c r="CN8" s="1469"/>
      <c r="CO8" s="1469"/>
      <c r="CP8" s="1469"/>
      <c r="CQ8" s="1469"/>
      <c r="CR8" s="1469"/>
      <c r="CS8" s="1469"/>
      <c r="CT8" s="1469"/>
      <c r="CU8" s="1469"/>
      <c r="CV8" s="1469"/>
      <c r="CW8" s="1469"/>
      <c r="CX8" s="1469"/>
      <c r="CY8" s="1469"/>
      <c r="CZ8" s="1469"/>
      <c r="DA8" s="1469"/>
      <c r="DB8" s="1469"/>
      <c r="DC8" s="1469"/>
      <c r="DD8" s="1469"/>
      <c r="DE8" s="1469"/>
      <c r="DF8" s="1469"/>
      <c r="DG8" s="1469"/>
      <c r="DH8" s="1469"/>
      <c r="DI8" s="1469"/>
      <c r="DJ8" s="1469"/>
      <c r="DK8" s="1469"/>
      <c r="DL8" s="1469"/>
      <c r="DM8" s="1469"/>
      <c r="DN8" s="1469"/>
      <c r="DO8" s="1469"/>
      <c r="DP8" s="1469"/>
      <c r="DQ8" s="1469"/>
      <c r="DR8" s="1469"/>
      <c r="DS8" s="1469"/>
      <c r="DT8" s="1469"/>
      <c r="DU8" s="1469"/>
      <c r="DV8" s="1469"/>
      <c r="DW8" s="1469"/>
      <c r="DX8" s="1469"/>
      <c r="DY8" s="1469"/>
      <c r="DZ8" s="1469"/>
      <c r="EA8" s="1469"/>
      <c r="EB8" s="1469"/>
      <c r="EC8" s="1469"/>
      <c r="ED8" s="1469"/>
      <c r="EE8" s="1469"/>
      <c r="EF8" s="1469"/>
      <c r="EG8" s="1469"/>
      <c r="EH8" s="1469"/>
      <c r="EI8" s="1469"/>
      <c r="EJ8" s="1469"/>
      <c r="EK8" s="1469"/>
      <c r="EL8" s="1469"/>
      <c r="EM8" s="1469"/>
      <c r="EN8" s="1469"/>
      <c r="EO8" s="1469"/>
      <c r="EP8" s="1469"/>
      <c r="EQ8" s="1469"/>
      <c r="ER8" s="1469"/>
      <c r="ES8" s="1469"/>
      <c r="ET8" s="1469"/>
      <c r="EU8" s="1469"/>
      <c r="EV8" s="1469" t="s">
        <v>1908</v>
      </c>
      <c r="EW8" s="635" t="s">
        <v>3207</v>
      </c>
      <c r="EX8" s="635" t="s">
        <v>3208</v>
      </c>
      <c r="EY8" s="635" t="s">
        <v>3209</v>
      </c>
      <c r="EZ8" s="635" t="s">
        <v>3210</v>
      </c>
      <c r="FA8" s="1469" t="s">
        <v>3279</v>
      </c>
      <c r="FB8" s="1469" t="s">
        <v>3279</v>
      </c>
      <c r="FC8" s="1469" t="s">
        <v>3279</v>
      </c>
      <c r="FD8" s="1469" t="s">
        <v>3279</v>
      </c>
      <c r="FE8" s="1469" t="s">
        <v>3279</v>
      </c>
      <c r="FF8" s="635" t="s">
        <v>619</v>
      </c>
      <c r="FG8" s="635" t="s">
        <v>3207</v>
      </c>
      <c r="FH8" s="635" t="s">
        <v>3208</v>
      </c>
      <c r="FI8" s="635" t="s">
        <v>3209</v>
      </c>
      <c r="FJ8" s="635" t="s">
        <v>3210</v>
      </c>
      <c r="FK8" s="1469" t="s">
        <v>3281</v>
      </c>
      <c r="FL8" s="1469" t="s">
        <v>3281</v>
      </c>
      <c r="FM8" s="1469" t="s">
        <v>3281</v>
      </c>
      <c r="FN8" s="1469" t="s">
        <v>3281</v>
      </c>
      <c r="FO8" s="1469" t="s">
        <v>3281</v>
      </c>
      <c r="FP8" s="1469" t="s">
        <v>392</v>
      </c>
      <c r="FQ8" s="1469" t="s">
        <v>392</v>
      </c>
      <c r="FR8" s="1469" t="s">
        <v>392</v>
      </c>
      <c r="FS8" s="1469" t="s">
        <v>392</v>
      </c>
      <c r="FT8" s="1469" t="s">
        <v>392</v>
      </c>
      <c r="FU8" s="1469" t="s">
        <v>393</v>
      </c>
      <c r="FV8" s="1469" t="s">
        <v>393</v>
      </c>
      <c r="FW8" s="1469" t="s">
        <v>393</v>
      </c>
      <c r="FX8" s="1469" t="s">
        <v>393</v>
      </c>
      <c r="FY8" s="1469" t="s">
        <v>393</v>
      </c>
      <c r="FZ8" s="1469" t="s">
        <v>394</v>
      </c>
      <c r="GA8" s="1469" t="s">
        <v>394</v>
      </c>
      <c r="GB8" s="1469" t="s">
        <v>394</v>
      </c>
      <c r="GC8" s="1469" t="s">
        <v>394</v>
      </c>
      <c r="GD8" s="1469" t="s">
        <v>394</v>
      </c>
      <c r="GE8" s="1469" t="s">
        <v>395</v>
      </c>
      <c r="GF8" s="1469" t="s">
        <v>395</v>
      </c>
      <c r="GG8" s="1469" t="s">
        <v>395</v>
      </c>
      <c r="GH8" s="1469" t="s">
        <v>395</v>
      </c>
      <c r="GI8" s="1469" t="s">
        <v>395</v>
      </c>
      <c r="GJ8" s="1469" t="s">
        <v>1907</v>
      </c>
      <c r="GK8" s="1469" t="s">
        <v>1907</v>
      </c>
      <c r="GL8" s="1469" t="s">
        <v>1907</v>
      </c>
      <c r="GM8" s="1469" t="s">
        <v>1907</v>
      </c>
      <c r="GN8" s="1469" t="s">
        <v>1907</v>
      </c>
      <c r="GO8" s="1469"/>
      <c r="GP8" s="1469"/>
      <c r="GQ8" s="1469"/>
      <c r="GR8" s="1469"/>
      <c r="GS8" s="1469"/>
      <c r="GT8" s="1469"/>
      <c r="GU8" s="1469"/>
      <c r="GV8" s="1469"/>
      <c r="GW8" s="1469"/>
      <c r="GX8" s="1469"/>
      <c r="GY8" s="1469"/>
      <c r="GZ8" s="1469"/>
      <c r="HA8" s="1469"/>
      <c r="HB8" s="1469"/>
      <c r="HC8" s="1469"/>
      <c r="HD8" s="1469"/>
      <c r="HE8" s="1469"/>
      <c r="HF8" s="1469"/>
      <c r="HG8" s="1469"/>
      <c r="HH8" s="1469"/>
      <c r="HI8" s="1469"/>
      <c r="HJ8" s="1469"/>
      <c r="HK8" s="1469"/>
      <c r="HL8" s="1469"/>
      <c r="HM8" s="1469"/>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505"/>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3601</v>
      </c>
      <c r="T9" s="1297" t="s">
        <v>2549</v>
      </c>
      <c r="U9" s="1297"/>
      <c r="V9" s="1468"/>
      <c r="W9" s="1468"/>
      <c r="X9" s="1468"/>
      <c r="Y9" s="1468"/>
      <c r="Z9" s="1468"/>
      <c r="AA9" s="1468"/>
      <c r="AB9" s="1468"/>
      <c r="AC9" s="1468"/>
      <c r="AD9" s="1468"/>
      <c r="AE9" s="1468"/>
      <c r="AF9" s="1468"/>
      <c r="AG9" s="1468"/>
      <c r="AH9" s="1468"/>
      <c r="AI9" s="1468"/>
      <c r="AJ9" s="1468"/>
      <c r="AK9" s="1468"/>
      <c r="AL9" s="1468"/>
      <c r="AM9" s="1468"/>
      <c r="AN9" s="1468"/>
      <c r="AO9" s="1468"/>
      <c r="AP9" s="1468"/>
      <c r="AQ9" s="1468"/>
      <c r="AR9" s="1468"/>
      <c r="AS9" s="1468"/>
      <c r="AT9" s="1468"/>
      <c r="AU9" s="1468"/>
      <c r="AV9" s="1468"/>
      <c r="AW9" s="1468"/>
      <c r="AX9" s="1468"/>
      <c r="AY9" s="1468"/>
      <c r="AZ9" s="1468"/>
      <c r="BA9" s="1468"/>
      <c r="BB9" s="1468"/>
      <c r="BC9" s="1468"/>
      <c r="BD9" s="1468"/>
      <c r="BE9" s="1468"/>
      <c r="BF9" s="1468"/>
      <c r="BG9" s="1468"/>
      <c r="BH9" s="1468"/>
      <c r="BI9" s="1468"/>
      <c r="BJ9" s="1468"/>
      <c r="BK9" s="1468"/>
      <c r="BL9" s="1468"/>
      <c r="BM9" s="1468"/>
      <c r="BN9" s="1468"/>
      <c r="BO9" s="1468"/>
      <c r="BP9" s="1468"/>
      <c r="BQ9" s="1468"/>
      <c r="BR9" s="1468"/>
      <c r="BS9" s="1468"/>
      <c r="BT9" s="1468"/>
      <c r="BU9" s="1468"/>
      <c r="BV9" s="1468"/>
      <c r="BW9" s="1468"/>
      <c r="BX9" s="1468"/>
      <c r="BY9" s="1468"/>
      <c r="BZ9" s="1468"/>
      <c r="CA9" s="1468"/>
      <c r="CB9" s="1468"/>
      <c r="CC9" s="1468"/>
      <c r="CD9" s="1469"/>
      <c r="CE9" s="1469"/>
      <c r="CF9" s="1469"/>
      <c r="CG9" s="1469"/>
      <c r="CH9" s="1469"/>
      <c r="CI9" s="1469"/>
      <c r="CJ9" s="1469"/>
      <c r="CK9" s="1469"/>
      <c r="CL9" s="1469"/>
      <c r="CM9" s="1469"/>
      <c r="CN9" s="1469"/>
      <c r="CO9" s="1469"/>
      <c r="CP9" s="1469"/>
      <c r="CQ9" s="1469"/>
      <c r="CR9" s="1469"/>
      <c r="CS9" s="1469"/>
      <c r="CT9" s="1469"/>
      <c r="CU9" s="1469"/>
      <c r="CV9" s="1469"/>
      <c r="CW9" s="1469"/>
      <c r="CX9" s="1469"/>
      <c r="CY9" s="1469"/>
      <c r="CZ9" s="1469"/>
      <c r="DA9" s="1469"/>
      <c r="DB9" s="1469"/>
      <c r="DC9" s="1469"/>
      <c r="DD9" s="1469"/>
      <c r="DE9" s="1469"/>
      <c r="DF9" s="1469"/>
      <c r="DG9" s="1469"/>
      <c r="DH9" s="1469"/>
      <c r="DI9" s="1469"/>
      <c r="DJ9" s="1469"/>
      <c r="DK9" s="1469"/>
      <c r="DL9" s="1469"/>
      <c r="DM9" s="1469"/>
      <c r="DN9" s="1469"/>
      <c r="DO9" s="1469"/>
      <c r="DP9" s="1469"/>
      <c r="DQ9" s="1469"/>
      <c r="DR9" s="1469"/>
      <c r="DS9" s="1469"/>
      <c r="DT9" s="1469"/>
      <c r="DU9" s="1469"/>
      <c r="DV9" s="1469"/>
      <c r="DW9" s="1469"/>
      <c r="DX9" s="1469"/>
      <c r="DY9" s="1469"/>
      <c r="DZ9" s="1469"/>
      <c r="EA9" s="1469"/>
      <c r="EB9" s="1469"/>
      <c r="EC9" s="1469"/>
      <c r="ED9" s="1469"/>
      <c r="EE9" s="1469"/>
      <c r="EF9" s="1469"/>
      <c r="EG9" s="1469"/>
      <c r="EH9" s="1469"/>
      <c r="EI9" s="1469"/>
      <c r="EJ9" s="1469"/>
      <c r="EK9" s="1469"/>
      <c r="EL9" s="1469"/>
      <c r="EM9" s="1469"/>
      <c r="EN9" s="1469"/>
      <c r="EO9" s="1469"/>
      <c r="EP9" s="1469"/>
      <c r="EQ9" s="1469"/>
      <c r="ER9" s="1469"/>
      <c r="ES9" s="1469"/>
      <c r="ET9" s="1469"/>
      <c r="EU9" s="1469"/>
      <c r="EV9" s="1469"/>
      <c r="EW9" s="635" t="s">
        <v>3278</v>
      </c>
      <c r="EX9" s="635" t="s">
        <v>3278</v>
      </c>
      <c r="EY9" s="635" t="s">
        <v>3278</v>
      </c>
      <c r="EZ9" s="635" t="s">
        <v>3278</v>
      </c>
      <c r="FA9" s="1469"/>
      <c r="FB9" s="1469"/>
      <c r="FC9" s="1469"/>
      <c r="FD9" s="1469"/>
      <c r="FE9" s="1469"/>
      <c r="FF9" s="635" t="s">
        <v>3280</v>
      </c>
      <c r="FG9" s="635" t="s">
        <v>3280</v>
      </c>
      <c r="FH9" s="635" t="s">
        <v>3280</v>
      </c>
      <c r="FI9" s="635" t="s">
        <v>3280</v>
      </c>
      <c r="FJ9" s="635" t="s">
        <v>3280</v>
      </c>
      <c r="FK9" s="1469"/>
      <c r="FL9" s="1469"/>
      <c r="FM9" s="1469"/>
      <c r="FN9" s="1469"/>
      <c r="FO9" s="1469"/>
      <c r="FP9" s="1469"/>
      <c r="FQ9" s="1469"/>
      <c r="FR9" s="1469"/>
      <c r="FS9" s="1469"/>
      <c r="FT9" s="1469"/>
      <c r="FU9" s="1469"/>
      <c r="FV9" s="1469"/>
      <c r="FW9" s="1469"/>
      <c r="FX9" s="1469"/>
      <c r="FY9" s="1469"/>
      <c r="FZ9" s="1469"/>
      <c r="GA9" s="1469"/>
      <c r="GB9" s="1469"/>
      <c r="GC9" s="1469"/>
      <c r="GD9" s="1469"/>
      <c r="GE9" s="1469"/>
      <c r="GF9" s="1469"/>
      <c r="GG9" s="1469"/>
      <c r="GH9" s="1469"/>
      <c r="GI9" s="1469"/>
      <c r="GJ9" s="1469"/>
      <c r="GK9" s="1469"/>
      <c r="GL9" s="1469"/>
      <c r="GM9" s="1469"/>
      <c r="GN9" s="1469"/>
      <c r="GO9" s="1469"/>
      <c r="GP9" s="1469"/>
      <c r="GQ9" s="1469"/>
      <c r="GR9" s="1469"/>
      <c r="GS9" s="1469"/>
      <c r="GT9" s="1469"/>
      <c r="GU9" s="1469"/>
      <c r="GV9" s="1469"/>
      <c r="GW9" s="1469"/>
      <c r="GX9" s="1469"/>
      <c r="GY9" s="1469"/>
      <c r="GZ9" s="1469"/>
      <c r="HA9" s="1469"/>
      <c r="HB9" s="1469"/>
      <c r="HC9" s="1469"/>
      <c r="HD9" s="1469"/>
      <c r="HE9" s="1469"/>
      <c r="HF9" s="1469"/>
      <c r="HG9" s="1469"/>
      <c r="HH9" s="1469"/>
      <c r="HI9" s="1469"/>
      <c r="HJ9" s="1469"/>
      <c r="HK9" s="1469"/>
      <c r="HL9" s="1469"/>
      <c r="HM9" s="1469"/>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942" t="s">
        <v>124</v>
      </c>
      <c r="C10" s="943">
        <v>1</v>
      </c>
      <c r="D10" s="944">
        <v>1</v>
      </c>
      <c r="E10" s="945">
        <v>4</v>
      </c>
      <c r="F10" s="945">
        <v>750</v>
      </c>
      <c r="G10" s="945">
        <v>466</v>
      </c>
      <c r="H10" s="945">
        <v>454</v>
      </c>
      <c r="I10" s="945">
        <v>114</v>
      </c>
      <c r="J10" s="946"/>
      <c r="K10" s="204">
        <f>MAX(0,H10-I10)</f>
        <v>340</v>
      </c>
      <c r="L10" s="204">
        <f t="shared" ref="L10:L47" si="0">MAX(0,E10*K10)</f>
        <v>1360</v>
      </c>
      <c r="M10" s="947" t="s">
        <v>4067</v>
      </c>
      <c r="N10" s="947" t="s">
        <v>4136</v>
      </c>
      <c r="O10" s="947" t="s">
        <v>3024</v>
      </c>
      <c r="P10" s="559">
        <f>IF(H10="","",H10*12/0.3)</f>
        <v>18160</v>
      </c>
      <c r="Q10" s="560">
        <f>IF(H10="","",P10/($P$6*VLOOKUP(C10,'DCA Underwriting Assumptions'!$J$81:$K$86,2,FALSE)))</f>
        <v>0.58345381526104423</v>
      </c>
      <c r="R10" s="667"/>
      <c r="S10" s="560"/>
      <c r="T10" s="1353"/>
      <c r="U10" s="1354"/>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4</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3000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4</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4</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4</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948" t="s">
        <v>124</v>
      </c>
      <c r="C11" s="949">
        <v>2</v>
      </c>
      <c r="D11" s="950">
        <v>2</v>
      </c>
      <c r="E11" s="951">
        <v>9</v>
      </c>
      <c r="F11" s="951">
        <v>950</v>
      </c>
      <c r="G11" s="951">
        <v>560</v>
      </c>
      <c r="H11" s="951">
        <v>545</v>
      </c>
      <c r="I11" s="951">
        <v>142</v>
      </c>
      <c r="J11" s="952"/>
      <c r="K11" s="205">
        <f t="shared" ref="K11:K27" si="172">MAX(0,H11-I11)</f>
        <v>403</v>
      </c>
      <c r="L11" s="205">
        <f t="shared" si="0"/>
        <v>3627</v>
      </c>
      <c r="M11" s="953" t="s">
        <v>4067</v>
      </c>
      <c r="N11" s="953" t="s">
        <v>4136</v>
      </c>
      <c r="O11" s="953" t="s">
        <v>3024</v>
      </c>
      <c r="P11" s="559">
        <f>IF(H11="","",H11*12/0.3)</f>
        <v>21800</v>
      </c>
      <c r="Q11" s="560">
        <f>IF(H11="","",P11/($P$6*VLOOKUP(C11,'DCA Underwriting Assumptions'!$J$81:$K$86,2,FALSE)))</f>
        <v>0.58366800535475238</v>
      </c>
      <c r="R11" s="667"/>
      <c r="S11" s="560"/>
      <c r="T11" s="1355"/>
      <c r="U11" s="1356"/>
      <c r="V11" s="624" t="str">
        <f t="shared" si="1"/>
        <v/>
      </c>
      <c r="W11" s="624" t="str">
        <f t="shared" si="2"/>
        <v/>
      </c>
      <c r="X11" s="624" t="str">
        <f t="shared" si="3"/>
        <v/>
      </c>
      <c r="Y11" s="624" t="str">
        <f t="shared" si="4"/>
        <v/>
      </c>
      <c r="Z11" s="624" t="str">
        <f t="shared" si="5"/>
        <v/>
      </c>
      <c r="AA11" s="624" t="str">
        <f t="shared" si="6"/>
        <v/>
      </c>
      <c r="AB11" s="624" t="str">
        <f t="shared" si="7"/>
        <v/>
      </c>
      <c r="AC11" s="624">
        <f t="shared" si="8"/>
        <v>9</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8550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9</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9</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9</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948" t="s">
        <v>1562</v>
      </c>
      <c r="C12" s="949">
        <v>1</v>
      </c>
      <c r="D12" s="950">
        <v>1</v>
      </c>
      <c r="E12" s="951">
        <v>10</v>
      </c>
      <c r="F12" s="951">
        <v>750</v>
      </c>
      <c r="G12" s="951">
        <v>559</v>
      </c>
      <c r="H12" s="951">
        <v>547</v>
      </c>
      <c r="I12" s="951">
        <v>114</v>
      </c>
      <c r="J12" s="952"/>
      <c r="K12" s="205">
        <f t="shared" si="172"/>
        <v>433</v>
      </c>
      <c r="L12" s="205">
        <f t="shared" si="0"/>
        <v>4330</v>
      </c>
      <c r="M12" s="953" t="s">
        <v>4067</v>
      </c>
      <c r="N12" s="953" t="s">
        <v>4136</v>
      </c>
      <c r="O12" s="953" t="s">
        <v>3024</v>
      </c>
      <c r="P12" s="559">
        <f>IF(H12="","",H12*12/0.3)</f>
        <v>21880</v>
      </c>
      <c r="Q12" s="560">
        <f>IF(H12="","",P12/($P$6*VLOOKUP(C12,'DCA Underwriting Assumptions'!$J$81:$K$86,2,FALSE)))</f>
        <v>0.70297188755020079</v>
      </c>
      <c r="R12" s="667"/>
      <c r="S12" s="560"/>
      <c r="T12" s="1355"/>
      <c r="U12" s="1356"/>
      <c r="V12" s="624" t="str">
        <f t="shared" si="1"/>
        <v/>
      </c>
      <c r="W12" s="624">
        <f t="shared" si="2"/>
        <v>10</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7500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10</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10</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10</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948" t="s">
        <v>1562</v>
      </c>
      <c r="C13" s="949">
        <v>2</v>
      </c>
      <c r="D13" s="950">
        <v>2</v>
      </c>
      <c r="E13" s="951">
        <v>47</v>
      </c>
      <c r="F13" s="951">
        <v>950</v>
      </c>
      <c r="G13" s="951">
        <v>672</v>
      </c>
      <c r="H13" s="951">
        <v>657</v>
      </c>
      <c r="I13" s="951">
        <v>142</v>
      </c>
      <c r="J13" s="952"/>
      <c r="K13" s="205">
        <f t="shared" si="172"/>
        <v>515</v>
      </c>
      <c r="L13" s="205">
        <f t="shared" si="0"/>
        <v>24205</v>
      </c>
      <c r="M13" s="953" t="s">
        <v>4067</v>
      </c>
      <c r="N13" s="953" t="s">
        <v>4136</v>
      </c>
      <c r="O13" s="953" t="s">
        <v>3024</v>
      </c>
      <c r="P13" s="559">
        <f>IF(H13="","",H13*12/0.3)</f>
        <v>26280</v>
      </c>
      <c r="Q13" s="560">
        <f>IF(H13="","",P13/($P$6*VLOOKUP(C13,'DCA Underwriting Assumptions'!$J$81:$K$86,2,FALSE)))</f>
        <v>0.70361445783132526</v>
      </c>
      <c r="R13" s="667"/>
      <c r="S13" s="560"/>
      <c r="T13" s="1355"/>
      <c r="U13" s="1356"/>
      <c r="V13" s="624" t="str">
        <f t="shared" si="1"/>
        <v/>
      </c>
      <c r="W13" s="624" t="str">
        <f t="shared" si="2"/>
        <v/>
      </c>
      <c r="X13" s="624">
        <f t="shared" si="3"/>
        <v>47</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44650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47</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47</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47</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948"/>
      <c r="C14" s="949"/>
      <c r="D14" s="950"/>
      <c r="E14" s="951"/>
      <c r="F14" s="951"/>
      <c r="G14" s="951"/>
      <c r="H14" s="951"/>
      <c r="I14" s="951"/>
      <c r="J14" s="952"/>
      <c r="K14" s="205">
        <f t="shared" si="172"/>
        <v>0</v>
      </c>
      <c r="L14" s="205">
        <f t="shared" si="0"/>
        <v>0</v>
      </c>
      <c r="M14" s="953"/>
      <c r="N14" s="953"/>
      <c r="O14" s="953"/>
      <c r="P14" s="559" t="str">
        <f>IF(H14="","",H14*12/0.3)</f>
        <v/>
      </c>
      <c r="Q14" s="560" t="str">
        <f>IF(H14="","",P14/($P$6*VLOOKUP(C14,'DCA Underwriting Assumptions'!$J$81:$K$86,2,FALSE)))</f>
        <v/>
      </c>
      <c r="R14" s="667"/>
      <c r="S14" s="560"/>
      <c r="T14" s="1355"/>
      <c r="U14" s="1356"/>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948"/>
      <c r="C15" s="949"/>
      <c r="D15" s="950"/>
      <c r="E15" s="951"/>
      <c r="F15" s="951"/>
      <c r="G15" s="951"/>
      <c r="H15" s="951"/>
      <c r="I15" s="951"/>
      <c r="J15" s="952"/>
      <c r="K15" s="205">
        <f t="shared" si="172"/>
        <v>0</v>
      </c>
      <c r="L15" s="205">
        <f t="shared" si="0"/>
        <v>0</v>
      </c>
      <c r="M15" s="953"/>
      <c r="N15" s="953"/>
      <c r="O15" s="953"/>
      <c r="P15" s="559" t="str">
        <f t="shared" ref="P15:P47" si="203">IF(H15="","",H15*12/0.3)</f>
        <v/>
      </c>
      <c r="Q15" s="560" t="str">
        <f>IF(H15="","",P15/($P$6*VLOOKUP(C15,'DCA Underwriting Assumptions'!$J$81:$K$86,2,FALSE)))</f>
        <v/>
      </c>
      <c r="R15" s="667"/>
      <c r="S15" s="560"/>
      <c r="T15" s="1355"/>
      <c r="U15" s="1356"/>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948"/>
      <c r="C16" s="949"/>
      <c r="D16" s="950"/>
      <c r="E16" s="951"/>
      <c r="F16" s="951"/>
      <c r="G16" s="951"/>
      <c r="H16" s="951"/>
      <c r="I16" s="951"/>
      <c r="J16" s="952"/>
      <c r="K16" s="205">
        <f t="shared" si="172"/>
        <v>0</v>
      </c>
      <c r="L16" s="205">
        <f t="shared" si="0"/>
        <v>0</v>
      </c>
      <c r="M16" s="953"/>
      <c r="N16" s="953"/>
      <c r="O16" s="953"/>
      <c r="P16" s="559" t="str">
        <f t="shared" si="203"/>
        <v/>
      </c>
      <c r="Q16" s="560" t="str">
        <f>IF(H16="","",P16/($P$6*VLOOKUP(C16,'DCA Underwriting Assumptions'!$J$81:$K$86,2,FALSE)))</f>
        <v/>
      </c>
      <c r="R16" s="667"/>
      <c r="S16" s="560"/>
      <c r="T16" s="1355"/>
      <c r="U16" s="1356"/>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948" t="s">
        <v>2466</v>
      </c>
      <c r="C17" s="949"/>
      <c r="D17" s="950"/>
      <c r="E17" s="951"/>
      <c r="F17" s="951"/>
      <c r="G17" s="951"/>
      <c r="H17" s="951"/>
      <c r="I17" s="951"/>
      <c r="J17" s="952"/>
      <c r="K17" s="205">
        <f t="shared" si="172"/>
        <v>0</v>
      </c>
      <c r="L17" s="205">
        <f t="shared" si="0"/>
        <v>0</v>
      </c>
      <c r="M17" s="953"/>
      <c r="N17" s="953"/>
      <c r="O17" s="953"/>
      <c r="P17" s="559" t="str">
        <f t="shared" si="203"/>
        <v/>
      </c>
      <c r="Q17" s="560" t="str">
        <f>IF(H17="","",P17/($P$6*VLOOKUP(C17,'DCA Underwriting Assumptions'!$J$81:$K$86,2,FALSE)))</f>
        <v/>
      </c>
      <c r="R17" s="667"/>
      <c r="S17" s="560"/>
      <c r="T17" s="1355"/>
      <c r="U17" s="1356"/>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948" t="s">
        <v>2466</v>
      </c>
      <c r="C18" s="949"/>
      <c r="D18" s="950"/>
      <c r="E18" s="951"/>
      <c r="F18" s="951"/>
      <c r="G18" s="951"/>
      <c r="H18" s="951"/>
      <c r="I18" s="951"/>
      <c r="J18" s="952"/>
      <c r="K18" s="205">
        <f t="shared" si="172"/>
        <v>0</v>
      </c>
      <c r="L18" s="205">
        <f t="shared" si="0"/>
        <v>0</v>
      </c>
      <c r="M18" s="953"/>
      <c r="N18" s="953"/>
      <c r="O18" s="953"/>
      <c r="P18" s="559" t="str">
        <f t="shared" si="203"/>
        <v/>
      </c>
      <c r="Q18" s="560" t="str">
        <f>IF(H18="","",P18/($P$6*VLOOKUP(C18,'DCA Underwriting Assumptions'!$J$81:$K$86,2,FALSE)))</f>
        <v/>
      </c>
      <c r="R18" s="667"/>
      <c r="S18" s="560"/>
      <c r="T18" s="1355"/>
      <c r="U18" s="1356"/>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948" t="s">
        <v>2466</v>
      </c>
      <c r="C19" s="949"/>
      <c r="D19" s="950"/>
      <c r="E19" s="951"/>
      <c r="F19" s="951"/>
      <c r="G19" s="951"/>
      <c r="H19" s="951"/>
      <c r="I19" s="951"/>
      <c r="J19" s="952"/>
      <c r="K19" s="205">
        <f t="shared" si="172"/>
        <v>0</v>
      </c>
      <c r="L19" s="205">
        <f t="shared" si="0"/>
        <v>0</v>
      </c>
      <c r="M19" s="953"/>
      <c r="N19" s="953"/>
      <c r="O19" s="953"/>
      <c r="P19" s="559" t="str">
        <f t="shared" si="203"/>
        <v/>
      </c>
      <c r="Q19" s="560" t="str">
        <f>IF(H19="","",P19/($P$6*VLOOKUP(C19,'DCA Underwriting Assumptions'!$J$81:$K$86,2,FALSE)))</f>
        <v/>
      </c>
      <c r="R19" s="667"/>
      <c r="S19" s="560"/>
      <c r="T19" s="1355"/>
      <c r="U19" s="1356"/>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948" t="s">
        <v>2466</v>
      </c>
      <c r="C20" s="949"/>
      <c r="D20" s="950"/>
      <c r="E20" s="951"/>
      <c r="F20" s="951"/>
      <c r="G20" s="951"/>
      <c r="H20" s="951"/>
      <c r="I20" s="951"/>
      <c r="J20" s="952"/>
      <c r="K20" s="205">
        <f t="shared" si="172"/>
        <v>0</v>
      </c>
      <c r="L20" s="205">
        <f t="shared" si="0"/>
        <v>0</v>
      </c>
      <c r="M20" s="953"/>
      <c r="N20" s="953"/>
      <c r="O20" s="953"/>
      <c r="P20" s="559" t="str">
        <f t="shared" si="203"/>
        <v/>
      </c>
      <c r="Q20" s="560" t="str">
        <f>IF(H20="","",P20/($P$6*VLOOKUP(C20,'DCA Underwriting Assumptions'!$J$81:$K$86,2,FALSE)))</f>
        <v/>
      </c>
      <c r="R20" s="667"/>
      <c r="S20" s="560"/>
      <c r="T20" s="1355"/>
      <c r="U20" s="1356"/>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948" t="s">
        <v>2466</v>
      </c>
      <c r="C21" s="949"/>
      <c r="D21" s="950"/>
      <c r="E21" s="951"/>
      <c r="F21" s="951"/>
      <c r="G21" s="951"/>
      <c r="H21" s="951"/>
      <c r="I21" s="951"/>
      <c r="J21" s="952"/>
      <c r="K21" s="205">
        <f t="shared" si="172"/>
        <v>0</v>
      </c>
      <c r="L21" s="205">
        <f t="shared" si="0"/>
        <v>0</v>
      </c>
      <c r="M21" s="953"/>
      <c r="N21" s="953"/>
      <c r="O21" s="953"/>
      <c r="P21" s="559" t="str">
        <f t="shared" si="203"/>
        <v/>
      </c>
      <c r="Q21" s="560" t="str">
        <f>IF(H21="","",P21/($P$6*VLOOKUP(C21,'DCA Underwriting Assumptions'!$J$81:$K$86,2,FALSE)))</f>
        <v/>
      </c>
      <c r="R21" s="667"/>
      <c r="S21" s="560"/>
      <c r="T21" s="1355"/>
      <c r="U21" s="1356"/>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948" t="s">
        <v>2466</v>
      </c>
      <c r="C22" s="949"/>
      <c r="D22" s="950"/>
      <c r="E22" s="951"/>
      <c r="F22" s="951"/>
      <c r="G22" s="951"/>
      <c r="H22" s="951"/>
      <c r="I22" s="951"/>
      <c r="J22" s="952"/>
      <c r="K22" s="205">
        <f t="shared" si="172"/>
        <v>0</v>
      </c>
      <c r="L22" s="205">
        <f t="shared" si="0"/>
        <v>0</v>
      </c>
      <c r="M22" s="953"/>
      <c r="N22" s="953"/>
      <c r="O22" s="953"/>
      <c r="P22" s="559" t="str">
        <f t="shared" si="203"/>
        <v/>
      </c>
      <c r="Q22" s="560" t="str">
        <f>IF(H22="","",P22/($P$6*VLOOKUP(C22,'DCA Underwriting Assumptions'!$J$81:$K$86,2,FALSE)))</f>
        <v/>
      </c>
      <c r="R22" s="667"/>
      <c r="S22" s="560"/>
      <c r="T22" s="1355"/>
      <c r="U22" s="1356"/>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948" t="s">
        <v>2466</v>
      </c>
      <c r="C23" s="949"/>
      <c r="D23" s="950"/>
      <c r="E23" s="951"/>
      <c r="F23" s="951"/>
      <c r="G23" s="951"/>
      <c r="H23" s="951"/>
      <c r="I23" s="951"/>
      <c r="J23" s="952"/>
      <c r="K23" s="205">
        <f t="shared" si="172"/>
        <v>0</v>
      </c>
      <c r="L23" s="205">
        <f t="shared" si="0"/>
        <v>0</v>
      </c>
      <c r="M23" s="953"/>
      <c r="N23" s="953"/>
      <c r="O23" s="953"/>
      <c r="P23" s="559" t="str">
        <f t="shared" si="203"/>
        <v/>
      </c>
      <c r="Q23" s="560" t="str">
        <f>IF(H23="","",P23/($P$6*VLOOKUP(C23,'DCA Underwriting Assumptions'!$J$81:$K$86,2,FALSE)))</f>
        <v/>
      </c>
      <c r="R23" s="667"/>
      <c r="S23" s="560"/>
      <c r="T23" s="1355"/>
      <c r="U23" s="1356"/>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948" t="s">
        <v>2466</v>
      </c>
      <c r="C24" s="949"/>
      <c r="D24" s="950"/>
      <c r="E24" s="951"/>
      <c r="F24" s="951"/>
      <c r="G24" s="951"/>
      <c r="H24" s="951"/>
      <c r="I24" s="951"/>
      <c r="J24" s="952"/>
      <c r="K24" s="205">
        <f t="shared" si="172"/>
        <v>0</v>
      </c>
      <c r="L24" s="205">
        <f t="shared" si="0"/>
        <v>0</v>
      </c>
      <c r="M24" s="953"/>
      <c r="N24" s="953"/>
      <c r="O24" s="953"/>
      <c r="P24" s="559" t="str">
        <f t="shared" si="203"/>
        <v/>
      </c>
      <c r="Q24" s="560" t="str">
        <f>IF(H24="","",P24/($P$6*VLOOKUP(C24,'DCA Underwriting Assumptions'!$J$81:$K$86,2,FALSE)))</f>
        <v/>
      </c>
      <c r="R24" s="667"/>
      <c r="S24" s="560"/>
      <c r="T24" s="1355"/>
      <c r="U24" s="1356"/>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948" t="s">
        <v>2466</v>
      </c>
      <c r="C25" s="949"/>
      <c r="D25" s="950"/>
      <c r="E25" s="951"/>
      <c r="F25" s="951"/>
      <c r="G25" s="951"/>
      <c r="H25" s="951"/>
      <c r="I25" s="951"/>
      <c r="J25" s="952"/>
      <c r="K25" s="205">
        <f t="shared" si="172"/>
        <v>0</v>
      </c>
      <c r="L25" s="205">
        <f t="shared" si="0"/>
        <v>0</v>
      </c>
      <c r="M25" s="953"/>
      <c r="N25" s="953"/>
      <c r="O25" s="953"/>
      <c r="P25" s="559" t="str">
        <f t="shared" si="203"/>
        <v/>
      </c>
      <c r="Q25" s="560" t="str">
        <f>IF(H25="","",P25/($P$6*VLOOKUP(C25,'DCA Underwriting Assumptions'!$J$81:$K$86,2,FALSE)))</f>
        <v/>
      </c>
      <c r="R25" s="667"/>
      <c r="S25" s="560"/>
      <c r="T25" s="1355"/>
      <c r="U25" s="1356"/>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948" t="s">
        <v>2466</v>
      </c>
      <c r="C26" s="949"/>
      <c r="D26" s="950"/>
      <c r="E26" s="951"/>
      <c r="F26" s="951"/>
      <c r="G26" s="951"/>
      <c r="H26" s="951"/>
      <c r="I26" s="951"/>
      <c r="J26" s="952"/>
      <c r="K26" s="205">
        <f t="shared" si="172"/>
        <v>0</v>
      </c>
      <c r="L26" s="205">
        <f t="shared" si="0"/>
        <v>0</v>
      </c>
      <c r="M26" s="953"/>
      <c r="N26" s="953"/>
      <c r="O26" s="953"/>
      <c r="P26" s="559" t="str">
        <f t="shared" si="203"/>
        <v/>
      </c>
      <c r="Q26" s="560" t="str">
        <f>IF(H26="","",P26/($P$6*VLOOKUP(C26,'DCA Underwriting Assumptions'!$J$81:$K$86,2,FALSE)))</f>
        <v/>
      </c>
      <c r="R26" s="667"/>
      <c r="S26" s="560"/>
      <c r="T26" s="1355"/>
      <c r="U26" s="1356"/>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948" t="s">
        <v>2466</v>
      </c>
      <c r="C27" s="949"/>
      <c r="D27" s="950"/>
      <c r="E27" s="951"/>
      <c r="F27" s="951"/>
      <c r="G27" s="951"/>
      <c r="H27" s="951"/>
      <c r="I27" s="951"/>
      <c r="J27" s="952"/>
      <c r="K27" s="205">
        <f t="shared" si="172"/>
        <v>0</v>
      </c>
      <c r="L27" s="205">
        <f t="shared" si="0"/>
        <v>0</v>
      </c>
      <c r="M27" s="953"/>
      <c r="N27" s="953"/>
      <c r="O27" s="953"/>
      <c r="P27" s="559" t="str">
        <f t="shared" si="203"/>
        <v/>
      </c>
      <c r="Q27" s="560" t="str">
        <f>IF(H27="","",P27/($P$6*VLOOKUP(C27,'DCA Underwriting Assumptions'!$J$81:$K$86,2,FALSE)))</f>
        <v/>
      </c>
      <c r="R27" s="667"/>
      <c r="S27" s="560"/>
      <c r="T27" s="1355"/>
      <c r="U27" s="1356"/>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948" t="s">
        <v>2466</v>
      </c>
      <c r="C28" s="949"/>
      <c r="D28" s="950"/>
      <c r="E28" s="951"/>
      <c r="F28" s="951"/>
      <c r="G28" s="951"/>
      <c r="H28" s="951"/>
      <c r="I28" s="951"/>
      <c r="J28" s="952"/>
      <c r="K28" s="205">
        <f>MAX(0,H28-I28)</f>
        <v>0</v>
      </c>
      <c r="L28" s="205">
        <f t="shared" si="0"/>
        <v>0</v>
      </c>
      <c r="M28" s="953"/>
      <c r="N28" s="953"/>
      <c r="O28" s="953"/>
      <c r="P28" s="559" t="str">
        <f t="shared" si="203"/>
        <v/>
      </c>
      <c r="Q28" s="560" t="str">
        <f>IF(H28="","",P28/($P$6*VLOOKUP(C28,'DCA Underwriting Assumptions'!$J$81:$K$86,2,FALSE)))</f>
        <v/>
      </c>
      <c r="R28" s="667"/>
      <c r="S28" s="560"/>
      <c r="T28" s="1355"/>
      <c r="U28" s="1356"/>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948" t="s">
        <v>2466</v>
      </c>
      <c r="C29" s="949"/>
      <c r="D29" s="950"/>
      <c r="E29" s="951"/>
      <c r="F29" s="951"/>
      <c r="G29" s="951"/>
      <c r="H29" s="951"/>
      <c r="I29" s="951"/>
      <c r="J29" s="952"/>
      <c r="K29" s="205">
        <f t="shared" ref="K29:K47" si="204">MAX(0,H29-I29)</f>
        <v>0</v>
      </c>
      <c r="L29" s="205">
        <f t="shared" si="0"/>
        <v>0</v>
      </c>
      <c r="M29" s="953"/>
      <c r="N29" s="953"/>
      <c r="O29" s="953"/>
      <c r="P29" s="559" t="str">
        <f t="shared" si="203"/>
        <v/>
      </c>
      <c r="Q29" s="560" t="str">
        <f>IF(H29="","",P29/($P$6*VLOOKUP(C29,'DCA Underwriting Assumptions'!$J$81:$K$86,2,FALSE)))</f>
        <v/>
      </c>
      <c r="R29" s="667"/>
      <c r="S29" s="560"/>
      <c r="T29" s="1355"/>
      <c r="U29" s="1356"/>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948" t="s">
        <v>2466</v>
      </c>
      <c r="C30" s="949"/>
      <c r="D30" s="950"/>
      <c r="E30" s="951"/>
      <c r="F30" s="951"/>
      <c r="G30" s="951"/>
      <c r="H30" s="951"/>
      <c r="I30" s="951"/>
      <c r="J30" s="952"/>
      <c r="K30" s="205">
        <f t="shared" si="204"/>
        <v>0</v>
      </c>
      <c r="L30" s="205">
        <f t="shared" si="0"/>
        <v>0</v>
      </c>
      <c r="M30" s="953"/>
      <c r="N30" s="953"/>
      <c r="O30" s="953"/>
      <c r="P30" s="559" t="str">
        <f t="shared" si="203"/>
        <v/>
      </c>
      <c r="Q30" s="560" t="str">
        <f>IF(H30="","",P30/($P$6*VLOOKUP(C30,'DCA Underwriting Assumptions'!$J$81:$K$86,2,FALSE)))</f>
        <v/>
      </c>
      <c r="R30" s="667"/>
      <c r="S30" s="560"/>
      <c r="T30" s="1355"/>
      <c r="U30" s="1356"/>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948" t="s">
        <v>2466</v>
      </c>
      <c r="C31" s="949"/>
      <c r="D31" s="950"/>
      <c r="E31" s="951"/>
      <c r="F31" s="951"/>
      <c r="G31" s="951"/>
      <c r="H31" s="951"/>
      <c r="I31" s="951"/>
      <c r="J31" s="952"/>
      <c r="K31" s="205">
        <f t="shared" si="204"/>
        <v>0</v>
      </c>
      <c r="L31" s="205">
        <f t="shared" si="0"/>
        <v>0</v>
      </c>
      <c r="M31" s="953"/>
      <c r="N31" s="953"/>
      <c r="O31" s="953"/>
      <c r="P31" s="559" t="str">
        <f t="shared" si="203"/>
        <v/>
      </c>
      <c r="Q31" s="560" t="str">
        <f>IF(H31="","",P31/($P$6*VLOOKUP(C31,'DCA Underwriting Assumptions'!$J$81:$K$86,2,FALSE)))</f>
        <v/>
      </c>
      <c r="R31" s="667"/>
      <c r="S31" s="560"/>
      <c r="T31" s="1355"/>
      <c r="U31" s="1356"/>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948" t="s">
        <v>2466</v>
      </c>
      <c r="C32" s="949"/>
      <c r="D32" s="950"/>
      <c r="E32" s="951"/>
      <c r="F32" s="951"/>
      <c r="G32" s="951"/>
      <c r="H32" s="951"/>
      <c r="I32" s="951"/>
      <c r="J32" s="952"/>
      <c r="K32" s="205">
        <f t="shared" si="204"/>
        <v>0</v>
      </c>
      <c r="L32" s="205">
        <f t="shared" si="0"/>
        <v>0</v>
      </c>
      <c r="M32" s="953"/>
      <c r="N32" s="953"/>
      <c r="O32" s="953"/>
      <c r="P32" s="559" t="str">
        <f t="shared" si="203"/>
        <v/>
      </c>
      <c r="Q32" s="560" t="str">
        <f>IF(H32="","",P32/($P$6*VLOOKUP(C32,'DCA Underwriting Assumptions'!$J$81:$K$86,2,FALSE)))</f>
        <v/>
      </c>
      <c r="R32" s="667"/>
      <c r="S32" s="560"/>
      <c r="T32" s="1355"/>
      <c r="U32" s="1356"/>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948" t="s">
        <v>2466</v>
      </c>
      <c r="C33" s="949"/>
      <c r="D33" s="950"/>
      <c r="E33" s="951"/>
      <c r="F33" s="951"/>
      <c r="G33" s="951"/>
      <c r="H33" s="951"/>
      <c r="I33" s="951"/>
      <c r="J33" s="952"/>
      <c r="K33" s="205">
        <f t="shared" si="204"/>
        <v>0</v>
      </c>
      <c r="L33" s="205">
        <f t="shared" si="0"/>
        <v>0</v>
      </c>
      <c r="M33" s="953"/>
      <c r="N33" s="953"/>
      <c r="O33" s="953"/>
      <c r="P33" s="559" t="str">
        <f t="shared" si="203"/>
        <v/>
      </c>
      <c r="Q33" s="560" t="str">
        <f>IF(H33="","",P33/($P$6*VLOOKUP(C33,'DCA Underwriting Assumptions'!$J$81:$K$86,2,FALSE)))</f>
        <v/>
      </c>
      <c r="R33" s="667"/>
      <c r="S33" s="560"/>
      <c r="T33" s="1355"/>
      <c r="U33" s="1356"/>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948" t="s">
        <v>2466</v>
      </c>
      <c r="C34" s="949"/>
      <c r="D34" s="950"/>
      <c r="E34" s="951"/>
      <c r="F34" s="951"/>
      <c r="G34" s="951"/>
      <c r="H34" s="951"/>
      <c r="I34" s="951"/>
      <c r="J34" s="952"/>
      <c r="K34" s="205">
        <f t="shared" si="204"/>
        <v>0</v>
      </c>
      <c r="L34" s="205">
        <f t="shared" si="0"/>
        <v>0</v>
      </c>
      <c r="M34" s="953"/>
      <c r="N34" s="953"/>
      <c r="O34" s="953"/>
      <c r="P34" s="559" t="str">
        <f t="shared" si="203"/>
        <v/>
      </c>
      <c r="Q34" s="560" t="str">
        <f>IF(H34="","",P34/($P$6*VLOOKUP(C34,'DCA Underwriting Assumptions'!$J$81:$K$86,2,FALSE)))</f>
        <v/>
      </c>
      <c r="R34" s="667"/>
      <c r="S34" s="560"/>
      <c r="T34" s="1355"/>
      <c r="U34" s="1356"/>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948" t="s">
        <v>2466</v>
      </c>
      <c r="C35" s="949"/>
      <c r="D35" s="950"/>
      <c r="E35" s="951"/>
      <c r="F35" s="951"/>
      <c r="G35" s="951"/>
      <c r="H35" s="951"/>
      <c r="I35" s="951"/>
      <c r="J35" s="952"/>
      <c r="K35" s="205">
        <f t="shared" si="204"/>
        <v>0</v>
      </c>
      <c r="L35" s="205">
        <f t="shared" si="0"/>
        <v>0</v>
      </c>
      <c r="M35" s="953"/>
      <c r="N35" s="953"/>
      <c r="O35" s="953"/>
      <c r="P35" s="559" t="str">
        <f t="shared" si="203"/>
        <v/>
      </c>
      <c r="Q35" s="560" t="str">
        <f>IF(H35="","",P35/($P$6*VLOOKUP(C35,'DCA Underwriting Assumptions'!$J$81:$K$86,2,FALSE)))</f>
        <v/>
      </c>
      <c r="R35" s="667"/>
      <c r="S35" s="560"/>
      <c r="T35" s="1355"/>
      <c r="U35" s="1356"/>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948" t="s">
        <v>2466</v>
      </c>
      <c r="C36" s="949"/>
      <c r="D36" s="950"/>
      <c r="E36" s="951"/>
      <c r="F36" s="951"/>
      <c r="G36" s="951"/>
      <c r="H36" s="951"/>
      <c r="I36" s="951"/>
      <c r="J36" s="952"/>
      <c r="K36" s="205">
        <f t="shared" si="204"/>
        <v>0</v>
      </c>
      <c r="L36" s="205">
        <f t="shared" si="0"/>
        <v>0</v>
      </c>
      <c r="M36" s="953"/>
      <c r="N36" s="953"/>
      <c r="O36" s="953"/>
      <c r="P36" s="559" t="str">
        <f t="shared" si="203"/>
        <v/>
      </c>
      <c r="Q36" s="560" t="str">
        <f>IF(H36="","",P36/($P$6*VLOOKUP(C36,'DCA Underwriting Assumptions'!$J$81:$K$86,2,FALSE)))</f>
        <v/>
      </c>
      <c r="R36" s="667"/>
      <c r="S36" s="560"/>
      <c r="T36" s="1355"/>
      <c r="U36" s="1356"/>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948" t="s">
        <v>2466</v>
      </c>
      <c r="C37" s="949"/>
      <c r="D37" s="950"/>
      <c r="E37" s="951"/>
      <c r="F37" s="951"/>
      <c r="G37" s="951"/>
      <c r="H37" s="951"/>
      <c r="I37" s="951"/>
      <c r="J37" s="952"/>
      <c r="K37" s="205">
        <f t="shared" si="204"/>
        <v>0</v>
      </c>
      <c r="L37" s="205">
        <f t="shared" si="0"/>
        <v>0</v>
      </c>
      <c r="M37" s="953"/>
      <c r="N37" s="953"/>
      <c r="O37" s="953"/>
      <c r="P37" s="559" t="str">
        <f t="shared" si="203"/>
        <v/>
      </c>
      <c r="Q37" s="560" t="str">
        <f>IF(H37="","",P37/($P$6*VLOOKUP(C37,'DCA Underwriting Assumptions'!$J$81:$K$86,2,FALSE)))</f>
        <v/>
      </c>
      <c r="R37" s="667"/>
      <c r="S37" s="560"/>
      <c r="T37" s="1355"/>
      <c r="U37" s="1356"/>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948" t="s">
        <v>2466</v>
      </c>
      <c r="C38" s="949"/>
      <c r="D38" s="950"/>
      <c r="E38" s="951"/>
      <c r="F38" s="951"/>
      <c r="G38" s="951"/>
      <c r="H38" s="951"/>
      <c r="I38" s="951"/>
      <c r="J38" s="952"/>
      <c r="K38" s="205">
        <f>MAX(0,H38-I38)</f>
        <v>0</v>
      </c>
      <c r="L38" s="205">
        <f t="shared" si="0"/>
        <v>0</v>
      </c>
      <c r="M38" s="953"/>
      <c r="N38" s="953"/>
      <c r="O38" s="953"/>
      <c r="P38" s="559" t="str">
        <f t="shared" si="203"/>
        <v/>
      </c>
      <c r="Q38" s="560" t="str">
        <f>IF(H38="","",P38/($P$6*VLOOKUP(C38,'DCA Underwriting Assumptions'!$J$81:$K$86,2,FALSE)))</f>
        <v/>
      </c>
      <c r="R38" s="667"/>
      <c r="S38" s="560"/>
      <c r="T38" s="1355"/>
      <c r="U38" s="1356"/>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948" t="s">
        <v>2466</v>
      </c>
      <c r="C39" s="949"/>
      <c r="D39" s="950"/>
      <c r="E39" s="951"/>
      <c r="F39" s="951"/>
      <c r="G39" s="951"/>
      <c r="H39" s="951"/>
      <c r="I39" s="951"/>
      <c r="J39" s="952"/>
      <c r="K39" s="205">
        <f t="shared" ref="K39:K46" si="205">MAX(0,H39-I39)</f>
        <v>0</v>
      </c>
      <c r="L39" s="205">
        <f t="shared" si="0"/>
        <v>0</v>
      </c>
      <c r="M39" s="953"/>
      <c r="N39" s="953"/>
      <c r="O39" s="953"/>
      <c r="P39" s="559" t="str">
        <f t="shared" si="203"/>
        <v/>
      </c>
      <c r="Q39" s="560" t="str">
        <f>IF(H39="","",P39/($P$6*VLOOKUP(C39,'DCA Underwriting Assumptions'!$J$81:$K$86,2,FALSE)))</f>
        <v/>
      </c>
      <c r="R39" s="667"/>
      <c r="S39" s="560"/>
      <c r="T39" s="1355"/>
      <c r="U39" s="1356"/>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948" t="s">
        <v>2466</v>
      </c>
      <c r="C40" s="949"/>
      <c r="D40" s="950"/>
      <c r="E40" s="951"/>
      <c r="F40" s="951"/>
      <c r="G40" s="951"/>
      <c r="H40" s="951"/>
      <c r="I40" s="951"/>
      <c r="J40" s="952"/>
      <c r="K40" s="205">
        <f t="shared" si="205"/>
        <v>0</v>
      </c>
      <c r="L40" s="205">
        <f t="shared" si="0"/>
        <v>0</v>
      </c>
      <c r="M40" s="953"/>
      <c r="N40" s="953"/>
      <c r="O40" s="953"/>
      <c r="P40" s="559" t="str">
        <f t="shared" si="203"/>
        <v/>
      </c>
      <c r="Q40" s="560" t="str">
        <f>IF(H40="","",P40/($P$6*VLOOKUP(C40,'DCA Underwriting Assumptions'!$J$81:$K$86,2,FALSE)))</f>
        <v/>
      </c>
      <c r="R40" s="667"/>
      <c r="S40" s="560"/>
      <c r="T40" s="1355"/>
      <c r="U40" s="1356"/>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948" t="s">
        <v>2466</v>
      </c>
      <c r="C41" s="949"/>
      <c r="D41" s="950"/>
      <c r="E41" s="951"/>
      <c r="F41" s="951"/>
      <c r="G41" s="951"/>
      <c r="H41" s="951"/>
      <c r="I41" s="951"/>
      <c r="J41" s="952"/>
      <c r="K41" s="205">
        <f t="shared" si="205"/>
        <v>0</v>
      </c>
      <c r="L41" s="205">
        <f t="shared" si="0"/>
        <v>0</v>
      </c>
      <c r="M41" s="953"/>
      <c r="N41" s="953"/>
      <c r="O41" s="953"/>
      <c r="P41" s="559" t="str">
        <f t="shared" si="203"/>
        <v/>
      </c>
      <c r="Q41" s="560" t="str">
        <f>IF(H41="","",P41/($P$6*VLOOKUP(C41,'DCA Underwriting Assumptions'!$J$81:$K$86,2,FALSE)))</f>
        <v/>
      </c>
      <c r="R41" s="667"/>
      <c r="S41" s="560"/>
      <c r="T41" s="1355"/>
      <c r="U41" s="1356"/>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948" t="s">
        <v>2466</v>
      </c>
      <c r="C42" s="949"/>
      <c r="D42" s="950"/>
      <c r="E42" s="951"/>
      <c r="F42" s="951"/>
      <c r="G42" s="951"/>
      <c r="H42" s="951"/>
      <c r="I42" s="951"/>
      <c r="J42" s="952"/>
      <c r="K42" s="205">
        <f t="shared" si="205"/>
        <v>0</v>
      </c>
      <c r="L42" s="205">
        <f t="shared" si="0"/>
        <v>0</v>
      </c>
      <c r="M42" s="953"/>
      <c r="N42" s="953"/>
      <c r="O42" s="953"/>
      <c r="P42" s="559" t="str">
        <f t="shared" si="203"/>
        <v/>
      </c>
      <c r="Q42" s="560" t="str">
        <f>IF(H42="","",P42/($P$6*VLOOKUP(C42,'DCA Underwriting Assumptions'!$J$81:$K$86,2,FALSE)))</f>
        <v/>
      </c>
      <c r="R42" s="667"/>
      <c r="S42" s="560"/>
      <c r="T42" s="1355"/>
      <c r="U42" s="1356"/>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948" t="s">
        <v>2466</v>
      </c>
      <c r="C43" s="949"/>
      <c r="D43" s="950"/>
      <c r="E43" s="951"/>
      <c r="F43" s="951"/>
      <c r="G43" s="951"/>
      <c r="H43" s="951"/>
      <c r="I43" s="951"/>
      <c r="J43" s="952"/>
      <c r="K43" s="205">
        <f t="shared" si="205"/>
        <v>0</v>
      </c>
      <c r="L43" s="205">
        <f t="shared" si="0"/>
        <v>0</v>
      </c>
      <c r="M43" s="953"/>
      <c r="N43" s="953"/>
      <c r="O43" s="953"/>
      <c r="P43" s="559" t="str">
        <f t="shared" si="203"/>
        <v/>
      </c>
      <c r="Q43" s="560" t="str">
        <f>IF(H43="","",P43/($P$6*VLOOKUP(C43,'DCA Underwriting Assumptions'!$J$81:$K$86,2,FALSE)))</f>
        <v/>
      </c>
      <c r="R43" s="667"/>
      <c r="S43" s="560"/>
      <c r="T43" s="1355"/>
      <c r="U43" s="1356"/>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948" t="s">
        <v>2466</v>
      </c>
      <c r="C44" s="949"/>
      <c r="D44" s="950"/>
      <c r="E44" s="951"/>
      <c r="F44" s="951"/>
      <c r="G44" s="951"/>
      <c r="H44" s="951"/>
      <c r="I44" s="951"/>
      <c r="J44" s="952"/>
      <c r="K44" s="205">
        <f t="shared" si="205"/>
        <v>0</v>
      </c>
      <c r="L44" s="205">
        <f t="shared" si="0"/>
        <v>0</v>
      </c>
      <c r="M44" s="953"/>
      <c r="N44" s="953"/>
      <c r="O44" s="953"/>
      <c r="P44" s="559" t="str">
        <f t="shared" si="203"/>
        <v/>
      </c>
      <c r="Q44" s="560" t="str">
        <f>IF(H44="","",P44/($P$6*VLOOKUP(C44,'DCA Underwriting Assumptions'!$J$81:$K$86,2,FALSE)))</f>
        <v/>
      </c>
      <c r="R44" s="667"/>
      <c r="S44" s="560"/>
      <c r="T44" s="1355"/>
      <c r="U44" s="1356"/>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948" t="s">
        <v>2466</v>
      </c>
      <c r="C45" s="949"/>
      <c r="D45" s="950"/>
      <c r="E45" s="951"/>
      <c r="F45" s="951"/>
      <c r="G45" s="951"/>
      <c r="H45" s="951"/>
      <c r="I45" s="951"/>
      <c r="J45" s="952"/>
      <c r="K45" s="205">
        <f t="shared" si="205"/>
        <v>0</v>
      </c>
      <c r="L45" s="205">
        <f t="shared" si="0"/>
        <v>0</v>
      </c>
      <c r="M45" s="953"/>
      <c r="N45" s="953"/>
      <c r="O45" s="953"/>
      <c r="P45" s="559" t="str">
        <f t="shared" si="203"/>
        <v/>
      </c>
      <c r="Q45" s="560" t="str">
        <f>IF(H45="","",P45/($P$6*VLOOKUP(C45,'DCA Underwriting Assumptions'!$J$81:$K$86,2,FALSE)))</f>
        <v/>
      </c>
      <c r="R45" s="667"/>
      <c r="S45" s="560"/>
      <c r="T45" s="1355"/>
      <c r="U45" s="1356"/>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948" t="s">
        <v>2466</v>
      </c>
      <c r="C46" s="949"/>
      <c r="D46" s="950"/>
      <c r="E46" s="951"/>
      <c r="F46" s="951"/>
      <c r="G46" s="951"/>
      <c r="H46" s="951"/>
      <c r="I46" s="951"/>
      <c r="J46" s="952"/>
      <c r="K46" s="205">
        <f t="shared" si="205"/>
        <v>0</v>
      </c>
      <c r="L46" s="205">
        <f t="shared" si="0"/>
        <v>0</v>
      </c>
      <c r="M46" s="953"/>
      <c r="N46" s="953"/>
      <c r="O46" s="953"/>
      <c r="P46" s="559" t="str">
        <f t="shared" si="203"/>
        <v/>
      </c>
      <c r="Q46" s="560" t="str">
        <f>IF(H46="","",P46/($P$6*VLOOKUP(C46,'DCA Underwriting Assumptions'!$J$81:$K$86,2,FALSE)))</f>
        <v/>
      </c>
      <c r="R46" s="667"/>
      <c r="S46" s="560"/>
      <c r="T46" s="1355"/>
      <c r="U46" s="1356"/>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954" t="s">
        <v>2466</v>
      </c>
      <c r="C47" s="955"/>
      <c r="D47" s="956"/>
      <c r="E47" s="957"/>
      <c r="F47" s="957"/>
      <c r="G47" s="957"/>
      <c r="H47" s="957"/>
      <c r="I47" s="957"/>
      <c r="J47" s="958"/>
      <c r="K47" s="206">
        <f t="shared" si="204"/>
        <v>0</v>
      </c>
      <c r="L47" s="206">
        <f t="shared" si="0"/>
        <v>0</v>
      </c>
      <c r="M47" s="959"/>
      <c r="N47" s="959"/>
      <c r="O47" s="959"/>
      <c r="P47" s="559" t="str">
        <f t="shared" si="203"/>
        <v/>
      </c>
      <c r="Q47" s="560" t="str">
        <f>IF(H47="","",P47/($P$6*VLOOKUP(C47,'DCA Underwriting Assumptions'!$J$81:$K$86,2,FALSE)))</f>
        <v/>
      </c>
      <c r="R47" s="667"/>
      <c r="S47" s="560"/>
      <c r="T47" s="1357"/>
      <c r="U47" s="1358"/>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70</v>
      </c>
      <c r="F48" s="154">
        <f>(E10*F10+E11*F11+E12*F12+E13*F13+E14*F14+E15*F15+E16*F16+E17*F17+E18*F18+E19*F19+E20*F20+E21*F21+E22*F22+E23*F23+E24*F24+E25*F25+E26*F26+E27*F27+E28*F28+E29*F29+E30*F30+E31*F31+E32*F32+E33*F33+E34*F34+E35*F35+E36*F36+E37*F37+E38*F38+E39*F39+E40*F40+E41*F41+E42*F42+E43*F43+E44*F44+E45*F45+E46*F46+E47*F47)</f>
        <v>63700</v>
      </c>
      <c r="G48" s="145"/>
      <c r="H48" s="146"/>
      <c r="I48" s="146"/>
      <c r="J48" s="146"/>
      <c r="K48" s="15" t="s">
        <v>1736</v>
      </c>
      <c r="L48" s="152">
        <f>SUM(L10:L47)</f>
        <v>33522</v>
      </c>
      <c r="M48" s="1"/>
      <c r="N48" s="40"/>
      <c r="O48" s="1"/>
      <c r="P48" s="562"/>
      <c r="Q48" s="562"/>
      <c r="R48" s="562"/>
      <c r="S48" s="562"/>
      <c r="T48" s="561"/>
      <c r="U48" s="563"/>
      <c r="V48" s="638">
        <f t="shared" ref="V48:CK48" si="206">SUM(V10:V47)</f>
        <v>0</v>
      </c>
      <c r="W48" s="638">
        <f t="shared" si="206"/>
        <v>10</v>
      </c>
      <c r="X48" s="638">
        <f t="shared" si="206"/>
        <v>47</v>
      </c>
      <c r="Y48" s="638">
        <f t="shared" si="206"/>
        <v>0</v>
      </c>
      <c r="Z48" s="638">
        <f t="shared" si="206"/>
        <v>0</v>
      </c>
      <c r="AA48" s="638">
        <f t="shared" si="206"/>
        <v>0</v>
      </c>
      <c r="AB48" s="638">
        <f t="shared" si="206"/>
        <v>4</v>
      </c>
      <c r="AC48" s="638">
        <f t="shared" si="206"/>
        <v>9</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7500</v>
      </c>
      <c r="CA48" s="638">
        <f t="shared" si="206"/>
        <v>44650</v>
      </c>
      <c r="CB48" s="638">
        <f t="shared" si="206"/>
        <v>0</v>
      </c>
      <c r="CC48" s="638">
        <f t="shared" si="206"/>
        <v>0</v>
      </c>
      <c r="CD48" s="638">
        <f t="shared" si="206"/>
        <v>0</v>
      </c>
      <c r="CE48" s="638">
        <f t="shared" si="206"/>
        <v>3000</v>
      </c>
      <c r="CF48" s="638">
        <f t="shared" si="206"/>
        <v>8550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14</v>
      </c>
      <c r="DE48" s="638">
        <f t="shared" si="208"/>
        <v>56</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14</v>
      </c>
      <c r="EX48" s="638">
        <f t="shared" si="209"/>
        <v>56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14</v>
      </c>
      <c r="GL48" s="638">
        <f t="shared" si="209"/>
        <v>56</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402264</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494" t="s">
        <v>3421</v>
      </c>
      <c r="B51" s="1495"/>
      <c r="C51" s="1495"/>
      <c r="D51" s="1495"/>
      <c r="E51" s="1495"/>
      <c r="F51" s="1495"/>
      <c r="G51" s="1495"/>
      <c r="H51" s="1495"/>
      <c r="I51" s="1495"/>
      <c r="J51" s="1495"/>
      <c r="K51" s="1495"/>
      <c r="L51" s="1495"/>
      <c r="M51" s="1495"/>
      <c r="N51" s="1495"/>
      <c r="O51" s="1495"/>
      <c r="P51" s="1495"/>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495"/>
      <c r="B52" s="1495"/>
      <c r="C52" s="1495"/>
      <c r="D52" s="1495"/>
      <c r="E52" s="1495"/>
      <c r="F52" s="1495"/>
      <c r="G52" s="1495"/>
      <c r="H52" s="1495"/>
      <c r="I52" s="1495"/>
      <c r="J52" s="1495"/>
      <c r="K52" s="1495"/>
      <c r="L52" s="1495"/>
      <c r="M52" s="1495"/>
      <c r="N52" s="1495"/>
      <c r="O52" s="1495"/>
      <c r="P52" s="1495"/>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500"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501"/>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501"/>
      <c r="R55" s="802"/>
      <c r="S55" s="802"/>
      <c r="T55" s="1297" t="s">
        <v>2549</v>
      </c>
      <c r="U55" s="1297"/>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10</v>
      </c>
      <c r="J56" s="343">
        <f>X48</f>
        <v>47</v>
      </c>
      <c r="K56" s="343">
        <f>Y48</f>
        <v>0</v>
      </c>
      <c r="L56" s="343">
        <f>Z48</f>
        <v>0</v>
      </c>
      <c r="M56" s="343">
        <f t="shared" ref="M56:M62" si="211">SUM(H56:L56)</f>
        <v>57</v>
      </c>
      <c r="N56" s="1502" t="s">
        <v>1286</v>
      </c>
      <c r="O56" s="1503"/>
      <c r="P56" s="803"/>
      <c r="Q56" s="538">
        <f t="shared" ref="Q56:Q62" si="212">ABS(M56-AF56)</f>
        <v>57</v>
      </c>
      <c r="R56" s="538"/>
      <c r="S56" s="538"/>
      <c r="T56" s="1353"/>
      <c r="U56" s="1354"/>
      <c r="V56" s="642"/>
      <c r="W56" s="642"/>
      <c r="X56" s="642"/>
      <c r="Y56" s="642"/>
      <c r="Z56" s="643"/>
      <c r="AA56" s="644"/>
      <c r="AB56" s="644"/>
      <c r="AC56" s="644"/>
      <c r="AD56" s="644"/>
      <c r="AE56" s="644"/>
      <c r="AF56" s="644"/>
      <c r="AG56" s="643"/>
      <c r="AH56" s="628"/>
      <c r="GW56" s="640"/>
      <c r="HL56" s="624"/>
    </row>
    <row r="57" spans="1:221" ht="12" customHeight="1">
      <c r="A57" s="1496" t="s">
        <v>567</v>
      </c>
      <c r="B57" s="1496"/>
      <c r="C57" s="5"/>
      <c r="D57" s="1"/>
      <c r="E57" s="1"/>
      <c r="F57" s="1"/>
      <c r="G57" s="44" t="s">
        <v>124</v>
      </c>
      <c r="H57" s="344">
        <f>AA48</f>
        <v>0</v>
      </c>
      <c r="I57" s="344">
        <f>AB48</f>
        <v>4</v>
      </c>
      <c r="J57" s="344">
        <f>AC48</f>
        <v>9</v>
      </c>
      <c r="K57" s="344">
        <f>AD48</f>
        <v>0</v>
      </c>
      <c r="L57" s="344">
        <f>AE48</f>
        <v>0</v>
      </c>
      <c r="M57" s="344">
        <f t="shared" si="211"/>
        <v>13</v>
      </c>
      <c r="N57" s="1502"/>
      <c r="O57" s="1503"/>
      <c r="P57" s="803"/>
      <c r="Q57" s="538">
        <f t="shared" si="212"/>
        <v>13</v>
      </c>
      <c r="R57" s="538"/>
      <c r="S57" s="538"/>
      <c r="T57" s="1355"/>
      <c r="U57" s="1356"/>
      <c r="V57" s="645"/>
      <c r="W57" s="642"/>
      <c r="X57" s="642"/>
      <c r="Y57" s="642"/>
      <c r="Z57" s="643"/>
      <c r="AA57" s="644"/>
      <c r="AB57" s="644"/>
      <c r="AC57" s="644"/>
      <c r="AD57" s="644"/>
      <c r="AE57" s="644"/>
      <c r="AF57" s="644"/>
      <c r="AG57" s="643"/>
      <c r="AH57" s="628"/>
      <c r="GW57" s="640"/>
      <c r="HL57" s="624"/>
    </row>
    <row r="58" spans="1:221" ht="12" customHeight="1">
      <c r="A58" s="1496"/>
      <c r="B58" s="1496"/>
      <c r="C58" s="5"/>
      <c r="D58" s="1"/>
      <c r="E58" s="1"/>
      <c r="F58" s="1"/>
      <c r="G58" s="44" t="s">
        <v>706</v>
      </c>
      <c r="H58" s="345">
        <f>SUM(H56:H57)</f>
        <v>0</v>
      </c>
      <c r="I58" s="345">
        <f>SUM(I56:I57)</f>
        <v>14</v>
      </c>
      <c r="J58" s="345">
        <f>SUM(J56:J57)</f>
        <v>56</v>
      </c>
      <c r="K58" s="345">
        <f>SUM(K56:K57)</f>
        <v>0</v>
      </c>
      <c r="L58" s="345">
        <f>SUM(L56:L57)</f>
        <v>0</v>
      </c>
      <c r="M58" s="345">
        <f t="shared" si="211"/>
        <v>70</v>
      </c>
      <c r="N58" s="348"/>
      <c r="O58" s="99"/>
      <c r="Q58" s="538">
        <f t="shared" si="212"/>
        <v>70</v>
      </c>
      <c r="R58" s="538"/>
      <c r="S58" s="538"/>
      <c r="T58" s="1355"/>
      <c r="U58" s="1356"/>
      <c r="V58" s="645"/>
      <c r="W58" s="642"/>
      <c r="X58" s="642"/>
      <c r="Y58" s="642"/>
      <c r="Z58" s="643"/>
      <c r="AA58" s="644"/>
      <c r="AB58" s="644"/>
      <c r="AC58" s="644"/>
      <c r="AD58" s="644"/>
      <c r="AE58" s="644"/>
      <c r="AF58" s="644"/>
      <c r="AG58" s="643"/>
      <c r="AH58" s="628"/>
      <c r="GW58" s="640"/>
      <c r="HL58" s="624"/>
    </row>
    <row r="59" spans="1:221" ht="12" customHeight="1">
      <c r="A59" s="1496"/>
      <c r="B59" s="1496"/>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355"/>
      <c r="U59" s="1356"/>
      <c r="V59" s="628"/>
      <c r="W59" s="642"/>
      <c r="X59" s="642"/>
      <c r="Y59" s="642"/>
      <c r="Z59" s="643"/>
      <c r="AA59" s="644"/>
      <c r="AB59" s="644"/>
      <c r="AC59" s="644"/>
      <c r="AD59" s="644"/>
      <c r="AE59" s="644"/>
      <c r="AF59" s="644"/>
      <c r="AG59" s="623"/>
      <c r="AH59" s="628"/>
      <c r="GW59" s="640"/>
      <c r="HL59" s="624"/>
    </row>
    <row r="60" spans="1:221" ht="12" customHeight="1">
      <c r="A60" s="1496"/>
      <c r="B60" s="1496"/>
      <c r="C60" s="1" t="s">
        <v>1551</v>
      </c>
      <c r="D60" s="1"/>
      <c r="E60" s="1"/>
      <c r="F60" s="1"/>
      <c r="G60" s="44"/>
      <c r="H60" s="345">
        <f>SUM(H58:H59)</f>
        <v>0</v>
      </c>
      <c r="I60" s="345">
        <f>SUM(I58:I59)</f>
        <v>14</v>
      </c>
      <c r="J60" s="345">
        <f>SUM(J58:J59)</f>
        <v>56</v>
      </c>
      <c r="K60" s="345">
        <f>SUM(K58:K59)</f>
        <v>0</v>
      </c>
      <c r="L60" s="345">
        <f>SUM(L58:L59)</f>
        <v>0</v>
      </c>
      <c r="M60" s="345">
        <f t="shared" si="211"/>
        <v>70</v>
      </c>
      <c r="N60" s="64"/>
      <c r="O60" s="99"/>
      <c r="Q60" s="538">
        <f t="shared" si="212"/>
        <v>70</v>
      </c>
      <c r="R60" s="538"/>
      <c r="S60" s="538"/>
      <c r="T60" s="1355"/>
      <c r="U60" s="1356"/>
      <c r="V60" s="642"/>
      <c r="W60" s="642"/>
      <c r="X60" s="642"/>
      <c r="Y60" s="642"/>
      <c r="Z60" s="643"/>
      <c r="AA60" s="644"/>
      <c r="AB60" s="644"/>
      <c r="AC60" s="644"/>
      <c r="AD60" s="644"/>
      <c r="AE60" s="644"/>
      <c r="AF60" s="644"/>
      <c r="AG60" s="623"/>
      <c r="AH60" s="628"/>
      <c r="GW60" s="640"/>
      <c r="HL60" s="624"/>
    </row>
    <row r="61" spans="1:221" ht="12" customHeight="1">
      <c r="A61" s="1496"/>
      <c r="B61" s="1496"/>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355"/>
      <c r="U61" s="1356"/>
      <c r="V61" s="642"/>
      <c r="W61" s="642"/>
      <c r="X61" s="642"/>
      <c r="Y61" s="642"/>
      <c r="Z61" s="643"/>
      <c r="AA61" s="644"/>
      <c r="AB61" s="644"/>
      <c r="AC61" s="644"/>
      <c r="AD61" s="644"/>
      <c r="AE61" s="644"/>
      <c r="AF61" s="644"/>
      <c r="AG61" s="643"/>
      <c r="AH61" s="628"/>
      <c r="GW61" s="640"/>
      <c r="HL61" s="624"/>
    </row>
    <row r="62" spans="1:221" ht="12" customHeight="1">
      <c r="A62" s="1496"/>
      <c r="B62" s="1496"/>
      <c r="C62" s="1" t="s">
        <v>706</v>
      </c>
      <c r="D62" s="1"/>
      <c r="E62" s="1"/>
      <c r="F62" s="1"/>
      <c r="G62" s="44"/>
      <c r="H62" s="345">
        <f>SUM(H60:H61)</f>
        <v>0</v>
      </c>
      <c r="I62" s="345">
        <f>SUM(I60:I61)</f>
        <v>14</v>
      </c>
      <c r="J62" s="345">
        <f>SUM(J60:J61)</f>
        <v>56</v>
      </c>
      <c r="K62" s="345">
        <f>SUM(K60:K61)</f>
        <v>0</v>
      </c>
      <c r="L62" s="345">
        <f>SUM(L60:L61)</f>
        <v>0</v>
      </c>
      <c r="M62" s="345">
        <f t="shared" si="211"/>
        <v>70</v>
      </c>
      <c r="O62" s="99"/>
      <c r="Q62" s="538">
        <f t="shared" si="212"/>
        <v>70</v>
      </c>
      <c r="R62" s="538"/>
      <c r="S62" s="538"/>
      <c r="T62" s="1357"/>
      <c r="U62" s="1358"/>
      <c r="V62" s="642"/>
      <c r="W62" s="642"/>
      <c r="X62" s="642"/>
      <c r="Y62" s="642"/>
      <c r="Z62" s="643"/>
      <c r="AA62" s="644"/>
      <c r="AB62" s="644"/>
      <c r="AC62" s="644"/>
      <c r="AD62" s="644"/>
      <c r="AE62" s="644"/>
      <c r="AF62" s="644"/>
      <c r="AG62" s="639"/>
      <c r="AH62" s="628"/>
      <c r="GW62" s="640"/>
      <c r="HL62" s="624"/>
    </row>
    <row r="63" spans="1:221" ht="12" customHeight="1">
      <c r="A63" s="1496"/>
      <c r="B63" s="1496"/>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496"/>
      <c r="B64" s="1496"/>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353"/>
      <c r="U64" s="1354"/>
      <c r="V64" s="642"/>
      <c r="W64" s="642"/>
      <c r="X64" s="646"/>
      <c r="Y64" s="642"/>
      <c r="Z64" s="643"/>
      <c r="AA64" s="644"/>
      <c r="AB64" s="644"/>
      <c r="AC64" s="644"/>
      <c r="AD64" s="644"/>
      <c r="AE64" s="644"/>
      <c r="AF64" s="644"/>
      <c r="AG64" s="643"/>
      <c r="AH64" s="628"/>
      <c r="GW64" s="640"/>
      <c r="HL64" s="624"/>
    </row>
    <row r="65" spans="1:220" ht="12" customHeight="1">
      <c r="A65" s="1496"/>
      <c r="B65" s="1496"/>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355"/>
      <c r="U65" s="1356"/>
      <c r="V65" s="643"/>
      <c r="W65" s="642"/>
      <c r="X65" s="646"/>
      <c r="Y65" s="642"/>
      <c r="Z65" s="643"/>
      <c r="AA65" s="644"/>
      <c r="AB65" s="644"/>
      <c r="AC65" s="644"/>
      <c r="AD65" s="644"/>
      <c r="AE65" s="644"/>
      <c r="AF65" s="644"/>
      <c r="AG65" s="643"/>
      <c r="AH65" s="628"/>
      <c r="GW65" s="640"/>
      <c r="HL65" s="624"/>
    </row>
    <row r="66" spans="1:220" ht="12" customHeight="1">
      <c r="A66" s="1496"/>
      <c r="B66" s="1496"/>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357"/>
      <c r="U66" s="1358"/>
      <c r="V66" s="645"/>
      <c r="W66" s="642"/>
      <c r="X66" s="646"/>
      <c r="Y66" s="642"/>
      <c r="Z66" s="643"/>
      <c r="AA66" s="644"/>
      <c r="AB66" s="644"/>
      <c r="AC66" s="644"/>
      <c r="AD66" s="644"/>
      <c r="AE66" s="644"/>
      <c r="AF66" s="644"/>
      <c r="AG66" s="643"/>
      <c r="AH66" s="628"/>
      <c r="GW66" s="640"/>
      <c r="HL66" s="624"/>
    </row>
    <row r="67" spans="1:220" ht="12" customHeight="1">
      <c r="A67" s="1496"/>
      <c r="B67" s="1496"/>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496"/>
      <c r="B68" s="1496"/>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353"/>
      <c r="U68" s="1354"/>
      <c r="V68" s="628"/>
      <c r="W68" s="642"/>
      <c r="X68" s="646"/>
      <c r="Y68" s="642"/>
      <c r="Z68" s="643"/>
      <c r="AA68" s="644"/>
      <c r="AB68" s="644"/>
      <c r="AC68" s="644"/>
      <c r="AD68" s="644"/>
      <c r="AE68" s="644"/>
      <c r="AF68" s="644"/>
      <c r="AG68" s="643"/>
      <c r="AH68" s="628"/>
      <c r="GW68" s="640"/>
      <c r="HL68" s="624"/>
    </row>
    <row r="69" spans="1:220" ht="12" customHeight="1">
      <c r="A69" s="1496"/>
      <c r="B69" s="1496"/>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355"/>
      <c r="U69" s="1356"/>
      <c r="V69" s="647"/>
      <c r="W69" s="642"/>
      <c r="X69" s="646"/>
      <c r="Y69" s="642"/>
      <c r="Z69" s="643"/>
      <c r="AA69" s="644"/>
      <c r="AB69" s="644"/>
      <c r="AC69" s="644"/>
      <c r="AD69" s="644"/>
      <c r="AE69" s="644"/>
      <c r="AF69" s="644"/>
      <c r="AG69" s="643"/>
      <c r="AH69" s="628"/>
      <c r="GW69" s="640"/>
      <c r="HL69" s="624"/>
    </row>
    <row r="70" spans="1:220" ht="12" customHeight="1">
      <c r="A70" s="1496"/>
      <c r="B70" s="1496"/>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357"/>
      <c r="U70" s="1358"/>
      <c r="V70" s="645"/>
      <c r="W70" s="642"/>
      <c r="X70" s="646"/>
      <c r="Y70" s="642"/>
      <c r="Z70" s="643"/>
      <c r="AA70" s="644"/>
      <c r="AB70" s="644"/>
      <c r="AC70" s="644"/>
      <c r="AD70" s="644"/>
      <c r="AE70" s="644"/>
      <c r="AF70" s="644"/>
      <c r="AG70" s="643"/>
      <c r="AH70" s="628"/>
      <c r="GW70" s="640"/>
      <c r="HL70" s="624"/>
    </row>
    <row r="71" spans="1:220" ht="12" customHeight="1">
      <c r="A71" s="1496"/>
      <c r="B71" s="1496"/>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496"/>
      <c r="B72" s="1496"/>
      <c r="C72" s="1"/>
      <c r="D72" s="1"/>
      <c r="E72" s="124" t="s">
        <v>3024</v>
      </c>
      <c r="F72" s="1"/>
      <c r="G72" s="44" t="s">
        <v>1875</v>
      </c>
      <c r="H72" s="343">
        <f>DC48</f>
        <v>0</v>
      </c>
      <c r="I72" s="343">
        <f>DD48</f>
        <v>14</v>
      </c>
      <c r="J72" s="343">
        <f>DE48</f>
        <v>56</v>
      </c>
      <c r="K72" s="343">
        <f>DF48</f>
        <v>0</v>
      </c>
      <c r="L72" s="343">
        <f>DG48</f>
        <v>0</v>
      </c>
      <c r="M72" s="343">
        <f t="shared" ref="M72:M82" si="213">SUM(H72:L72)</f>
        <v>70</v>
      </c>
      <c r="N72" s="31"/>
      <c r="O72" s="99"/>
      <c r="Q72" s="538">
        <f t="shared" ref="Q72:Q80" si="214">ABS(M72-AF72)</f>
        <v>70</v>
      </c>
      <c r="R72" s="538"/>
      <c r="S72" s="538"/>
      <c r="T72" s="1353"/>
      <c r="U72" s="1354"/>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496"/>
      <c r="B73" s="1496"/>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355"/>
      <c r="U73" s="1356"/>
      <c r="V73" s="642"/>
      <c r="W73" s="642"/>
      <c r="X73" s="646"/>
      <c r="Y73" s="642"/>
      <c r="Z73" s="643"/>
      <c r="AA73" s="644"/>
      <c r="AB73" s="644"/>
      <c r="AC73" s="644"/>
      <c r="AD73" s="644"/>
      <c r="AE73" s="644"/>
      <c r="AF73" s="644"/>
      <c r="AG73" s="623"/>
      <c r="AH73" s="628"/>
      <c r="GW73" s="640"/>
      <c r="HL73" s="624"/>
    </row>
    <row r="74" spans="1:220" ht="12" customHeight="1">
      <c r="A74" s="1496"/>
      <c r="B74" s="1496"/>
      <c r="C74" s="5"/>
      <c r="D74" s="1"/>
      <c r="E74" s="131"/>
      <c r="F74" s="1"/>
      <c r="G74" s="44" t="s">
        <v>33</v>
      </c>
      <c r="H74" s="345">
        <f>SUM(H72:H73)+DM48</f>
        <v>0</v>
      </c>
      <c r="I74" s="345">
        <f>SUM(I72:I73)+DN48</f>
        <v>14</v>
      </c>
      <c r="J74" s="345">
        <f>SUM(J72:J73)+DO48</f>
        <v>56</v>
      </c>
      <c r="K74" s="345">
        <f>SUM(K72:K73)+DP48</f>
        <v>0</v>
      </c>
      <c r="L74" s="345">
        <f>SUM(L72:L73)+DQ48</f>
        <v>0</v>
      </c>
      <c r="M74" s="345">
        <f t="shared" si="213"/>
        <v>70</v>
      </c>
      <c r="N74" s="61"/>
      <c r="O74" s="99"/>
      <c r="Q74" s="538">
        <f t="shared" si="214"/>
        <v>70</v>
      </c>
      <c r="R74" s="538"/>
      <c r="S74" s="538"/>
      <c r="T74" s="1355"/>
      <c r="U74" s="1356"/>
      <c r="V74" s="645"/>
      <c r="W74" s="642"/>
      <c r="X74" s="646"/>
      <c r="Y74" s="642"/>
      <c r="Z74" s="647"/>
      <c r="AA74" s="644"/>
      <c r="AB74" s="644"/>
      <c r="AC74" s="644"/>
      <c r="AD74" s="644"/>
      <c r="AE74" s="644"/>
      <c r="AF74" s="644"/>
      <c r="AG74" s="643"/>
      <c r="AH74" s="628"/>
      <c r="GW74" s="640"/>
      <c r="HL74" s="624"/>
    </row>
    <row r="75" spans="1:220" ht="12" customHeight="1">
      <c r="A75" s="1496"/>
      <c r="B75" s="1496"/>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355"/>
      <c r="U75" s="1356"/>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355"/>
      <c r="U76" s="1356"/>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355"/>
      <c r="U77" s="1356"/>
      <c r="V77" s="645"/>
      <c r="W77" s="642"/>
      <c r="X77" s="646"/>
      <c r="Y77" s="642"/>
      <c r="Z77" s="647"/>
      <c r="AA77" s="644"/>
      <c r="AB77" s="644"/>
      <c r="AC77" s="644"/>
      <c r="AD77" s="644"/>
      <c r="AE77" s="644"/>
      <c r="AF77" s="644"/>
      <c r="AG77" s="643"/>
      <c r="AH77" s="628"/>
      <c r="GW77" s="640"/>
      <c r="HL77" s="624"/>
    </row>
    <row r="78" spans="1:220" ht="12" customHeight="1">
      <c r="C78" s="1"/>
      <c r="D78" s="1"/>
      <c r="E78" s="1493" t="s">
        <v>1860</v>
      </c>
      <c r="F78" s="1493"/>
      <c r="G78" s="44" t="s">
        <v>1875</v>
      </c>
      <c r="H78" s="343">
        <f>EG48</f>
        <v>0</v>
      </c>
      <c r="I78" s="343">
        <f>EH48</f>
        <v>0</v>
      </c>
      <c r="J78" s="343">
        <f>EI48</f>
        <v>0</v>
      </c>
      <c r="K78" s="343">
        <f>EJ48</f>
        <v>0</v>
      </c>
      <c r="L78" s="343">
        <f>EK48</f>
        <v>0</v>
      </c>
      <c r="M78" s="343">
        <f t="shared" si="213"/>
        <v>0</v>
      </c>
      <c r="N78" s="31"/>
      <c r="O78" s="99"/>
      <c r="Q78" s="538">
        <f t="shared" si="214"/>
        <v>0</v>
      </c>
      <c r="R78" s="538"/>
      <c r="S78" s="538"/>
      <c r="T78" s="1355"/>
      <c r="U78" s="1356"/>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493"/>
      <c r="F79" s="1493"/>
      <c r="G79" s="44" t="s">
        <v>333</v>
      </c>
      <c r="H79" s="347">
        <f>EL48</f>
        <v>0</v>
      </c>
      <c r="I79" s="347">
        <f>EM48</f>
        <v>0</v>
      </c>
      <c r="J79" s="347">
        <f>EN48</f>
        <v>0</v>
      </c>
      <c r="K79" s="347">
        <f>EO48</f>
        <v>0</v>
      </c>
      <c r="L79" s="347">
        <f>EP48</f>
        <v>0</v>
      </c>
      <c r="M79" s="347">
        <f t="shared" si="213"/>
        <v>0</v>
      </c>
      <c r="N79" s="64"/>
      <c r="O79" s="99"/>
      <c r="Q79" s="538">
        <f t="shared" si="214"/>
        <v>0</v>
      </c>
      <c r="R79" s="538"/>
      <c r="S79" s="538"/>
      <c r="T79" s="1355"/>
      <c r="U79" s="1356"/>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355"/>
      <c r="U80" s="1356"/>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960"/>
      <c r="I81" s="960"/>
      <c r="J81" s="960"/>
      <c r="K81" s="960"/>
      <c r="L81" s="960"/>
      <c r="M81" s="343">
        <f t="shared" si="213"/>
        <v>0</v>
      </c>
      <c r="N81" s="31"/>
      <c r="O81" s="99"/>
      <c r="T81" s="1355"/>
      <c r="U81" s="1356"/>
      <c r="V81" s="642"/>
      <c r="W81" s="642"/>
      <c r="X81" s="642"/>
      <c r="Y81" s="642"/>
      <c r="Z81" s="643"/>
      <c r="AA81" s="644"/>
      <c r="AB81" s="644"/>
      <c r="AC81" s="644"/>
      <c r="AD81" s="644"/>
      <c r="AE81" s="644"/>
      <c r="AF81" s="644"/>
      <c r="AG81" s="623"/>
      <c r="AH81" s="628"/>
      <c r="GW81" s="640"/>
      <c r="HL81" s="624"/>
    </row>
    <row r="82" spans="1:220" ht="12" customHeight="1">
      <c r="A82" s="1509" t="str">
        <f>IF(AND('Part IV-Uses of Funds'!$T$162="Yes",'Part IX A-Scoring Criteria'!$O$240&gt;0,M82&lt;1),"SHOW HISTORIC UNITS HERE &gt;&gt;&gt;&gt;","")</f>
        <v/>
      </c>
      <c r="B82" s="1509"/>
      <c r="C82" s="1509"/>
      <c r="D82" s="1509"/>
      <c r="E82" s="752" t="s">
        <v>400</v>
      </c>
      <c r="F82" s="1"/>
      <c r="G82" s="44"/>
      <c r="H82" s="961"/>
      <c r="I82" s="961"/>
      <c r="J82" s="961"/>
      <c r="K82" s="961"/>
      <c r="L82" s="961"/>
      <c r="M82" s="347">
        <f t="shared" si="213"/>
        <v>0</v>
      </c>
      <c r="N82" s="64"/>
      <c r="O82" s="99"/>
      <c r="T82" s="1357"/>
      <c r="U82" s="1358"/>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14</v>
      </c>
      <c r="J84" s="343">
        <f>SUM(J85:J88)</f>
        <v>56</v>
      </c>
      <c r="K84" s="343">
        <f>SUM(K85:K88)</f>
        <v>0</v>
      </c>
      <c r="L84" s="343">
        <f>SUM(L85:L88)</f>
        <v>0</v>
      </c>
      <c r="M84" s="343">
        <f t="shared" ref="M84:M92" si="215">SUM(H84:L84)</f>
        <v>70</v>
      </c>
      <c r="N84" s="31"/>
      <c r="O84" s="99"/>
      <c r="Q84" s="538">
        <f>ABS(M84-AF84)</f>
        <v>70</v>
      </c>
      <c r="R84" s="538"/>
      <c r="S84" s="538"/>
      <c r="T84" s="1353"/>
      <c r="U84" s="1354"/>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355"/>
      <c r="U85" s="1356"/>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355"/>
      <c r="U86" s="1356"/>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355"/>
      <c r="U87" s="1356"/>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14</v>
      </c>
      <c r="J88" s="346">
        <f>GL48</f>
        <v>56</v>
      </c>
      <c r="K88" s="346">
        <f>GM48</f>
        <v>0</v>
      </c>
      <c r="L88" s="346">
        <f>GN48</f>
        <v>0</v>
      </c>
      <c r="M88" s="346">
        <f t="shared" si="215"/>
        <v>70</v>
      </c>
      <c r="N88" s="31"/>
      <c r="O88" s="99"/>
      <c r="Q88" s="538"/>
      <c r="R88" s="538"/>
      <c r="S88" s="538"/>
      <c r="T88" s="1355"/>
      <c r="U88" s="1356"/>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355"/>
      <c r="U89" s="1356"/>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355"/>
      <c r="U90" s="1356"/>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355"/>
      <c r="U91" s="1356"/>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357"/>
      <c r="U92" s="1358"/>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7500</v>
      </c>
      <c r="J94" s="201">
        <f>CA48</f>
        <v>44650</v>
      </c>
      <c r="K94" s="201">
        <f>CB48</f>
        <v>0</v>
      </c>
      <c r="L94" s="201">
        <f>CC48</f>
        <v>0</v>
      </c>
      <c r="M94" s="201">
        <f t="shared" ref="M94:M100" si="216">SUM(H94:L94)</f>
        <v>52150</v>
      </c>
      <c r="O94" s="99"/>
      <c r="Q94" s="538">
        <f t="shared" ref="Q94:Q100" si="217">ABS(M94-AF94)</f>
        <v>52150</v>
      </c>
      <c r="R94" s="538"/>
      <c r="S94" s="538"/>
      <c r="T94" s="1353"/>
      <c r="U94" s="1354"/>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3000</v>
      </c>
      <c r="J95" s="203">
        <f>CF48</f>
        <v>8550</v>
      </c>
      <c r="K95" s="203">
        <f>CG48</f>
        <v>0</v>
      </c>
      <c r="L95" s="203">
        <f>CH48</f>
        <v>0</v>
      </c>
      <c r="M95" s="203">
        <f t="shared" si="216"/>
        <v>11550</v>
      </c>
      <c r="N95" s="6"/>
      <c r="O95" s="99"/>
      <c r="Q95" s="538">
        <f t="shared" si="217"/>
        <v>11550</v>
      </c>
      <c r="R95" s="538"/>
      <c r="S95" s="538"/>
      <c r="T95" s="1355"/>
      <c r="U95" s="1356"/>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10500</v>
      </c>
      <c r="J96" s="200">
        <f>SUM(J94:J95)</f>
        <v>53200</v>
      </c>
      <c r="K96" s="200">
        <f>SUM(K94:K95)</f>
        <v>0</v>
      </c>
      <c r="L96" s="200">
        <f>SUM(L94:L95)</f>
        <v>0</v>
      </c>
      <c r="M96" s="200">
        <f t="shared" si="216"/>
        <v>63700</v>
      </c>
      <c r="N96" s="6"/>
      <c r="O96" s="99"/>
      <c r="Q96" s="538">
        <f t="shared" si="217"/>
        <v>63700</v>
      </c>
      <c r="R96" s="538"/>
      <c r="S96" s="538"/>
      <c r="T96" s="1355"/>
      <c r="U96" s="1356"/>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355"/>
      <c r="U97" s="1356"/>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10500</v>
      </c>
      <c r="J98" s="200">
        <f>SUM(J96:J97)</f>
        <v>53200</v>
      </c>
      <c r="K98" s="200">
        <f>SUM(K96:K97)</f>
        <v>0</v>
      </c>
      <c r="L98" s="200">
        <f>SUM(L96:L97)</f>
        <v>0</v>
      </c>
      <c r="M98" s="200">
        <f t="shared" si="216"/>
        <v>63700</v>
      </c>
      <c r="O98" s="99"/>
      <c r="Q98" s="538">
        <f t="shared" si="217"/>
        <v>63700</v>
      </c>
      <c r="R98" s="538"/>
      <c r="S98" s="538"/>
      <c r="T98" s="1355"/>
      <c r="U98" s="1356"/>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355"/>
      <c r="U99" s="1356"/>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10500</v>
      </c>
      <c r="J100" s="200">
        <f>SUM(J98:J99)</f>
        <v>53200</v>
      </c>
      <c r="K100" s="200">
        <f>SUM(K98:K99)</f>
        <v>0</v>
      </c>
      <c r="L100" s="200">
        <f>SUM(L98:L99)</f>
        <v>0</v>
      </c>
      <c r="M100" s="200">
        <f t="shared" si="216"/>
        <v>63700</v>
      </c>
      <c r="O100" s="99"/>
      <c r="Q100" s="538">
        <f t="shared" si="217"/>
        <v>63700</v>
      </c>
      <c r="R100" s="538"/>
      <c r="S100" s="538"/>
      <c r="T100" s="1357"/>
      <c r="U100" s="1358"/>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510">
        <f>'Part VII-Pro Forma'!B9*L49</f>
        <v>8045.28</v>
      </c>
      <c r="I104" s="1511"/>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962"/>
      <c r="H109" s="962"/>
      <c r="I109" s="962"/>
      <c r="J109" s="962"/>
      <c r="K109" s="963"/>
      <c r="L109" s="962"/>
      <c r="M109" s="962"/>
      <c r="N109" s="962"/>
      <c r="O109" s="962"/>
      <c r="P109" s="962"/>
      <c r="T109" s="1353"/>
      <c r="U109" s="1354"/>
    </row>
    <row r="110" spans="1:222" ht="15" customHeight="1">
      <c r="B110" s="9" t="s">
        <v>1046</v>
      </c>
      <c r="C110" s="1497"/>
      <c r="D110" s="1498"/>
      <c r="E110" s="1498"/>
      <c r="F110" s="1499"/>
      <c r="G110" s="964"/>
      <c r="H110" s="964"/>
      <c r="I110" s="964"/>
      <c r="J110" s="964"/>
      <c r="K110" s="965"/>
      <c r="L110" s="964"/>
      <c r="M110" s="964"/>
      <c r="N110" s="964"/>
      <c r="O110" s="964"/>
      <c r="P110" s="964"/>
      <c r="T110" s="1355"/>
      <c r="U110" s="1356"/>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357"/>
      <c r="U111" s="1358"/>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962"/>
      <c r="H114" s="962"/>
      <c r="I114" s="962"/>
      <c r="J114" s="962"/>
      <c r="K114" s="963"/>
      <c r="L114" s="962"/>
      <c r="M114" s="962"/>
      <c r="N114" s="962"/>
      <c r="O114" s="962"/>
      <c r="P114" s="962"/>
      <c r="T114" s="1355"/>
      <c r="U114" s="1356"/>
    </row>
    <row r="115" spans="2:21" ht="15" customHeight="1">
      <c r="B115" s="9" t="s">
        <v>1046</v>
      </c>
      <c r="C115" s="1497"/>
      <c r="D115" s="1498"/>
      <c r="E115" s="1498"/>
      <c r="F115" s="1499"/>
      <c r="G115" s="964"/>
      <c r="H115" s="964"/>
      <c r="I115" s="964"/>
      <c r="J115" s="964"/>
      <c r="K115" s="965"/>
      <c r="L115" s="964"/>
      <c r="M115" s="964"/>
      <c r="N115" s="964"/>
      <c r="O115" s="964"/>
      <c r="P115" s="964"/>
      <c r="T115" s="1355"/>
      <c r="U115" s="1356"/>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357"/>
      <c r="U116" s="1358"/>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962"/>
      <c r="H119" s="962"/>
      <c r="I119" s="962"/>
      <c r="J119" s="962"/>
      <c r="K119" s="963"/>
      <c r="L119" s="962"/>
      <c r="M119" s="962"/>
      <c r="N119" s="962"/>
      <c r="O119" s="962"/>
      <c r="P119" s="962"/>
      <c r="T119" s="1353"/>
      <c r="U119" s="1354"/>
    </row>
    <row r="120" spans="2:21" ht="15" customHeight="1">
      <c r="B120" s="9" t="s">
        <v>1046</v>
      </c>
      <c r="C120" s="1497"/>
      <c r="D120" s="1498"/>
      <c r="E120" s="1498"/>
      <c r="F120" s="1499"/>
      <c r="G120" s="964"/>
      <c r="H120" s="964"/>
      <c r="I120" s="964"/>
      <c r="J120" s="964"/>
      <c r="K120" s="965"/>
      <c r="L120" s="964"/>
      <c r="M120" s="964"/>
      <c r="N120" s="964"/>
      <c r="O120" s="964"/>
      <c r="P120" s="964"/>
      <c r="T120" s="1355"/>
      <c r="U120" s="1356"/>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357"/>
      <c r="U121" s="1358"/>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962"/>
      <c r="H124" s="962"/>
      <c r="I124" s="962"/>
      <c r="J124" s="962"/>
      <c r="K124" s="963"/>
      <c r="L124" s="962"/>
      <c r="M124" s="962"/>
      <c r="N124" s="962"/>
      <c r="O124" s="962"/>
      <c r="P124" s="962"/>
      <c r="T124" s="1355"/>
      <c r="U124" s="1356"/>
    </row>
    <row r="125" spans="2:21" ht="15" customHeight="1">
      <c r="B125" s="9" t="s">
        <v>1046</v>
      </c>
      <c r="C125" s="1497"/>
      <c r="D125" s="1498"/>
      <c r="E125" s="1498"/>
      <c r="F125" s="1499"/>
      <c r="G125" s="964"/>
      <c r="H125" s="964"/>
      <c r="I125" s="964"/>
      <c r="J125" s="964"/>
      <c r="K125" s="965"/>
      <c r="L125" s="964"/>
      <c r="M125" s="964"/>
      <c r="N125" s="964"/>
      <c r="O125" s="964"/>
      <c r="P125" s="964"/>
      <c r="T125" s="1355"/>
      <c r="U125" s="1356"/>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357"/>
      <c r="U126" s="1358"/>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962"/>
      <c r="H129" s="962"/>
      <c r="I129" s="962"/>
      <c r="J129" s="962"/>
      <c r="K129" s="963"/>
      <c r="L129" s="962"/>
      <c r="M129" s="962"/>
      <c r="N129" s="962"/>
      <c r="O129" s="962"/>
      <c r="P129" s="962"/>
      <c r="T129" s="1353"/>
      <c r="U129" s="1354"/>
    </row>
    <row r="130" spans="1:255" ht="15" customHeight="1">
      <c r="B130" s="9" t="s">
        <v>1046</v>
      </c>
      <c r="C130" s="1497"/>
      <c r="D130" s="1498"/>
      <c r="E130" s="1498"/>
      <c r="F130" s="1499"/>
      <c r="G130" s="964"/>
      <c r="H130" s="964"/>
      <c r="I130" s="964"/>
      <c r="J130" s="964"/>
      <c r="K130" s="965"/>
      <c r="L130" s="964"/>
      <c r="M130" s="964"/>
      <c r="N130" s="964"/>
      <c r="O130" s="964"/>
      <c r="P130" s="964"/>
      <c r="T130" s="1355"/>
      <c r="U130" s="1356"/>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357"/>
      <c r="U131" s="1358"/>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962"/>
      <c r="H134" s="962"/>
      <c r="I134" s="962"/>
      <c r="J134" s="962"/>
      <c r="K134" s="963"/>
      <c r="L134" s="962"/>
      <c r="M134" s="962"/>
      <c r="N134" s="962"/>
      <c r="O134" s="962"/>
      <c r="P134" s="962"/>
      <c r="T134" s="1355"/>
      <c r="U134" s="1356"/>
    </row>
    <row r="135" spans="1:255" ht="15" customHeight="1">
      <c r="B135" s="9" t="s">
        <v>1046</v>
      </c>
      <c r="C135" s="1497"/>
      <c r="D135" s="1498"/>
      <c r="E135" s="1498"/>
      <c r="F135" s="1499"/>
      <c r="G135" s="964"/>
      <c r="H135" s="964"/>
      <c r="I135" s="964"/>
      <c r="J135" s="964"/>
      <c r="K135" s="965"/>
      <c r="L135" s="964"/>
      <c r="M135" s="964"/>
      <c r="N135" s="964"/>
      <c r="O135" s="964"/>
      <c r="P135" s="964"/>
      <c r="T135" s="1355"/>
      <c r="U135" s="1356"/>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357"/>
      <c r="U136" s="1358"/>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513" t="s">
        <v>2549</v>
      </c>
      <c r="U139" s="1513"/>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353"/>
      <c r="U140" s="1354"/>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475">
        <v>42000</v>
      </c>
      <c r="G141" s="1476"/>
      <c r="H141" s="1"/>
      <c r="I141" s="1" t="s">
        <v>1813</v>
      </c>
      <c r="J141" s="1"/>
      <c r="K141" s="1475"/>
      <c r="L141" s="1476"/>
      <c r="M141" s="1"/>
      <c r="N141" s="1" t="s">
        <v>1325</v>
      </c>
      <c r="O141" s="1"/>
      <c r="P141" s="966">
        <v>96890</v>
      </c>
      <c r="T141" s="1355"/>
      <c r="U141" s="1356"/>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475">
        <v>30000</v>
      </c>
      <c r="G142" s="1476"/>
      <c r="H142" s="1"/>
      <c r="I142" s="1" t="s">
        <v>1814</v>
      </c>
      <c r="J142" s="1"/>
      <c r="K142" s="1475">
        <v>500</v>
      </c>
      <c r="L142" s="1476"/>
      <c r="M142" s="1"/>
      <c r="N142" s="1" t="s">
        <v>161</v>
      </c>
      <c r="O142" s="1"/>
      <c r="P142" s="966">
        <v>15314</v>
      </c>
      <c r="T142" s="1355"/>
      <c r="U142" s="1356"/>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475">
        <v>5000</v>
      </c>
      <c r="G143" s="1476"/>
      <c r="H143" s="1"/>
      <c r="I143" s="1"/>
      <c r="J143" s="151" t="s">
        <v>209</v>
      </c>
      <c r="K143" s="1491">
        <f>SUM(K141:L142)</f>
        <v>500</v>
      </c>
      <c r="L143" s="1492"/>
      <c r="M143" s="1"/>
      <c r="N143" s="1487" t="s">
        <v>4099</v>
      </c>
      <c r="O143" s="1488"/>
      <c r="P143" s="967">
        <v>1000</v>
      </c>
      <c r="T143" s="1355"/>
      <c r="U143" s="1356"/>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472" t="s">
        <v>55</v>
      </c>
      <c r="C144" s="1473"/>
      <c r="D144" s="1473"/>
      <c r="E144" s="1474"/>
      <c r="F144" s="1479"/>
      <c r="G144" s="1480"/>
      <c r="H144" s="1"/>
      <c r="I144" s="1"/>
      <c r="J144" s="1"/>
      <c r="K144" s="1"/>
      <c r="L144" s="1"/>
      <c r="M144" s="1"/>
      <c r="N144" s="13" t="s">
        <v>209</v>
      </c>
      <c r="O144" s="1"/>
      <c r="P144" s="534">
        <f>SUM(P141:P143)</f>
        <v>113204</v>
      </c>
      <c r="T144" s="1355"/>
      <c r="U144" s="1356"/>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491">
        <f>SUM(F141:G144)</f>
        <v>77000</v>
      </c>
      <c r="G145" s="1492"/>
      <c r="H145" s="1"/>
      <c r="I145" s="1"/>
      <c r="J145" s="14"/>
      <c r="K145" s="1"/>
      <c r="L145" s="1"/>
      <c r="M145" s="1"/>
      <c r="N145" s="1"/>
      <c r="O145" s="1"/>
      <c r="P145" s="1"/>
      <c r="T145" s="1355"/>
      <c r="U145" s="1356"/>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355"/>
      <c r="U146" s="1356"/>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19079</v>
      </c>
      <c r="T147" s="1355"/>
      <c r="U147" s="1356"/>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475">
        <v>4000</v>
      </c>
      <c r="G148" s="1476"/>
      <c r="H148" s="1"/>
      <c r="I148" s="1" t="s">
        <v>2067</v>
      </c>
      <c r="J148" s="1"/>
      <c r="K148" s="1485">
        <v>1000</v>
      </c>
      <c r="L148" s="1486"/>
      <c r="M148" s="1"/>
      <c r="N148" s="515">
        <f>+P147/(M62*0.93)</f>
        <v>293.07219662058367</v>
      </c>
      <c r="O148" s="30" t="s">
        <v>3941</v>
      </c>
      <c r="P148" s="1"/>
      <c r="T148" s="1355"/>
      <c r="U148" s="1356"/>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475">
        <v>3000</v>
      </c>
      <c r="G149" s="1476"/>
      <c r="H149" s="1"/>
      <c r="I149" s="1" t="s">
        <v>2763</v>
      </c>
      <c r="J149" s="1"/>
      <c r="K149" s="1483">
        <v>3500</v>
      </c>
      <c r="L149" s="1484"/>
      <c r="M149" s="1"/>
      <c r="N149" s="515">
        <f>+P147/(M62*0.93)/12</f>
        <v>24.422683051715307</v>
      </c>
      <c r="O149" s="30" t="s">
        <v>3944</v>
      </c>
      <c r="P149" s="1"/>
      <c r="T149" s="1355"/>
      <c r="U149" s="1356"/>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475">
        <v>1000</v>
      </c>
      <c r="G150" s="1476"/>
      <c r="H150" s="1"/>
      <c r="I150" s="1" t="s">
        <v>2068</v>
      </c>
      <c r="J150" s="1"/>
      <c r="K150" s="1483">
        <v>1000</v>
      </c>
      <c r="L150" s="1484"/>
      <c r="M150" s="1"/>
      <c r="N150" s="1"/>
      <c r="O150" s="1"/>
      <c r="P150" s="1"/>
      <c r="T150" s="1355"/>
      <c r="U150" s="1356"/>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475"/>
      <c r="G151" s="1476"/>
      <c r="H151" s="1"/>
      <c r="I151" s="1487" t="s">
        <v>55</v>
      </c>
      <c r="J151" s="1488"/>
      <c r="K151" s="1485"/>
      <c r="L151" s="1486"/>
      <c r="M151" s="1"/>
      <c r="N151" s="1470" t="s">
        <v>3242</v>
      </c>
      <c r="O151" s="1471"/>
      <c r="P151" s="1471"/>
      <c r="T151" s="1355"/>
      <c r="U151" s="1356"/>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475">
        <v>1200</v>
      </c>
      <c r="G152" s="1476"/>
      <c r="H152" s="1"/>
      <c r="I152" s="11"/>
      <c r="J152" s="13" t="s">
        <v>209</v>
      </c>
      <c r="K152" s="1481">
        <f>SUM(K148:K151)</f>
        <v>5500</v>
      </c>
      <c r="L152" s="1482"/>
      <c r="M152" s="1"/>
      <c r="N152" s="1471"/>
      <c r="O152" s="1471"/>
      <c r="P152" s="1471"/>
      <c r="T152" s="1357"/>
      <c r="U152" s="1358"/>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472" t="s">
        <v>4100</v>
      </c>
      <c r="C153" s="1473"/>
      <c r="D153" s="1473"/>
      <c r="E153" s="1474"/>
      <c r="F153" s="1479">
        <v>1000</v>
      </c>
      <c r="G153" s="1480"/>
      <c r="H153" s="1"/>
      <c r="I153" s="1"/>
      <c r="J153" s="14"/>
      <c r="K153" s="1"/>
      <c r="L153" s="1"/>
      <c r="M153" s="1"/>
      <c r="N153" s="1"/>
      <c r="O153" s="1"/>
      <c r="P153" s="1"/>
      <c r="T153" s="1353"/>
      <c r="U153" s="1354"/>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491">
        <f>SUM(F148:G153)</f>
        <v>10200</v>
      </c>
      <c r="G154" s="1492"/>
      <c r="H154" s="1"/>
      <c r="I154" s="1"/>
      <c r="J154" s="14"/>
      <c r="K154" s="1"/>
      <c r="L154" s="1"/>
      <c r="M154" s="1"/>
      <c r="N154" s="1"/>
      <c r="O154" s="1"/>
      <c r="P154" s="1"/>
      <c r="T154" s="1355"/>
      <c r="U154" s="1356"/>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355"/>
      <c r="U155" s="1356"/>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355"/>
      <c r="U156" s="1356"/>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489">
        <v>3000</v>
      </c>
      <c r="G157" s="1490"/>
      <c r="H157" s="1"/>
      <c r="I157" s="1" t="s">
        <v>1803</v>
      </c>
      <c r="J157" s="770">
        <f>K157/12/M62</f>
        <v>14.285714285714286</v>
      </c>
      <c r="K157" s="1483">
        <v>12000</v>
      </c>
      <c r="L157" s="1484"/>
      <c r="M157" s="1"/>
      <c r="N157" s="771">
        <f>+P157/M62</f>
        <v>4000</v>
      </c>
      <c r="O157" s="30" t="s">
        <v>3945</v>
      </c>
      <c r="P157" s="532">
        <f>F145+F154+F165+K143+K152+K162+P144+P147</f>
        <v>280000</v>
      </c>
      <c r="T157" s="1355"/>
      <c r="U157" s="1356"/>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489">
        <v>5017</v>
      </c>
      <c r="G158" s="1490"/>
      <c r="H158" s="1"/>
      <c r="I158" s="1" t="s">
        <v>1804</v>
      </c>
      <c r="J158" s="770">
        <f>K158/12/M62</f>
        <v>0</v>
      </c>
      <c r="K158" s="1483"/>
      <c r="L158" s="1484"/>
      <c r="M158" s="1"/>
      <c r="N158" s="1"/>
      <c r="O158" s="1"/>
      <c r="P158" s="1"/>
      <c r="T158" s="1355"/>
      <c r="U158" s="1356"/>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489">
        <v>6000</v>
      </c>
      <c r="G159" s="1490"/>
      <c r="H159" s="1"/>
      <c r="I159" s="1" t="s">
        <v>3106</v>
      </c>
      <c r="J159" s="770">
        <f>K159/12/M62</f>
        <v>4.7619047619047619</v>
      </c>
      <c r="K159" s="1483">
        <v>4000</v>
      </c>
      <c r="L159" s="1484"/>
      <c r="M159" s="1"/>
      <c r="N159" s="1"/>
      <c r="O159" s="1"/>
      <c r="P159" s="1"/>
      <c r="T159" s="1355"/>
      <c r="U159" s="1356"/>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475">
        <v>5000</v>
      </c>
      <c r="G160" s="1476"/>
      <c r="H160" s="1"/>
      <c r="I160" s="1" t="s">
        <v>1806</v>
      </c>
      <c r="J160" s="1"/>
      <c r="K160" s="1483">
        <v>8000</v>
      </c>
      <c r="L160" s="1484"/>
      <c r="M160" s="1"/>
      <c r="N160" s="11" t="s">
        <v>1667</v>
      </c>
      <c r="O160" s="11"/>
      <c r="P160" s="533">
        <f>P161*M62</f>
        <v>17500</v>
      </c>
      <c r="T160" s="1355"/>
      <c r="U160" s="1356"/>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475">
        <v>5000</v>
      </c>
      <c r="G161" s="1476"/>
      <c r="H161" s="1"/>
      <c r="I161" s="1487" t="s">
        <v>55</v>
      </c>
      <c r="J161" s="1488"/>
      <c r="K161" s="1485"/>
      <c r="L161" s="1486"/>
      <c r="M161" s="1"/>
      <c r="N161" s="30" t="s">
        <v>592</v>
      </c>
      <c r="O161" s="1"/>
      <c r="P161" s="968">
        <v>250</v>
      </c>
      <c r="T161" s="1355"/>
      <c r="U161" s="1356"/>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475">
        <v>4500</v>
      </c>
      <c r="G162" s="1476"/>
      <c r="H162" s="1"/>
      <c r="I162" s="1"/>
      <c r="J162" s="13" t="s">
        <v>209</v>
      </c>
      <c r="K162" s="1481">
        <f>SUM(K157:K161)</f>
        <v>24000</v>
      </c>
      <c r="L162" s="1482"/>
      <c r="M162" s="1"/>
      <c r="N162" s="1"/>
      <c r="O162" s="1"/>
      <c r="T162" s="1355"/>
      <c r="U162" s="1356"/>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475">
        <v>2000</v>
      </c>
      <c r="G163" s="1476"/>
      <c r="H163" s="1"/>
      <c r="I163" s="1"/>
      <c r="J163" s="14"/>
      <c r="K163" s="1"/>
      <c r="L163" s="1"/>
      <c r="M163" s="1"/>
      <c r="N163" s="1"/>
      <c r="O163" s="1"/>
      <c r="T163" s="1355"/>
      <c r="U163" s="1356"/>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472" t="s">
        <v>55</v>
      </c>
      <c r="C164" s="1473"/>
      <c r="D164" s="1473"/>
      <c r="E164" s="1474"/>
      <c r="F164" s="1479"/>
      <c r="G164" s="1480"/>
      <c r="H164" s="1"/>
      <c r="I164" s="1"/>
      <c r="J164" s="14"/>
      <c r="K164" s="1"/>
      <c r="L164" s="1"/>
      <c r="M164" s="1"/>
      <c r="N164" s="11" t="s">
        <v>2906</v>
      </c>
      <c r="O164" s="11"/>
      <c r="P164" s="11"/>
      <c r="T164" s="1355"/>
      <c r="U164" s="1356"/>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477">
        <f>SUM(F157:G164)</f>
        <v>30517</v>
      </c>
      <c r="G165" s="1478"/>
      <c r="H165" s="1"/>
      <c r="I165" s="1"/>
      <c r="J165" s="14"/>
      <c r="K165" s="1"/>
      <c r="L165" s="1"/>
      <c r="M165" s="1"/>
      <c r="N165" s="1"/>
      <c r="O165" s="1"/>
      <c r="P165" s="532">
        <f>P157+P160</f>
        <v>297500</v>
      </c>
      <c r="T165" s="1357"/>
      <c r="U165" s="1358"/>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108" t="s">
        <v>4158</v>
      </c>
      <c r="B168" s="1109"/>
      <c r="C168" s="1109"/>
      <c r="D168" s="1109"/>
      <c r="E168" s="1109"/>
      <c r="F168" s="1109"/>
      <c r="G168" s="1109"/>
      <c r="H168" s="1109"/>
      <c r="I168" s="1109"/>
      <c r="J168" s="1110"/>
      <c r="K168" s="1111"/>
      <c r="L168" s="1112"/>
      <c r="M168" s="1112"/>
      <c r="N168" s="1112"/>
      <c r="O168" s="1112"/>
      <c r="P168" s="1113"/>
      <c r="T168" s="1314" t="s">
        <v>3596</v>
      </c>
      <c r="U168" s="13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518" t="str">
        <f>CONCATENATE("PART SEVEN - OPERATING PRO FORMA","  -  ",'Part I-Project Information'!$O$4," ",'Part I-Project Information'!$F$23,", ",'Part I-Project Information'!F26,", ",'Part I-Project Information'!J27," County")</f>
        <v>PART SEVEN - OPERATING PRO FORMA  -  2013-035 North Lake Senior Village, LP, Columbus, Muscogee County</v>
      </c>
      <c r="B1" s="1519"/>
      <c r="C1" s="1519"/>
      <c r="D1" s="1519"/>
      <c r="E1" s="1519"/>
      <c r="F1" s="1519"/>
      <c r="G1" s="1519"/>
      <c r="H1" s="1519"/>
      <c r="I1" s="1519"/>
      <c r="J1" s="1519"/>
      <c r="K1" s="1520"/>
      <c r="L1" s="11"/>
      <c r="M1" s="1516" t="str">
        <f>A1</f>
        <v>PART SEVEN - OPERATING PRO FORMA  -  2013-035 North Lake Senior Village, LP, Columbus, Muscogee County</v>
      </c>
      <c r="N1" s="1516"/>
      <c r="O1" s="11"/>
    </row>
    <row r="2" spans="1:15" ht="13.5" customHeight="1">
      <c r="A2" s="751"/>
      <c r="B2" s="751"/>
      <c r="C2" s="751"/>
      <c r="D2" s="751"/>
      <c r="E2" s="751"/>
      <c r="F2" s="751"/>
      <c r="G2" s="751"/>
      <c r="H2" s="751"/>
      <c r="I2" s="751"/>
      <c r="J2" s="751"/>
      <c r="K2" s="751"/>
      <c r="M2" s="1517" t="s">
        <v>2549</v>
      </c>
      <c r="N2" s="1517"/>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969">
        <v>4000</v>
      </c>
      <c r="H5" s="117" t="s">
        <v>2616</v>
      </c>
      <c r="K5" s="122">
        <f>IF(($B$14+$B$15+$B$16+$B$17)=0,"",-B28/($B$14+$B$15+$B$16+$B$17))</f>
        <v>1.0482520085378533E-2</v>
      </c>
      <c r="M5" s="1353"/>
      <c r="N5" s="1354"/>
    </row>
    <row r="6" spans="1:15">
      <c r="A6" s="19" t="s">
        <v>2908</v>
      </c>
      <c r="B6" s="94">
        <v>0.03</v>
      </c>
      <c r="C6" s="19"/>
      <c r="D6" s="19"/>
      <c r="E6" s="19"/>
      <c r="F6" s="19"/>
      <c r="G6" s="19"/>
      <c r="H6" s="19"/>
      <c r="I6" s="19"/>
      <c r="J6" s="19"/>
      <c r="K6" s="19"/>
      <c r="M6" s="1355"/>
      <c r="N6" s="1356"/>
    </row>
    <row r="7" spans="1:15">
      <c r="A7" s="19" t="s">
        <v>2910</v>
      </c>
      <c r="B7" s="94">
        <v>0.03</v>
      </c>
      <c r="C7" s="19"/>
      <c r="D7" s="96" t="s">
        <v>298</v>
      </c>
      <c r="G7" s="98"/>
      <c r="H7" s="117" t="s">
        <v>3131</v>
      </c>
      <c r="K7" s="122">
        <f>IF(($B$14+$B$15+$B$16+$B$17)=0,"",-B20/($B$14+$B$15+$B$16+$B$17))</f>
        <v>4.9999000177234257E-2</v>
      </c>
      <c r="M7" s="1355"/>
      <c r="N7" s="1356"/>
    </row>
    <row r="8" spans="1:15" ht="13.15" customHeight="1">
      <c r="A8" s="19" t="s">
        <v>2909</v>
      </c>
      <c r="B8" s="970">
        <v>7.0000000000000007E-2</v>
      </c>
      <c r="C8" s="19"/>
      <c r="D8" s="95" t="s">
        <v>3292</v>
      </c>
      <c r="G8" s="971" t="s">
        <v>4068</v>
      </c>
      <c r="H8" s="209" t="s">
        <v>1889</v>
      </c>
      <c r="K8" s="972">
        <v>19079</v>
      </c>
      <c r="M8" s="1355"/>
      <c r="N8" s="1356"/>
    </row>
    <row r="9" spans="1:15">
      <c r="A9" s="19" t="s">
        <v>1858</v>
      </c>
      <c r="B9" s="94">
        <v>0.02</v>
      </c>
      <c r="D9" s="95" t="s">
        <v>2410</v>
      </c>
      <c r="G9" s="971"/>
      <c r="H9" s="209" t="s">
        <v>3111</v>
      </c>
      <c r="K9" s="973"/>
      <c r="M9" s="1357"/>
      <c r="N9" s="1358"/>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97" t="s">
        <v>3424</v>
      </c>
      <c r="N13" s="1297"/>
    </row>
    <row r="14" spans="1:15" ht="13.15" customHeight="1">
      <c r="A14" s="21" t="s">
        <v>3167</v>
      </c>
      <c r="B14" s="22">
        <f>'Part VI-Revenues &amp; Expenses'!L49</f>
        <v>402264</v>
      </c>
      <c r="C14" s="22">
        <f t="shared" ref="C14:K14" si="1">$B$14*(1+$B$5)^(C13-1)</f>
        <v>410309.28</v>
      </c>
      <c r="D14" s="22">
        <f t="shared" si="1"/>
        <v>418515.4656</v>
      </c>
      <c r="E14" s="22">
        <f t="shared" si="1"/>
        <v>426885.77491199999</v>
      </c>
      <c r="F14" s="22">
        <f t="shared" si="1"/>
        <v>435423.49041024002</v>
      </c>
      <c r="G14" s="22">
        <f t="shared" si="1"/>
        <v>444131.96021844482</v>
      </c>
      <c r="H14" s="22">
        <f t="shared" si="1"/>
        <v>453014.59942281374</v>
      </c>
      <c r="I14" s="22">
        <f t="shared" si="1"/>
        <v>462074.8914112699</v>
      </c>
      <c r="J14" s="22">
        <f t="shared" si="1"/>
        <v>471316.38923949533</v>
      </c>
      <c r="K14" s="23">
        <f t="shared" si="1"/>
        <v>480742.71702428523</v>
      </c>
      <c r="M14" s="1353"/>
      <c r="N14" s="1354"/>
    </row>
    <row r="15" spans="1:15" ht="13.15" customHeight="1">
      <c r="A15" s="24" t="s">
        <v>1418</v>
      </c>
      <c r="B15" s="25">
        <f>MIN(B14*B9,'Part VI-Revenues &amp; Expenses'!H104)</f>
        <v>8045.28</v>
      </c>
      <c r="C15" s="25">
        <f t="shared" ref="C15:K15" si="2">$B$15*(1+$B$5)^(C13-1)</f>
        <v>8206.1856000000007</v>
      </c>
      <c r="D15" s="25">
        <f t="shared" si="2"/>
        <v>8370.3093119999994</v>
      </c>
      <c r="E15" s="25">
        <f t="shared" si="2"/>
        <v>8537.7154982399989</v>
      </c>
      <c r="F15" s="25">
        <f t="shared" si="2"/>
        <v>8708.4698082047998</v>
      </c>
      <c r="G15" s="25">
        <f t="shared" si="2"/>
        <v>8882.6392043688957</v>
      </c>
      <c r="H15" s="25">
        <f t="shared" si="2"/>
        <v>9060.2919884562743</v>
      </c>
      <c r="I15" s="25">
        <f t="shared" si="2"/>
        <v>9241.4978282253978</v>
      </c>
      <c r="J15" s="25">
        <f t="shared" si="2"/>
        <v>9426.3277847899062</v>
      </c>
      <c r="K15" s="26">
        <f t="shared" si="2"/>
        <v>9614.8543404857046</v>
      </c>
      <c r="M15" s="1355"/>
      <c r="N15" s="1356"/>
    </row>
    <row r="16" spans="1:15" ht="13.15" customHeight="1">
      <c r="A16" s="24" t="s">
        <v>3168</v>
      </c>
      <c r="B16" s="25">
        <f t="shared" ref="B16:K16" si="3">-(B14+B15)*$B$8</f>
        <v>-28721.649600000004</v>
      </c>
      <c r="C16" s="25">
        <f t="shared" si="3"/>
        <v>-29296.082592000006</v>
      </c>
      <c r="D16" s="25">
        <f t="shared" si="3"/>
        <v>-29882.004243840001</v>
      </c>
      <c r="E16" s="25">
        <f t="shared" si="3"/>
        <v>-30479.644328716804</v>
      </c>
      <c r="F16" s="25">
        <f t="shared" si="3"/>
        <v>-31089.237215291141</v>
      </c>
      <c r="G16" s="25">
        <f t="shared" si="3"/>
        <v>-31711.021959596961</v>
      </c>
      <c r="H16" s="25">
        <f t="shared" si="3"/>
        <v>-32345.242398788905</v>
      </c>
      <c r="I16" s="25">
        <f t="shared" si="3"/>
        <v>-32992.147246764674</v>
      </c>
      <c r="J16" s="25">
        <f t="shared" si="3"/>
        <v>-33651.990191699966</v>
      </c>
      <c r="K16" s="26">
        <f t="shared" si="3"/>
        <v>-34325.029995533965</v>
      </c>
      <c r="M16" s="1355"/>
      <c r="N16" s="1356"/>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355"/>
      <c r="N17" s="1356"/>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355"/>
      <c r="N18" s="1356"/>
    </row>
    <row r="19" spans="1:14" ht="13.15" customHeight="1">
      <c r="A19" s="24" t="s">
        <v>794</v>
      </c>
      <c r="B19" s="25">
        <f>-('Part VI-Revenues &amp; Expenses'!P157-'Part VI-Revenues &amp; Expenses'!P147)</f>
        <v>-260921</v>
      </c>
      <c r="C19" s="25">
        <f t="shared" ref="C19:K19" si="4">$B$19*(1+$B$6)^(C13-1)</f>
        <v>-268748.63</v>
      </c>
      <c r="D19" s="25">
        <f t="shared" si="4"/>
        <v>-276811.08889999997</v>
      </c>
      <c r="E19" s="25">
        <f t="shared" si="4"/>
        <v>-285115.42156699998</v>
      </c>
      <c r="F19" s="25">
        <f t="shared" si="4"/>
        <v>-293668.88421400997</v>
      </c>
      <c r="G19" s="25">
        <f t="shared" si="4"/>
        <v>-302478.95074043027</v>
      </c>
      <c r="H19" s="25">
        <f t="shared" si="4"/>
        <v>-311553.31926264317</v>
      </c>
      <c r="I19" s="25">
        <f t="shared" si="4"/>
        <v>-320899.91884052253</v>
      </c>
      <c r="J19" s="25">
        <f t="shared" si="4"/>
        <v>-330526.91640573816</v>
      </c>
      <c r="K19" s="26">
        <f t="shared" si="4"/>
        <v>-340442.72389791027</v>
      </c>
      <c r="M19" s="1355"/>
      <c r="N19" s="1356"/>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-19079</v>
      </c>
      <c r="C20" s="25">
        <f>IF(AND('Part VII-Pro Forma'!$G$8="Yes",'Part VII-Pro Forma'!$G$9="Yes"),"Choose One!",IF('Part VII-Pro Forma'!$G$8="Yes",ROUND((-$K$8*(1+'Part VII-Pro Forma'!$B$6)^('Part VII-Pro Forma'!C13-1)),),IF('Part VII-Pro Forma'!$G$9="Yes",ROUND((-(SUM(C14:C17)*'Part VII-Pro Forma'!$K$9)),),"Choose mgt fee")))</f>
        <v>-19651</v>
      </c>
      <c r="D20" s="25">
        <f>IF(AND('Part VII-Pro Forma'!$G$8="Yes",'Part VII-Pro Forma'!$G$9="Yes"),"Choose One!",IF('Part VII-Pro Forma'!$G$8="Yes",ROUND((-$K$8*(1+'Part VII-Pro Forma'!$B$6)^('Part VII-Pro Forma'!D13-1)),),IF('Part VII-Pro Forma'!$G$9="Yes",ROUND((-(SUM(D14:D17)*'Part VII-Pro Forma'!$K$9)),),"Choose mgt fee")))</f>
        <v>-20241</v>
      </c>
      <c r="E20" s="25">
        <f>IF(AND('Part VII-Pro Forma'!$G$8="Yes",'Part VII-Pro Forma'!$G$9="Yes"),"Choose One!",IF('Part VII-Pro Forma'!$G$8="Yes",ROUND((-$K$8*(1+'Part VII-Pro Forma'!$B$6)^('Part VII-Pro Forma'!E13-1)),),IF('Part VII-Pro Forma'!$G$9="Yes",ROUND((-(SUM(E14:E17)*'Part VII-Pro Forma'!$K$9)),),"Choose mgt fee")))</f>
        <v>-20848</v>
      </c>
      <c r="F20" s="25">
        <f>IF(AND('Part VII-Pro Forma'!$G$8="Yes",'Part VII-Pro Forma'!$G$9="Yes"),"Choose One!",IF('Part VII-Pro Forma'!$G$8="Yes",ROUND((-$K$8*(1+'Part VII-Pro Forma'!$B$6)^('Part VII-Pro Forma'!F13-1)),),IF('Part VII-Pro Forma'!$G$9="Yes",ROUND((-(SUM(F14:F17)*'Part VII-Pro Forma'!$K$9)),),"Choose mgt fee")))</f>
        <v>-21474</v>
      </c>
      <c r="G20" s="25">
        <f>IF(AND('Part VII-Pro Forma'!$G$8="Yes",'Part VII-Pro Forma'!$G$9="Yes"),"Choose One!",IF('Part VII-Pro Forma'!$G$8="Yes",ROUND((-$K$8*(1+'Part VII-Pro Forma'!$B$6)^('Part VII-Pro Forma'!G13-1)),),IF('Part VII-Pro Forma'!$G$9="Yes",ROUND((-(SUM(G14:G17)*'Part VII-Pro Forma'!$K$9)),),"Choose mgt fee")))</f>
        <v>-22118</v>
      </c>
      <c r="H20" s="25">
        <f>IF(AND('Part VII-Pro Forma'!$G$8="Yes",'Part VII-Pro Forma'!$G$9="Yes"),"Choose One!",IF('Part VII-Pro Forma'!$G$8="Yes",ROUND((-$K$8*(1+'Part VII-Pro Forma'!$B$6)^('Part VII-Pro Forma'!H13-1)),),IF('Part VII-Pro Forma'!$G$9="Yes",ROUND((-(SUM(H14:H17)*'Part VII-Pro Forma'!$K$9)),),"Choose mgt fee")))</f>
        <v>-22781</v>
      </c>
      <c r="I20" s="25">
        <f>IF(AND('Part VII-Pro Forma'!$G$8="Yes",'Part VII-Pro Forma'!$G$9="Yes"),"Choose One!",IF('Part VII-Pro Forma'!$G$8="Yes",ROUND((-$K$8*(1+'Part VII-Pro Forma'!$B$6)^('Part VII-Pro Forma'!I13-1)),),IF('Part VII-Pro Forma'!$G$9="Yes",ROUND((-(SUM(I14:I17)*'Part VII-Pro Forma'!$K$9)),),"Choose mgt fee")))</f>
        <v>-23465</v>
      </c>
      <c r="J20" s="25">
        <f>IF(AND('Part VII-Pro Forma'!$G$8="Yes",'Part VII-Pro Forma'!$G$9="Yes"),"Choose One!",IF('Part VII-Pro Forma'!$G$8="Yes",ROUND((-$K$8*(1+'Part VII-Pro Forma'!$B$6)^('Part VII-Pro Forma'!J13-1)),),IF('Part VII-Pro Forma'!$G$9="Yes",ROUND((-(SUM(J14:J17)*'Part VII-Pro Forma'!$K$9)),),"Choose mgt fee")))</f>
        <v>-24169</v>
      </c>
      <c r="K20" s="25">
        <f>IF(AND('Part VII-Pro Forma'!$G$8="Yes",'Part VII-Pro Forma'!$G$9="Yes"),"Choose One!",IF('Part VII-Pro Forma'!$G$8="Yes",ROUND((-$K$8*(1+'Part VII-Pro Forma'!$B$6)^('Part VII-Pro Forma'!K13-1)),),IF('Part VII-Pro Forma'!$G$9="Yes",ROUND((-(SUM(K14:K17)*'Part VII-Pro Forma'!$K$9)),),"Choose mgt fee")))</f>
        <v>-24894</v>
      </c>
      <c r="M20" s="1355"/>
      <c r="N20" s="1356"/>
    </row>
    <row r="21" spans="1:14" ht="13.15" customHeight="1">
      <c r="A21" s="24" t="s">
        <v>1622</v>
      </c>
      <c r="B21" s="25">
        <f>-('Part VI-Revenues &amp; Expenses'!P160)</f>
        <v>-17500</v>
      </c>
      <c r="C21" s="25">
        <f t="shared" ref="C21:K21" si="5">$B$21*(1+$B$7)^(C13-1)</f>
        <v>-18025</v>
      </c>
      <c r="D21" s="25">
        <f t="shared" si="5"/>
        <v>-18565.75</v>
      </c>
      <c r="E21" s="25">
        <f t="shared" si="5"/>
        <v>-19122.7225</v>
      </c>
      <c r="F21" s="25">
        <f t="shared" si="5"/>
        <v>-19696.404175</v>
      </c>
      <c r="G21" s="25">
        <f t="shared" si="5"/>
        <v>-20287.296300249996</v>
      </c>
      <c r="H21" s="25">
        <f t="shared" si="5"/>
        <v>-20895.915189257499</v>
      </c>
      <c r="I21" s="25">
        <f t="shared" si="5"/>
        <v>-21522.792644935224</v>
      </c>
      <c r="J21" s="25">
        <f t="shared" si="5"/>
        <v>-22168.476424283279</v>
      </c>
      <c r="K21" s="26">
        <f t="shared" si="5"/>
        <v>-22833.530717011778</v>
      </c>
      <c r="M21" s="1355"/>
      <c r="N21" s="1356"/>
    </row>
    <row r="22" spans="1:14" ht="13.15" customHeight="1">
      <c r="A22" s="24" t="s">
        <v>1623</v>
      </c>
      <c r="B22" s="25">
        <f t="shared" ref="B22:K22" si="6">SUM(B14:B21)</f>
        <v>84087.630400000024</v>
      </c>
      <c r="C22" s="25">
        <f t="shared" si="6"/>
        <v>82794.753008000029</v>
      </c>
      <c r="D22" s="25">
        <f t="shared" si="6"/>
        <v>81385.931768160022</v>
      </c>
      <c r="E22" s="25">
        <f t="shared" si="6"/>
        <v>79857.702014523238</v>
      </c>
      <c r="F22" s="25">
        <f t="shared" si="6"/>
        <v>78203.434614143713</v>
      </c>
      <c r="G22" s="25">
        <f t="shared" si="6"/>
        <v>76419.33042253647</v>
      </c>
      <c r="H22" s="25">
        <f t="shared" si="6"/>
        <v>74499.414560580422</v>
      </c>
      <c r="I22" s="25">
        <f t="shared" si="6"/>
        <v>72436.530507272837</v>
      </c>
      <c r="J22" s="25">
        <f t="shared" si="6"/>
        <v>70226.334002563861</v>
      </c>
      <c r="K22" s="26">
        <f t="shared" si="6"/>
        <v>67862.286754314904</v>
      </c>
      <c r="M22" s="1355"/>
      <c r="N22" s="1356"/>
    </row>
    <row r="23" spans="1:14" ht="13.15" customHeight="1">
      <c r="A23" s="564" t="s">
        <v>2051</v>
      </c>
      <c r="B23" s="974">
        <f>IF('Part III-Sources of Funds'!$M$32="", 0,-'Part III-Sources of Funds'!$M$32)</f>
        <v>-32735.458673340276</v>
      </c>
      <c r="C23" s="974">
        <f>IF('Part III-Sources of Funds'!$M$32="", 0,-'Part III-Sources of Funds'!$M$32)</f>
        <v>-32735.458673340276</v>
      </c>
      <c r="D23" s="974">
        <f>IF('Part III-Sources of Funds'!$M$32="", 0,-'Part III-Sources of Funds'!$M$32)</f>
        <v>-32735.458673340276</v>
      </c>
      <c r="E23" s="974">
        <f>IF('Part III-Sources of Funds'!$M$32="", 0,-'Part III-Sources of Funds'!$M$32)</f>
        <v>-32735.458673340276</v>
      </c>
      <c r="F23" s="974">
        <f>IF('Part III-Sources of Funds'!$M$32="", 0,-'Part III-Sources of Funds'!$M$32)</f>
        <v>-32735.458673340276</v>
      </c>
      <c r="G23" s="974">
        <f>IF('Part III-Sources of Funds'!$M$32="", 0,-'Part III-Sources of Funds'!$M$32)</f>
        <v>-32735.458673340276</v>
      </c>
      <c r="H23" s="974">
        <f>IF('Part III-Sources of Funds'!$M$32="", 0,-'Part III-Sources of Funds'!$M$32)</f>
        <v>-32735.458673340276</v>
      </c>
      <c r="I23" s="974">
        <f>IF('Part III-Sources of Funds'!$M$32="", 0,-'Part III-Sources of Funds'!$M$32)</f>
        <v>-32735.458673340276</v>
      </c>
      <c r="J23" s="974">
        <f>IF('Part III-Sources of Funds'!$M$32="", 0,-'Part III-Sources of Funds'!$M$32)</f>
        <v>-32735.458673340276</v>
      </c>
      <c r="K23" s="974">
        <f>IF('Part III-Sources of Funds'!$M$32="", 0,-'Part III-Sources of Funds'!$M$32)</f>
        <v>-32735.458673340276</v>
      </c>
      <c r="M23" s="1355"/>
      <c r="N23" s="1356"/>
    </row>
    <row r="24" spans="1:14" ht="13.15" customHeight="1">
      <c r="A24" s="564" t="s">
        <v>2052</v>
      </c>
      <c r="B24" s="975">
        <v>-37338</v>
      </c>
      <c r="C24" s="975">
        <v>-36260</v>
      </c>
      <c r="D24" s="975">
        <v>-35086</v>
      </c>
      <c r="E24" s="975">
        <v>-33813</v>
      </c>
      <c r="F24" s="975">
        <v>-32434</v>
      </c>
      <c r="G24" s="975">
        <v>-30947</v>
      </c>
      <c r="H24" s="975">
        <v>-29347</v>
      </c>
      <c r="I24" s="975">
        <v>-27629</v>
      </c>
      <c r="J24" s="975">
        <v>-25787</v>
      </c>
      <c r="K24" s="975">
        <v>-23817</v>
      </c>
      <c r="M24" s="1355"/>
      <c r="N24" s="1356"/>
    </row>
    <row r="25" spans="1:14" ht="13.15" customHeight="1">
      <c r="A25" s="564" t="s">
        <v>2053</v>
      </c>
      <c r="B25" s="975">
        <f>IF('Part III-Sources of Funds'!$M$34="", 0,-'Part III-Sources of Funds'!$M$34)</f>
        <v>0</v>
      </c>
      <c r="C25" s="975">
        <f>IF('Part III-Sources of Funds'!$M$34="", 0,-'Part III-Sources of Funds'!$M$34)</f>
        <v>0</v>
      </c>
      <c r="D25" s="975">
        <f>IF('Part III-Sources of Funds'!$M$34="", 0,-'Part III-Sources of Funds'!$M$34)</f>
        <v>0</v>
      </c>
      <c r="E25" s="975">
        <f>IF('Part III-Sources of Funds'!$M$34="", 0,-'Part III-Sources of Funds'!$M$34)</f>
        <v>0</v>
      </c>
      <c r="F25" s="975">
        <f>IF('Part III-Sources of Funds'!$M$34="", 0,-'Part III-Sources of Funds'!$M$34)</f>
        <v>0</v>
      </c>
      <c r="G25" s="975">
        <f>IF('Part III-Sources of Funds'!$M$34="", 0,-'Part III-Sources of Funds'!$M$34)</f>
        <v>0</v>
      </c>
      <c r="H25" s="975">
        <f>IF('Part III-Sources of Funds'!$M$34="", 0,-'Part III-Sources of Funds'!$M$34)</f>
        <v>0</v>
      </c>
      <c r="I25" s="975">
        <f>IF('Part III-Sources of Funds'!$M$34="", 0,-'Part III-Sources of Funds'!$M$34)</f>
        <v>0</v>
      </c>
      <c r="J25" s="975">
        <f>IF('Part III-Sources of Funds'!$M$34="", 0,-'Part III-Sources of Funds'!$M$34)</f>
        <v>0</v>
      </c>
      <c r="K25" s="975">
        <f>IF('Part III-Sources of Funds'!$M$34="", 0,-'Part III-Sources of Funds'!$M$34)</f>
        <v>0</v>
      </c>
      <c r="M25" s="1355"/>
      <c r="N25" s="1356"/>
    </row>
    <row r="26" spans="1:14" ht="13.15" customHeight="1">
      <c r="A26" s="24" t="s">
        <v>1174</v>
      </c>
      <c r="B26" s="975">
        <f>IF('Part III-Sources of Funds'!$M$35="", 0,-'Part III-Sources of Funds'!$M$35)</f>
        <v>0</v>
      </c>
      <c r="C26" s="975">
        <f>IF('Part III-Sources of Funds'!$M$35="", 0,-'Part III-Sources of Funds'!$M$35)</f>
        <v>0</v>
      </c>
      <c r="D26" s="975">
        <f>IF('Part III-Sources of Funds'!$M$35="", 0,-'Part III-Sources of Funds'!$M$35)</f>
        <v>0</v>
      </c>
      <c r="E26" s="975">
        <f>IF('Part III-Sources of Funds'!$M$35="", 0,-'Part III-Sources of Funds'!$M$35)</f>
        <v>0</v>
      </c>
      <c r="F26" s="975">
        <f>IF('Part III-Sources of Funds'!$M$35="", 0,-'Part III-Sources of Funds'!$M$35)</f>
        <v>0</v>
      </c>
      <c r="G26" s="975">
        <f>IF('Part III-Sources of Funds'!$M$35="", 0,-'Part III-Sources of Funds'!$M$35)</f>
        <v>0</v>
      </c>
      <c r="H26" s="975">
        <f>IF('Part III-Sources of Funds'!$M$35="", 0,-'Part III-Sources of Funds'!$M$35)</f>
        <v>0</v>
      </c>
      <c r="I26" s="975">
        <f>IF('Part III-Sources of Funds'!$M$35="", 0,-'Part III-Sources of Funds'!$M$35)</f>
        <v>0</v>
      </c>
      <c r="J26" s="975">
        <f>IF('Part III-Sources of Funds'!$M$35="", 0,-'Part III-Sources of Funds'!$M$35)</f>
        <v>0</v>
      </c>
      <c r="K26" s="975">
        <f>IF('Part III-Sources of Funds'!$M$35="", 0,-'Part III-Sources of Funds'!$M$35)</f>
        <v>0</v>
      </c>
      <c r="M26" s="1355"/>
      <c r="N26" s="1356"/>
    </row>
    <row r="27" spans="1:14" ht="13.15" customHeight="1">
      <c r="A27" s="24" t="s">
        <v>1150</v>
      </c>
      <c r="B27" s="976"/>
      <c r="C27" s="976"/>
      <c r="D27" s="976"/>
      <c r="E27" s="976"/>
      <c r="F27" s="976"/>
      <c r="G27" s="976"/>
      <c r="H27" s="976"/>
      <c r="I27" s="976"/>
      <c r="J27" s="976"/>
      <c r="K27" s="976"/>
      <c r="M27" s="1355"/>
      <c r="N27" s="1356"/>
    </row>
    <row r="28" spans="1:14" ht="13.15" customHeight="1">
      <c r="A28" s="24" t="s">
        <v>1578</v>
      </c>
      <c r="B28" s="975">
        <f>-G5</f>
        <v>-4000</v>
      </c>
      <c r="C28" s="975">
        <f>B28</f>
        <v>-4000</v>
      </c>
      <c r="D28" s="975">
        <f t="shared" ref="D28:K28" si="7">C28</f>
        <v>-4000</v>
      </c>
      <c r="E28" s="975">
        <f t="shared" si="7"/>
        <v>-4000</v>
      </c>
      <c r="F28" s="975">
        <f t="shared" si="7"/>
        <v>-4000</v>
      </c>
      <c r="G28" s="975">
        <f t="shared" si="7"/>
        <v>-4000</v>
      </c>
      <c r="H28" s="975">
        <f t="shared" si="7"/>
        <v>-4000</v>
      </c>
      <c r="I28" s="975">
        <f t="shared" si="7"/>
        <v>-4000</v>
      </c>
      <c r="J28" s="975">
        <f t="shared" si="7"/>
        <v>-4000</v>
      </c>
      <c r="K28" s="975">
        <f t="shared" si="7"/>
        <v>-4000</v>
      </c>
      <c r="M28" s="1355"/>
      <c r="N28" s="1356"/>
    </row>
    <row r="29" spans="1:14" ht="13.15" customHeight="1">
      <c r="A29" s="24" t="s">
        <v>1624</v>
      </c>
      <c r="B29" s="977">
        <v>-2032</v>
      </c>
      <c r="C29" s="977"/>
      <c r="D29" s="977"/>
      <c r="E29" s="977"/>
      <c r="F29" s="977"/>
      <c r="G29" s="977"/>
      <c r="H29" s="977"/>
      <c r="I29" s="977"/>
      <c r="J29" s="977"/>
      <c r="K29" s="977"/>
      <c r="M29" s="1355"/>
      <c r="N29" s="1356"/>
    </row>
    <row r="30" spans="1:14" ht="13.15" customHeight="1">
      <c r="A30" s="24" t="s">
        <v>1579</v>
      </c>
      <c r="B30" s="25">
        <f t="shared" ref="B30:K30" si="8">SUM(B22:B29)</f>
        <v>7982.1717266597479</v>
      </c>
      <c r="C30" s="25">
        <f t="shared" si="8"/>
        <v>9799.2943346597531</v>
      </c>
      <c r="D30" s="25">
        <f t="shared" si="8"/>
        <v>9564.4730948197466</v>
      </c>
      <c r="E30" s="25">
        <f t="shared" si="8"/>
        <v>9309.2433411829625</v>
      </c>
      <c r="F30" s="25">
        <f t="shared" si="8"/>
        <v>9033.975940803437</v>
      </c>
      <c r="G30" s="25">
        <f t="shared" si="8"/>
        <v>8736.8717491961943</v>
      </c>
      <c r="H30" s="25">
        <f t="shared" si="8"/>
        <v>8416.9558872401467</v>
      </c>
      <c r="I30" s="25">
        <f t="shared" si="8"/>
        <v>8072.0718339325613</v>
      </c>
      <c r="J30" s="25">
        <f t="shared" si="8"/>
        <v>7703.8753292235851</v>
      </c>
      <c r="K30" s="26">
        <f t="shared" si="8"/>
        <v>7309.8280809746284</v>
      </c>
      <c r="M30" s="1355"/>
      <c r="N30" s="1356"/>
    </row>
    <row r="31" spans="1:14" ht="13.15" customHeight="1">
      <c r="A31" s="24" t="str">
        <f>IF('Part III-Sources of Funds'!$E$32 = "Neither", "", "DCR Mortgage A")</f>
        <v>DCR Mortgage A</v>
      </c>
      <c r="B31" s="27">
        <f>IF(B23=0,"",-B22/B23)</f>
        <v>2.5687017627915782</v>
      </c>
      <c r="C31" s="27">
        <f t="shared" ref="C31:K31" si="9">IF(C23=0,"",-C22/C23)</f>
        <v>2.5292070544723417</v>
      </c>
      <c r="D31" s="27">
        <f t="shared" si="9"/>
        <v>2.4861705033765311</v>
      </c>
      <c r="E31" s="27">
        <f t="shared" si="9"/>
        <v>2.4394862711839522</v>
      </c>
      <c r="F31" s="27">
        <f t="shared" si="9"/>
        <v>2.388951851706679</v>
      </c>
      <c r="G31" s="27">
        <f t="shared" si="9"/>
        <v>2.33445118900296</v>
      </c>
      <c r="H31" s="27">
        <f t="shared" si="9"/>
        <v>2.2758017629749197</v>
      </c>
      <c r="I31" s="27">
        <f t="shared" si="9"/>
        <v>2.2127849568292461</v>
      </c>
      <c r="J31" s="27">
        <f t="shared" si="9"/>
        <v>2.1452680624803988</v>
      </c>
      <c r="K31" s="28">
        <f t="shared" si="9"/>
        <v>2.073051348737688</v>
      </c>
      <c r="M31" s="1355"/>
      <c r="N31" s="1356"/>
    </row>
    <row r="32" spans="1:14" ht="13.15" customHeight="1">
      <c r="A32" s="24" t="str">
        <f>IF('Part III-Sources of Funds'!$E$32 = "Neither", "", "DCR Mortgage B")</f>
        <v>DCR Mortgage B</v>
      </c>
      <c r="B32" s="27">
        <f t="shared" ref="B32:K32" si="10">IF(OR(B24=0,AND(B24=0,B23=0)),"",-B22/(B23+B24))</f>
        <v>1.1999925791017292</v>
      </c>
      <c r="C32" s="27">
        <f t="shared" si="10"/>
        <v>1.2000029364250286</v>
      </c>
      <c r="D32" s="27">
        <f t="shared" si="10"/>
        <v>1.2000026740821452</v>
      </c>
      <c r="E32" s="27">
        <f t="shared" si="10"/>
        <v>1.199993262150709</v>
      </c>
      <c r="F32" s="27">
        <f t="shared" si="10"/>
        <v>1.2000012921104011</v>
      </c>
      <c r="G32" s="27">
        <f t="shared" si="10"/>
        <v>1.2000059673344285</v>
      </c>
      <c r="H32" s="27">
        <f t="shared" si="10"/>
        <v>1.2000074763883715</v>
      </c>
      <c r="I32" s="27">
        <f t="shared" si="10"/>
        <v>1.1999864174921218</v>
      </c>
      <c r="J32" s="27">
        <f t="shared" si="10"/>
        <v>1.1999894671984321</v>
      </c>
      <c r="K32" s="28">
        <f t="shared" si="10"/>
        <v>1.1999882648127245</v>
      </c>
      <c r="M32" s="1355"/>
      <c r="N32" s="1356"/>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55"/>
      <c r="N33" s="1356"/>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55"/>
      <c r="N34" s="1356"/>
    </row>
    <row r="35" spans="1:14" ht="13.15" customHeight="1">
      <c r="A35" s="24" t="s">
        <v>1158</v>
      </c>
      <c r="B35" s="341">
        <f>IF(OR(B20="Choose mgt fee",B20="Choose One!"),"",(B14+B15+B16+B17+B18) / -(B19+B20+B21))</f>
        <v>1.2826474971428572</v>
      </c>
      <c r="C35" s="341">
        <f t="shared" ref="C35:K35" si="13">IF(OR(C20="Choose mgt fee",C20="Choose One!"),"",(C14+C15+C16+C17+C18) / -(C19+C20+C21))</f>
        <v>1.2701961425489852</v>
      </c>
      <c r="D35" s="341">
        <f t="shared" si="13"/>
        <v>1.2578622680258142</v>
      </c>
      <c r="E35" s="341">
        <f t="shared" si="13"/>
        <v>1.2456508942997726</v>
      </c>
      <c r="F35" s="341">
        <f t="shared" si="13"/>
        <v>1.233555133241379</v>
      </c>
      <c r="G35" s="341">
        <f t="shared" si="13"/>
        <v>1.2215796490511279</v>
      </c>
      <c r="H35" s="341">
        <f t="shared" si="13"/>
        <v>1.2097214914026917</v>
      </c>
      <c r="I35" s="341">
        <f t="shared" si="13"/>
        <v>1.1979747562802525</v>
      </c>
      <c r="J35" s="341">
        <f t="shared" si="13"/>
        <v>1.1863437760070856</v>
      </c>
      <c r="K35" s="342">
        <f t="shared" si="13"/>
        <v>1.1748260871293101</v>
      </c>
      <c r="M35" s="1355"/>
      <c r="N35" s="1356"/>
    </row>
    <row r="36" spans="1:14" ht="13.15" customHeight="1">
      <c r="A36" s="564" t="s">
        <v>3417</v>
      </c>
      <c r="B36" s="978">
        <f>IF('Part III-Sources of Funds'!$H$32="","",-FV('Part III-Sources of Funds'!$J$32/12,12,B23/12,'Part III-Sources of Funds'!$H$32))</f>
        <v>449412.54670914111</v>
      </c>
      <c r="C36" s="978">
        <f>IF('Part III-Sources of Funds'!$H$32="","",-FV('Part III-Sources of Funds'!$J$32/12,12,C23/12,B36))</f>
        <v>443480.47152540693</v>
      </c>
      <c r="D36" s="978">
        <f>IF('Part III-Sources of Funds'!$H$32="","",-FV('Part III-Sources of Funds'!$J$32/12,12,D23/12,C36))</f>
        <v>437182.51892452437</v>
      </c>
      <c r="E36" s="978">
        <f>IF('Part III-Sources of Funds'!$H$32="","",-FV('Part III-Sources of Funds'!$J$32/12,12,E23/12,D36))</f>
        <v>430496.12238799303</v>
      </c>
      <c r="F36" s="978">
        <f>IF('Part III-Sources of Funds'!$H$32="","",-FV('Part III-Sources of Funds'!$J$32/12,12,F23/12,E36))</f>
        <v>423397.32354383008</v>
      </c>
      <c r="G36" s="978">
        <f>IF('Part III-Sources of Funds'!$H$32="","",-FV('Part III-Sources of Funds'!$J$32/12,12,G23/12,F36))</f>
        <v>415860.68632009294</v>
      </c>
      <c r="H36" s="978">
        <f>IF('Part III-Sources of Funds'!$H$32="","",-FV('Part III-Sources of Funds'!$J$32/12,12,H23/12,G36))</f>
        <v>407859.20580357919</v>
      </c>
      <c r="I36" s="978">
        <f>IF('Part III-Sources of Funds'!$H$32="","",-FV('Part III-Sources of Funds'!$J$32/12,12,I23/12,H36))</f>
        <v>399364.21147713042</v>
      </c>
      <c r="J36" s="978">
        <f>IF('Part III-Sources of Funds'!$H$32="","",-FV('Part III-Sources of Funds'!$J$32/12,12,J23/12,I36))</f>
        <v>390345.26448882499</v>
      </c>
      <c r="K36" s="978">
        <f>IF('Part III-Sources of Funds'!$H$32="","",-FV('Part III-Sources of Funds'!$J$32/12,12,K23/12,J36))</f>
        <v>380770.048584959</v>
      </c>
      <c r="M36" s="1355"/>
      <c r="N36" s="1356"/>
    </row>
    <row r="37" spans="1:14" ht="13.15" customHeight="1">
      <c r="A37" s="564" t="s">
        <v>3418</v>
      </c>
      <c r="B37" s="975">
        <v>510762.43334000692</v>
      </c>
      <c r="C37" s="975">
        <v>482164.0093401139</v>
      </c>
      <c r="D37" s="975">
        <v>454310.2442634225</v>
      </c>
      <c r="E37" s="975">
        <v>427312.38694944471</v>
      </c>
      <c r="F37" s="975">
        <v>401287.65473689855</v>
      </c>
      <c r="G37" s="975">
        <v>376359.47793215333</v>
      </c>
      <c r="H37" s="975">
        <v>352657.75311188959</v>
      </c>
      <c r="I37" s="975">
        <v>330319.1055578817</v>
      </c>
      <c r="J37" s="975">
        <v>309487.16113144899</v>
      </c>
      <c r="K37" s="975">
        <v>290312.82790506369</v>
      </c>
      <c r="M37" s="1355"/>
      <c r="N37" s="1356"/>
    </row>
    <row r="38" spans="1:14" ht="13.15" customHeight="1">
      <c r="A38" s="564" t="s">
        <v>3419</v>
      </c>
      <c r="B38" s="975" t="str">
        <f>IF('Part III-Sources of Funds'!$H$34="","",-FV('Part III-Sources of Funds'!$J$34/12,12,B25/12,'Part III-Sources of Funds'!$H$34))</f>
        <v/>
      </c>
      <c r="C38" s="975" t="str">
        <f>IF('Part III-Sources of Funds'!$H$34="","",-FV('Part III-Sources of Funds'!$J$34/12,12,C25/12,B38))</f>
        <v/>
      </c>
      <c r="D38" s="975" t="str">
        <f>IF('Part III-Sources of Funds'!$H$34="","",-FV('Part III-Sources of Funds'!$J$34/12,12,D25/12,C38))</f>
        <v/>
      </c>
      <c r="E38" s="975" t="str">
        <f>IF('Part III-Sources of Funds'!$H$34="","",-FV('Part III-Sources of Funds'!$J$34/12,12,E25/12,D38))</f>
        <v/>
      </c>
      <c r="F38" s="975" t="str">
        <f>IF('Part III-Sources of Funds'!$H$34="","",-FV('Part III-Sources of Funds'!$J$34/12,12,F25/12,E38))</f>
        <v/>
      </c>
      <c r="G38" s="975" t="str">
        <f>IF('Part III-Sources of Funds'!$H$34="","",-FV('Part III-Sources of Funds'!$J$34/12,12,G25/12,F38))</f>
        <v/>
      </c>
      <c r="H38" s="975" t="str">
        <f>IF('Part III-Sources of Funds'!$H$34="","",-FV('Part III-Sources of Funds'!$J$34/12,12,H25/12,G38))</f>
        <v/>
      </c>
      <c r="I38" s="975" t="str">
        <f>IF('Part III-Sources of Funds'!$H$34="","",-FV('Part III-Sources of Funds'!$J$34/12,12,I25/12,H38))</f>
        <v/>
      </c>
      <c r="J38" s="975" t="str">
        <f>IF('Part III-Sources of Funds'!$H$34="","",-FV('Part III-Sources of Funds'!$J$34/12,12,J25/12,I38))</f>
        <v/>
      </c>
      <c r="K38" s="975" t="str">
        <f>IF('Part III-Sources of Funds'!$H$34="","",-FV('Part III-Sources of Funds'!$J$34/12,12,K25/12,J38))</f>
        <v/>
      </c>
      <c r="M38" s="1355"/>
      <c r="N38" s="1356"/>
    </row>
    <row r="39" spans="1:14" ht="13.15" customHeight="1">
      <c r="A39" s="24" t="s">
        <v>1176</v>
      </c>
      <c r="B39" s="975" t="str">
        <f>IF('Part III-Sources of Funds'!$H$35="","",-FV('Part III-Sources of Funds'!$J$35/12,12,B24/12,'Part III-Sources of Funds'!$H$35))</f>
        <v/>
      </c>
      <c r="C39" s="975" t="str">
        <f>IF('Part III-Sources of Funds'!$H$35="","",-FV('Part III-Sources of Funds'!$J$35/12,12,C26/12,B39))</f>
        <v/>
      </c>
      <c r="D39" s="975" t="str">
        <f>IF('Part III-Sources of Funds'!$H$35="","",-FV('Part III-Sources of Funds'!$J$35/12,12,D26/12,C39))</f>
        <v/>
      </c>
      <c r="E39" s="975" t="str">
        <f>IF('Part III-Sources of Funds'!$H$35="","",-FV('Part III-Sources of Funds'!$J$35/12,12,E26/12,D39))</f>
        <v/>
      </c>
      <c r="F39" s="975" t="str">
        <f>IF('Part III-Sources of Funds'!$H$35="","",-FV('Part III-Sources of Funds'!$J$35/12,12,F26/12,E39))</f>
        <v/>
      </c>
      <c r="G39" s="975" t="str">
        <f>IF('Part III-Sources of Funds'!$H$35="","",-FV('Part III-Sources of Funds'!$J$35/12,12,G26/12,F39))</f>
        <v/>
      </c>
      <c r="H39" s="975" t="str">
        <f>IF('Part III-Sources of Funds'!$H$35="","",-FV('Part III-Sources of Funds'!$J$35/12,12,H26/12,G39))</f>
        <v/>
      </c>
      <c r="I39" s="975" t="str">
        <f>IF('Part III-Sources of Funds'!$H$35="","",-FV('Part III-Sources of Funds'!$J$35/12,12,I26/12,H39))</f>
        <v/>
      </c>
      <c r="J39" s="975" t="str">
        <f>IF('Part III-Sources of Funds'!$H$35="","",-FV('Part III-Sources of Funds'!$J$35/12,12,J26/12,I39))</f>
        <v/>
      </c>
      <c r="K39" s="975" t="str">
        <f>IF('Part III-Sources of Funds'!$H$35="","",-FV('Part III-Sources of Funds'!$J$35/12,12,K26/12,J39))</f>
        <v/>
      </c>
      <c r="M39" s="1355"/>
      <c r="N39" s="1356"/>
    </row>
    <row r="40" spans="1:14" ht="13.15" customHeight="1">
      <c r="A40" s="29" t="s">
        <v>1659</v>
      </c>
      <c r="B40" s="977">
        <f>IF('Part III-Sources of Funds'!$H$37="","",-FV('Part III-Sources of Funds'!$J$37/12,12,B29/12,'Part III-Sources of Funds'!$H$37))</f>
        <v>0</v>
      </c>
      <c r="C40" s="977">
        <f>IF('Part III-Sources of Funds'!$H$37="","",-FV('Part III-Sources of Funds'!$J$37/12,12,C29/12,B40))</f>
        <v>0</v>
      </c>
      <c r="D40" s="977">
        <f>IF('Part III-Sources of Funds'!$H$37="","",-FV('Part III-Sources of Funds'!$J$37/12,12,D29/12,C40))</f>
        <v>0</v>
      </c>
      <c r="E40" s="977">
        <f>IF('Part III-Sources of Funds'!$H$37="","",-FV('Part III-Sources of Funds'!$J$37/12,12,E29/12,D40))</f>
        <v>0</v>
      </c>
      <c r="F40" s="977">
        <f>IF('Part III-Sources of Funds'!$H$37="","",-FV('Part III-Sources of Funds'!$J$37/12,12,F29/12,E40))</f>
        <v>0</v>
      </c>
      <c r="G40" s="977">
        <f>IF('Part III-Sources of Funds'!$H$37="","",-FV('Part III-Sources of Funds'!$J$37/12,12,G29/12,F40))</f>
        <v>0</v>
      </c>
      <c r="H40" s="977">
        <f>IF('Part III-Sources of Funds'!$H$37="","",-FV('Part III-Sources of Funds'!$J$37/12,12,H29/12,G40))</f>
        <v>0</v>
      </c>
      <c r="I40" s="977">
        <f>IF('Part III-Sources of Funds'!$H$37="","",-FV('Part III-Sources of Funds'!$J$37/12,12,I29/12,H40))</f>
        <v>0</v>
      </c>
      <c r="J40" s="977">
        <f>IF('Part III-Sources of Funds'!$H$37="","",-FV('Part III-Sources of Funds'!$J$37/12,12,J29/12,I40))</f>
        <v>0</v>
      </c>
      <c r="K40" s="977">
        <f>IF('Part III-Sources of Funds'!$H$37="","",-FV('Part III-Sources of Funds'!$J$37/12,12,K29/12,J40))</f>
        <v>0</v>
      </c>
      <c r="M40" s="1357"/>
      <c r="N40" s="1358"/>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97" t="s">
        <v>3422</v>
      </c>
      <c r="N42" s="1297"/>
    </row>
    <row r="43" spans="1:14" ht="13.15" customHeight="1">
      <c r="A43" s="21" t="s">
        <v>3167</v>
      </c>
      <c r="B43" s="22">
        <f t="shared" ref="B43:K43" si="15">$B$14*(1+$B$5)^(B42-1)</f>
        <v>490357.57136477099</v>
      </c>
      <c r="C43" s="22">
        <f t="shared" si="15"/>
        <v>500164.72279206628</v>
      </c>
      <c r="D43" s="22">
        <f t="shared" si="15"/>
        <v>510168.0172479077</v>
      </c>
      <c r="E43" s="22">
        <f t="shared" si="15"/>
        <v>520371.37759286584</v>
      </c>
      <c r="F43" s="22">
        <f t="shared" si="15"/>
        <v>530778.80514472316</v>
      </c>
      <c r="G43" s="22">
        <f t="shared" si="15"/>
        <v>541394.38124761754</v>
      </c>
      <c r="H43" s="22">
        <f t="shared" si="15"/>
        <v>552222.26887257001</v>
      </c>
      <c r="I43" s="22">
        <f t="shared" si="15"/>
        <v>563266.71425002138</v>
      </c>
      <c r="J43" s="22">
        <f t="shared" si="15"/>
        <v>574532.04853502172</v>
      </c>
      <c r="K43" s="23">
        <f t="shared" si="15"/>
        <v>586022.68950572214</v>
      </c>
      <c r="M43" s="1353"/>
      <c r="N43" s="1354"/>
    </row>
    <row r="44" spans="1:14" ht="13.15" customHeight="1">
      <c r="A44" s="24" t="s">
        <v>1418</v>
      </c>
      <c r="B44" s="25">
        <f t="shared" ref="B44:K44" si="16">$B$15*(1+$B$5)^(B42-1)</f>
        <v>9807.1514272954191</v>
      </c>
      <c r="C44" s="25">
        <f t="shared" si="16"/>
        <v>10003.294455841326</v>
      </c>
      <c r="D44" s="25">
        <f t="shared" si="16"/>
        <v>10203.360344958153</v>
      </c>
      <c r="E44" s="25">
        <f t="shared" si="16"/>
        <v>10407.427551857316</v>
      </c>
      <c r="F44" s="25">
        <f t="shared" si="16"/>
        <v>10615.576102894463</v>
      </c>
      <c r="G44" s="25">
        <f t="shared" si="16"/>
        <v>10827.887624952349</v>
      </c>
      <c r="H44" s="25">
        <f t="shared" si="16"/>
        <v>11044.445377451399</v>
      </c>
      <c r="I44" s="25">
        <f t="shared" si="16"/>
        <v>11265.334285000428</v>
      </c>
      <c r="J44" s="25">
        <f t="shared" si="16"/>
        <v>11490.640970700435</v>
      </c>
      <c r="K44" s="26">
        <f t="shared" si="16"/>
        <v>11720.453790114443</v>
      </c>
      <c r="M44" s="1355"/>
      <c r="N44" s="1356"/>
    </row>
    <row r="45" spans="1:14" ht="13.15" customHeight="1">
      <c r="A45" s="24" t="s">
        <v>3168</v>
      </c>
      <c r="B45" s="25">
        <f t="shared" ref="B45:K45" si="17">-(B43+B44)*$B$8</f>
        <v>-35011.530595444652</v>
      </c>
      <c r="C45" s="25">
        <f t="shared" si="17"/>
        <v>-35711.761207353535</v>
      </c>
      <c r="D45" s="25">
        <f t="shared" si="17"/>
        <v>-36425.996431500615</v>
      </c>
      <c r="E45" s="25">
        <f t="shared" si="17"/>
        <v>-37154.516360130627</v>
      </c>
      <c r="F45" s="25">
        <f t="shared" si="17"/>
        <v>-37897.606687333238</v>
      </c>
      <c r="G45" s="25">
        <f t="shared" si="17"/>
        <v>-38655.558821079896</v>
      </c>
      <c r="H45" s="25">
        <f t="shared" si="17"/>
        <v>-39428.6699975015</v>
      </c>
      <c r="I45" s="25">
        <f t="shared" si="17"/>
        <v>-40217.24339745153</v>
      </c>
      <c r="J45" s="25">
        <f t="shared" si="17"/>
        <v>-41021.588265400555</v>
      </c>
      <c r="K45" s="26">
        <f t="shared" si="17"/>
        <v>-41842.020030708569</v>
      </c>
      <c r="M45" s="1355"/>
      <c r="N45" s="1356"/>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355"/>
      <c r="N46" s="1356"/>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355"/>
      <c r="N47" s="1356"/>
    </row>
    <row r="48" spans="1:14" ht="13.15" customHeight="1">
      <c r="A48" s="24" t="s">
        <v>794</v>
      </c>
      <c r="B48" s="25">
        <f t="shared" ref="B48:K48" si="18">$B$19*(1+$B$6)^(B42-1)</f>
        <v>-350656.00561484759</v>
      </c>
      <c r="C48" s="25">
        <f t="shared" si="18"/>
        <v>-361175.68578329304</v>
      </c>
      <c r="D48" s="25">
        <f t="shared" si="18"/>
        <v>-372010.95635679178</v>
      </c>
      <c r="E48" s="25">
        <f t="shared" si="18"/>
        <v>-383171.2850474955</v>
      </c>
      <c r="F48" s="25">
        <f t="shared" si="18"/>
        <v>-394666.4235989204</v>
      </c>
      <c r="G48" s="25">
        <f t="shared" si="18"/>
        <v>-406506.41630688804</v>
      </c>
      <c r="H48" s="25">
        <f t="shared" si="18"/>
        <v>-418701.6087960946</v>
      </c>
      <c r="I48" s="25">
        <f t="shared" si="18"/>
        <v>-431262.65705997747</v>
      </c>
      <c r="J48" s="25">
        <f t="shared" si="18"/>
        <v>-444200.53677177679</v>
      </c>
      <c r="K48" s="26">
        <f t="shared" si="18"/>
        <v>-457526.55287493009</v>
      </c>
      <c r="M48" s="1355"/>
      <c r="N48" s="1356"/>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-25641</v>
      </c>
      <c r="C49" s="25">
        <f>IF(AND('Part VII-Pro Forma'!$G$8="Yes",'Part VII-Pro Forma'!$G$9="Yes"),"Choose One!",IF('Part VII-Pro Forma'!$G$8="Yes",ROUND((-$K$8*(1+'Part VII-Pro Forma'!$B$6)^('Part VII-Pro Forma'!C42-1)),),IF('Part VII-Pro Forma'!$G$9="Yes",ROUND((-(SUM(C43:C46)*'Part VII-Pro Forma'!$K$9)),),"Choose mgt fee")))</f>
        <v>-26410</v>
      </c>
      <c r="D49" s="25">
        <f>IF(AND('Part VII-Pro Forma'!$G$8="Yes",'Part VII-Pro Forma'!$G$9="Yes"),"Choose One!",IF('Part VII-Pro Forma'!$G$8="Yes",ROUND((-$K$8*(1+'Part VII-Pro Forma'!$B$6)^('Part VII-Pro Forma'!D42-1)),),IF('Part VII-Pro Forma'!$G$9="Yes",ROUND((-(SUM(D43:D46)*'Part VII-Pro Forma'!$K$9)),),"Choose mgt fee")))</f>
        <v>-27202</v>
      </c>
      <c r="E49" s="25">
        <f>IF(AND('Part VII-Pro Forma'!$G$8="Yes",'Part VII-Pro Forma'!$G$9="Yes"),"Choose One!",IF('Part VII-Pro Forma'!$G$8="Yes",ROUND((-$K$8*(1+'Part VII-Pro Forma'!$B$6)^('Part VII-Pro Forma'!E42-1)),),IF('Part VII-Pro Forma'!$G$9="Yes",ROUND((-(SUM(E43:E46)*'Part VII-Pro Forma'!$K$9)),),"Choose mgt fee")))</f>
        <v>-28018</v>
      </c>
      <c r="F49" s="25">
        <f>IF(AND('Part VII-Pro Forma'!$G$8="Yes",'Part VII-Pro Forma'!$G$9="Yes"),"Choose One!",IF('Part VII-Pro Forma'!$G$8="Yes",ROUND((-$K$8*(1+'Part VII-Pro Forma'!$B$6)^('Part VII-Pro Forma'!F42-1)),),IF('Part VII-Pro Forma'!$G$9="Yes",ROUND((-(SUM(F43:F46)*'Part VII-Pro Forma'!$K$9)),),"Choose mgt fee")))</f>
        <v>-28859</v>
      </c>
      <c r="G49" s="25">
        <f>IF(AND('Part VII-Pro Forma'!$G$8="Yes",'Part VII-Pro Forma'!$G$9="Yes"),"Choose One!",IF('Part VII-Pro Forma'!$G$8="Yes",ROUND((-$K$8*(1+'Part VII-Pro Forma'!$B$6)^('Part VII-Pro Forma'!G42-1)),),IF('Part VII-Pro Forma'!$G$9="Yes",ROUND((-(SUM(G43:G46)*'Part VII-Pro Forma'!$K$9)),),"Choose mgt fee")))</f>
        <v>-29724</v>
      </c>
      <c r="H49" s="25">
        <f>IF(AND('Part VII-Pro Forma'!$G$8="Yes",'Part VII-Pro Forma'!$G$9="Yes"),"Choose One!",IF('Part VII-Pro Forma'!$G$8="Yes",ROUND((-$K$8*(1+'Part VII-Pro Forma'!$B$6)^('Part VII-Pro Forma'!H42-1)),),IF('Part VII-Pro Forma'!$G$9="Yes",ROUND((-(SUM(H43:H46)*'Part VII-Pro Forma'!$K$9)),),"Choose mgt fee")))</f>
        <v>-30616</v>
      </c>
      <c r="I49" s="25">
        <f>IF(AND('Part VII-Pro Forma'!$G$8="Yes",'Part VII-Pro Forma'!$G$9="Yes"),"Choose One!",IF('Part VII-Pro Forma'!$G$8="Yes",ROUND((-$K$8*(1+'Part VII-Pro Forma'!$B$6)^('Part VII-Pro Forma'!I42-1)),),IF('Part VII-Pro Forma'!$G$9="Yes",ROUND((-(SUM(I43:I46)*'Part VII-Pro Forma'!$K$9)),),"Choose mgt fee")))</f>
        <v>-31535</v>
      </c>
      <c r="J49" s="25">
        <f>IF(AND('Part VII-Pro Forma'!$G$8="Yes",'Part VII-Pro Forma'!$G$9="Yes"),"Choose One!",IF('Part VII-Pro Forma'!$G$8="Yes",ROUND((-$K$8*(1+'Part VII-Pro Forma'!$B$6)^('Part VII-Pro Forma'!J42-1)),),IF('Part VII-Pro Forma'!$G$9="Yes",ROUND((-(SUM(J43:J46)*'Part VII-Pro Forma'!$K$9)),),"Choose mgt fee")))</f>
        <v>-32481</v>
      </c>
      <c r="K49" s="25">
        <f>IF(AND('Part VII-Pro Forma'!$G$8="Yes",'Part VII-Pro Forma'!$G$9="Yes"),"Choose One!",IF('Part VII-Pro Forma'!$G$8="Yes",ROUND((-$K$8*(1+'Part VII-Pro Forma'!$B$6)^('Part VII-Pro Forma'!K42-1)),),IF('Part VII-Pro Forma'!$G$9="Yes",ROUND((-(SUM(K43:K46)*'Part VII-Pro Forma'!$K$9)),),"Choose mgt fee")))</f>
        <v>-33455</v>
      </c>
      <c r="M49" s="1355"/>
      <c r="N49" s="1356"/>
    </row>
    <row r="50" spans="1:14" ht="13.15" customHeight="1">
      <c r="A50" s="24" t="s">
        <v>1622</v>
      </c>
      <c r="B50" s="25">
        <f t="shared" ref="B50:K50" si="19">$B$21*(1+$B$7)^(B42-1)</f>
        <v>-23518.536638522131</v>
      </c>
      <c r="C50" s="25">
        <f t="shared" si="19"/>
        <v>-24224.092737677795</v>
      </c>
      <c r="D50" s="25">
        <f t="shared" si="19"/>
        <v>-24950.815519808126</v>
      </c>
      <c r="E50" s="25">
        <f t="shared" si="19"/>
        <v>-25699.33998540237</v>
      </c>
      <c r="F50" s="25">
        <f t="shared" si="19"/>
        <v>-26470.320184964443</v>
      </c>
      <c r="G50" s="25">
        <f t="shared" si="19"/>
        <v>-27264.429790513379</v>
      </c>
      <c r="H50" s="25">
        <f t="shared" si="19"/>
        <v>-28082.362684228774</v>
      </c>
      <c r="I50" s="25">
        <f t="shared" si="19"/>
        <v>-28924.833564755638</v>
      </c>
      <c r="J50" s="25">
        <f t="shared" si="19"/>
        <v>-29792.578571698308</v>
      </c>
      <c r="K50" s="26">
        <f t="shared" si="19"/>
        <v>-30686.355928849254</v>
      </c>
      <c r="M50" s="1355"/>
      <c r="N50" s="1356"/>
    </row>
    <row r="51" spans="1:14" ht="13.15" customHeight="1">
      <c r="A51" s="24" t="s">
        <v>1623</v>
      </c>
      <c r="B51" s="25">
        <f t="shared" ref="B51:K51" si="20">SUM(B43:B50)</f>
        <v>65337.649943252021</v>
      </c>
      <c r="C51" s="25">
        <f t="shared" si="20"/>
        <v>62646.47751958319</v>
      </c>
      <c r="D51" s="25">
        <f t="shared" si="20"/>
        <v>59781.609284765349</v>
      </c>
      <c r="E51" s="25">
        <f t="shared" si="20"/>
        <v>56735.66375169465</v>
      </c>
      <c r="F51" s="25">
        <f t="shared" si="20"/>
        <v>53501.030776399552</v>
      </c>
      <c r="G51" s="25">
        <f t="shared" si="20"/>
        <v>50071.863954088571</v>
      </c>
      <c r="H51" s="25">
        <f t="shared" si="20"/>
        <v>46438.072772196523</v>
      </c>
      <c r="I51" s="25">
        <f t="shared" si="20"/>
        <v>42592.31451283714</v>
      </c>
      <c r="J51" s="25">
        <f t="shared" si="20"/>
        <v>38526.985896846425</v>
      </c>
      <c r="K51" s="26">
        <f t="shared" si="20"/>
        <v>34233.214461348776</v>
      </c>
      <c r="M51" s="1355"/>
      <c r="N51" s="1356"/>
    </row>
    <row r="52" spans="1:14" ht="13.15" customHeight="1">
      <c r="A52" s="24" t="str">
        <f>$A23</f>
        <v>Mortgage A</v>
      </c>
      <c r="B52" s="974">
        <f>IF('Part III-Sources of Funds'!$M$32="", 0,-'Part III-Sources of Funds'!$M$32)</f>
        <v>-32735.458673340276</v>
      </c>
      <c r="C52" s="974">
        <f>IF('Part III-Sources of Funds'!$M$32="", 0,-'Part III-Sources of Funds'!$M$32)</f>
        <v>-32735.458673340276</v>
      </c>
      <c r="D52" s="974">
        <f>IF('Part III-Sources of Funds'!$M$32="", 0,-'Part III-Sources of Funds'!$M$32)</f>
        <v>-32735.458673340276</v>
      </c>
      <c r="E52" s="974">
        <f>IF('Part III-Sources of Funds'!$M$32="", 0,-'Part III-Sources of Funds'!$M$32)</f>
        <v>-32735.458673340276</v>
      </c>
      <c r="F52" s="974">
        <f>IF('Part III-Sources of Funds'!$M$32="", 0,-'Part III-Sources of Funds'!$M$32)</f>
        <v>-32735.458673340276</v>
      </c>
      <c r="G52" s="974">
        <f>IF('Part III-Sources of Funds'!$M$32="", 0,-'Part III-Sources of Funds'!$M$32)</f>
        <v>-32735.458673340276</v>
      </c>
      <c r="H52" s="974">
        <f>IF('Part III-Sources of Funds'!$M$32="", 0,-'Part III-Sources of Funds'!$M$32)</f>
        <v>-32735.458673340276</v>
      </c>
      <c r="I52" s="974">
        <f>IF('Part III-Sources of Funds'!$M$32="", 0,-'Part III-Sources of Funds'!$M$32)</f>
        <v>-32735.458673340276</v>
      </c>
      <c r="J52" s="974">
        <f>IF('Part III-Sources of Funds'!$M$32="", 0,-'Part III-Sources of Funds'!$M$32)</f>
        <v>-32735.458673340276</v>
      </c>
      <c r="K52" s="974">
        <f>IF('Part III-Sources of Funds'!$M$32="", 0,-'Part III-Sources of Funds'!$M$32)</f>
        <v>-32735.458673340276</v>
      </c>
      <c r="M52" s="1355"/>
      <c r="N52" s="1356"/>
    </row>
    <row r="53" spans="1:14" ht="13.15" customHeight="1">
      <c r="A53" s="24" t="str">
        <f>$A24</f>
        <v>Mortgage B</v>
      </c>
      <c r="B53" s="975">
        <v>-21713</v>
      </c>
      <c r="C53" s="975">
        <v>-19470</v>
      </c>
      <c r="D53" s="975">
        <v>-17082</v>
      </c>
      <c r="E53" s="975">
        <v>-14544</v>
      </c>
      <c r="F53" s="975">
        <v>-11849</v>
      </c>
      <c r="G53" s="975">
        <v>-8991</v>
      </c>
      <c r="H53" s="975">
        <v>-5963</v>
      </c>
      <c r="I53" s="975"/>
      <c r="J53" s="975"/>
      <c r="K53" s="975"/>
      <c r="M53" s="1355"/>
      <c r="N53" s="1356"/>
    </row>
    <row r="54" spans="1:14" ht="13.15" customHeight="1">
      <c r="A54" s="24" t="str">
        <f>$A25</f>
        <v>Mortgage C</v>
      </c>
      <c r="B54" s="975">
        <f>IF('Part III-Sources of Funds'!$M$34="", 0,-'Part III-Sources of Funds'!$M$34)</f>
        <v>0</v>
      </c>
      <c r="C54" s="975">
        <f>IF('Part III-Sources of Funds'!$M$34="", 0,-'Part III-Sources of Funds'!$M$34)</f>
        <v>0</v>
      </c>
      <c r="D54" s="975">
        <f>IF('Part III-Sources of Funds'!$M$34="", 0,-'Part III-Sources of Funds'!$M$34)</f>
        <v>0</v>
      </c>
      <c r="E54" s="975">
        <f>IF('Part III-Sources of Funds'!$M$34="", 0,-'Part III-Sources of Funds'!$M$34)</f>
        <v>0</v>
      </c>
      <c r="F54" s="975">
        <f>IF('Part III-Sources of Funds'!$M$34="", 0,-'Part III-Sources of Funds'!$M$34)</f>
        <v>0</v>
      </c>
      <c r="G54" s="975">
        <f>IF('Part III-Sources of Funds'!$M$34="", 0,-'Part III-Sources of Funds'!$M$34)</f>
        <v>0</v>
      </c>
      <c r="H54" s="975">
        <f>IF('Part III-Sources of Funds'!$M$34="", 0,-'Part III-Sources of Funds'!$M$34)</f>
        <v>0</v>
      </c>
      <c r="I54" s="975">
        <f>IF('Part III-Sources of Funds'!$M$34="", 0,-'Part III-Sources of Funds'!$M$34)</f>
        <v>0</v>
      </c>
      <c r="J54" s="975">
        <f>IF('Part III-Sources of Funds'!$M$34="", 0,-'Part III-Sources of Funds'!$M$34)</f>
        <v>0</v>
      </c>
      <c r="K54" s="975">
        <f>IF('Part III-Sources of Funds'!$M$34="", 0,-'Part III-Sources of Funds'!$M$34)</f>
        <v>0</v>
      </c>
      <c r="M54" s="1355"/>
      <c r="N54" s="1356"/>
    </row>
    <row r="55" spans="1:14" ht="13.15" customHeight="1">
      <c r="A55" s="24" t="str">
        <f>$A26</f>
        <v>D/S Other Source</v>
      </c>
      <c r="B55" s="975">
        <f>IF('Part III-Sources of Funds'!$M$35="", 0,-'Part III-Sources of Funds'!$M$35)</f>
        <v>0</v>
      </c>
      <c r="C55" s="975">
        <f>IF('Part III-Sources of Funds'!$M$35="", 0,-'Part III-Sources of Funds'!$M$35)</f>
        <v>0</v>
      </c>
      <c r="D55" s="975">
        <f>IF('Part III-Sources of Funds'!$M$35="", 0,-'Part III-Sources of Funds'!$M$35)</f>
        <v>0</v>
      </c>
      <c r="E55" s="975">
        <f>IF('Part III-Sources of Funds'!$M$35="", 0,-'Part III-Sources of Funds'!$M$35)</f>
        <v>0</v>
      </c>
      <c r="F55" s="975">
        <f>IF('Part III-Sources of Funds'!$M$35="", 0,-'Part III-Sources of Funds'!$M$35)</f>
        <v>0</v>
      </c>
      <c r="G55" s="975">
        <f>IF('Part III-Sources of Funds'!$M$35="", 0,-'Part III-Sources of Funds'!$M$35)</f>
        <v>0</v>
      </c>
      <c r="H55" s="975">
        <f>IF('Part III-Sources of Funds'!$M$35="", 0,-'Part III-Sources of Funds'!$M$35)</f>
        <v>0</v>
      </c>
      <c r="I55" s="975">
        <f>IF('Part III-Sources of Funds'!$M$35="", 0,-'Part III-Sources of Funds'!$M$35)</f>
        <v>0</v>
      </c>
      <c r="J55" s="975">
        <f>IF('Part III-Sources of Funds'!$M$35="", 0,-'Part III-Sources of Funds'!$M$35)</f>
        <v>0</v>
      </c>
      <c r="K55" s="975">
        <f>IF('Part III-Sources of Funds'!$M$35="", 0,-'Part III-Sources of Funds'!$M$35)</f>
        <v>0</v>
      </c>
      <c r="M55" s="1355"/>
      <c r="N55" s="1356"/>
    </row>
    <row r="56" spans="1:14" ht="13.15" customHeight="1">
      <c r="A56" s="24" t="s">
        <v>1150</v>
      </c>
      <c r="B56" s="976"/>
      <c r="C56" s="976"/>
      <c r="D56" s="976"/>
      <c r="E56" s="976"/>
      <c r="F56" s="976"/>
      <c r="G56" s="976"/>
      <c r="H56" s="976"/>
      <c r="I56" s="976"/>
      <c r="J56" s="976"/>
      <c r="K56" s="976"/>
      <c r="M56" s="1355"/>
      <c r="N56" s="1356"/>
    </row>
    <row r="57" spans="1:14" ht="13.15" customHeight="1">
      <c r="A57" s="24" t="s">
        <v>1578</v>
      </c>
      <c r="B57" s="975">
        <f>K28</f>
        <v>-4000</v>
      </c>
      <c r="C57" s="975">
        <f t="shared" ref="C57:J57" si="21">B57</f>
        <v>-4000</v>
      </c>
      <c r="D57" s="975">
        <f t="shared" si="21"/>
        <v>-4000</v>
      </c>
      <c r="E57" s="975">
        <f t="shared" si="21"/>
        <v>-4000</v>
      </c>
      <c r="F57" s="975">
        <f t="shared" si="21"/>
        <v>-4000</v>
      </c>
      <c r="G57" s="975">
        <f t="shared" si="21"/>
        <v>-4000</v>
      </c>
      <c r="H57" s="975">
        <f t="shared" si="21"/>
        <v>-4000</v>
      </c>
      <c r="I57" s="975">
        <f t="shared" si="21"/>
        <v>-4000</v>
      </c>
      <c r="J57" s="975">
        <f t="shared" si="21"/>
        <v>-4000</v>
      </c>
      <c r="K57" s="975">
        <f>-1498</f>
        <v>-1498</v>
      </c>
      <c r="M57" s="1355"/>
      <c r="N57" s="1356"/>
    </row>
    <row r="58" spans="1:14" ht="13.15" customHeight="1">
      <c r="A58" s="24" t="s">
        <v>1624</v>
      </c>
      <c r="B58" s="977"/>
      <c r="C58" s="977"/>
      <c r="D58" s="977"/>
      <c r="E58" s="977"/>
      <c r="F58" s="977"/>
      <c r="G58" s="977"/>
      <c r="H58" s="977"/>
      <c r="I58" s="977"/>
      <c r="J58" s="977"/>
      <c r="K58" s="975"/>
      <c r="M58" s="1355"/>
      <c r="N58" s="1356"/>
    </row>
    <row r="59" spans="1:14" ht="13.15" customHeight="1">
      <c r="A59" s="24" t="s">
        <v>1579</v>
      </c>
      <c r="B59" s="25">
        <f t="shared" ref="B59:K59" si="22">SUM(B51:B58)</f>
        <v>6889.1912699117456</v>
      </c>
      <c r="C59" s="25">
        <f t="shared" si="22"/>
        <v>6441.0188462429142</v>
      </c>
      <c r="D59" s="25">
        <f t="shared" si="22"/>
        <v>5964.1506114250733</v>
      </c>
      <c r="E59" s="25">
        <f t="shared" si="22"/>
        <v>5456.2050783543746</v>
      </c>
      <c r="F59" s="25">
        <f t="shared" si="22"/>
        <v>4916.5721030592758</v>
      </c>
      <c r="G59" s="25">
        <f t="shared" si="22"/>
        <v>4345.4052807482949</v>
      </c>
      <c r="H59" s="25">
        <f t="shared" si="22"/>
        <v>3739.6140988562474</v>
      </c>
      <c r="I59" s="25">
        <f t="shared" si="22"/>
        <v>5856.8558394968641</v>
      </c>
      <c r="J59" s="25">
        <f t="shared" si="22"/>
        <v>1791.5272235061493</v>
      </c>
      <c r="K59" s="23">
        <f t="shared" si="22"/>
        <v>-0.24421199149946915</v>
      </c>
      <c r="M59" s="1355"/>
      <c r="N59" s="1356"/>
    </row>
    <row r="60" spans="1:14" ht="13.15" customHeight="1">
      <c r="A60" s="24" t="str">
        <f>$A31</f>
        <v>DCR Mortgage A</v>
      </c>
      <c r="B60" s="27">
        <f>IF(B52=0,"",-B51/B52)</f>
        <v>1.9959289587245936</v>
      </c>
      <c r="C60" s="27">
        <f t="shared" ref="C60:K60" si="23">IF(C52=0,"",-C51/C52)</f>
        <v>1.9137192530191249</v>
      </c>
      <c r="D60" s="27">
        <f t="shared" si="23"/>
        <v>1.8262035024867829</v>
      </c>
      <c r="E60" s="27">
        <f t="shared" si="23"/>
        <v>1.7331562180889837</v>
      </c>
      <c r="F60" s="27">
        <f t="shared" si="23"/>
        <v>1.634344925796648</v>
      </c>
      <c r="G60" s="27">
        <f t="shared" si="23"/>
        <v>1.5295910301347646</v>
      </c>
      <c r="H60" s="27">
        <f t="shared" si="23"/>
        <v>1.4185862869859722</v>
      </c>
      <c r="I60" s="27">
        <f t="shared" si="23"/>
        <v>1.3011063916304395</v>
      </c>
      <c r="J60" s="27">
        <f t="shared" si="23"/>
        <v>1.1769190797446429</v>
      </c>
      <c r="K60" s="28">
        <f t="shared" si="23"/>
        <v>1.0457533160892678</v>
      </c>
      <c r="M60" s="1355"/>
      <c r="N60" s="1356"/>
    </row>
    <row r="61" spans="1:14" ht="13.15" customHeight="1">
      <c r="A61" s="24" t="str">
        <f>$A32</f>
        <v>DCR Mortgage B</v>
      </c>
      <c r="B61" s="27">
        <f>IF(OR(B53=0,AND(B53=0,B52=0)),"",-B51/(B52+B53))</f>
        <v>1.1999908084678887</v>
      </c>
      <c r="C61" s="27">
        <f t="shared" ref="C61:K61" si="24">IF(OR(C53=0,AND(C53=0,C52=0)),"",-C51/(C52+C53))</f>
        <v>1.1999986038160186</v>
      </c>
      <c r="D61" s="27">
        <f t="shared" si="24"/>
        <v>1.200013225820316</v>
      </c>
      <c r="E61" s="27">
        <f t="shared" si="24"/>
        <v>1.2000066274804135</v>
      </c>
      <c r="F61" s="27">
        <f t="shared" si="24"/>
        <v>1.199992830873845</v>
      </c>
      <c r="G61" s="27">
        <f t="shared" si="24"/>
        <v>1.2000027212009801</v>
      </c>
      <c r="H61" s="27">
        <f t="shared" si="24"/>
        <v>1.1999979938267706</v>
      </c>
      <c r="I61" s="27" t="str">
        <f t="shared" si="24"/>
        <v/>
      </c>
      <c r="J61" s="27" t="str">
        <f t="shared" si="24"/>
        <v/>
      </c>
      <c r="K61" s="28" t="str">
        <f t="shared" si="24"/>
        <v/>
      </c>
      <c r="M61" s="1355"/>
      <c r="N61" s="1356"/>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55"/>
      <c r="N62" s="1356"/>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55"/>
      <c r="N63" s="1356"/>
    </row>
    <row r="64" spans="1:14" ht="13.15" customHeight="1">
      <c r="A64" s="24" t="s">
        <v>1158</v>
      </c>
      <c r="B64" s="341">
        <f>IF(OR(B49="Choose mgt fee",B49="Choose One!"),"",(B43+B44+B45+B46+B47) / -(B48+B49+B50))</f>
        <v>1.1634194848329495</v>
      </c>
      <c r="C64" s="341">
        <f t="shared" ref="C64:K64" si="27">IF(OR(C49="Choose mgt fee",C49="Choose One!"),"",(C43+C44+C45+C46+C47) / -(C48+C49+C50))</f>
        <v>1.1521247935019421</v>
      </c>
      <c r="D64" s="341">
        <f t="shared" si="27"/>
        <v>1.1409399228516794</v>
      </c>
      <c r="E64" s="341">
        <f t="shared" si="27"/>
        <v>1.1298629913915073</v>
      </c>
      <c r="F64" s="341">
        <f t="shared" si="27"/>
        <v>1.1188923040171996</v>
      </c>
      <c r="G64" s="341">
        <f t="shared" si="27"/>
        <v>1.1080311126988589</v>
      </c>
      <c r="H64" s="341">
        <f t="shared" si="27"/>
        <v>1.0972728855181981</v>
      </c>
      <c r="I64" s="341">
        <f t="shared" si="27"/>
        <v>1.0866186015992956</v>
      </c>
      <c r="J64" s="341">
        <f t="shared" si="27"/>
        <v>1.0760690126695194</v>
      </c>
      <c r="K64" s="342">
        <f t="shared" si="27"/>
        <v>1.0656226190716771</v>
      </c>
      <c r="M64" s="1355"/>
      <c r="N64" s="1356"/>
    </row>
    <row r="65" spans="1:14" ht="13.15" customHeight="1">
      <c r="A65" s="564" t="s">
        <v>3417</v>
      </c>
      <c r="B65" s="978">
        <f>IF('Part III-Sources of Funds'!$H$32="","",-FV('Part III-Sources of Funds'!$J$32/12,12,B52/12,K36))</f>
        <v>370604.25431601238</v>
      </c>
      <c r="C65" s="978">
        <f>IF('Part III-Sources of Funds'!$H$32="","",-FV('Part III-Sources of Funds'!$J$32/12,12,C52/12,B65))</f>
        <v>359811.45610069251</v>
      </c>
      <c r="D65" s="978">
        <f>IF('Part III-Sources of Funds'!$H$32="","",-FV('Part III-Sources of Funds'!$J$32/12,12,D52/12,C65))</f>
        <v>348352.98170755664</v>
      </c>
      <c r="E65" s="978">
        <f>IF('Part III-Sources of Funds'!$H$32="","",-FV('Part III-Sources of Funds'!$J$32/12,12,E52/12,D65))</f>
        <v>336187.77368654677</v>
      </c>
      <c r="F65" s="978">
        <f>IF('Part III-Sources of Funds'!$H$32="","",-FV('Part III-Sources of Funds'!$J$32/12,12,F52/12,E65))</f>
        <v>323272.2422539246</v>
      </c>
      <c r="G65" s="978">
        <f>IF('Part III-Sources of Funds'!$H$32="","",-FV('Part III-Sources of Funds'!$J$32/12,12,G52/12,F65))</f>
        <v>309560.10910347116</v>
      </c>
      <c r="H65" s="978">
        <f>IF('Part III-Sources of Funds'!$H$32="","",-FV('Part III-Sources of Funds'!$J$32/12,12,H52/12,G65))</f>
        <v>295002.24158430309</v>
      </c>
      <c r="I65" s="978">
        <f>IF('Part III-Sources of Funds'!$H$32="","",-FV('Part III-Sources of Funds'!$J$32/12,12,I52/12,H65))</f>
        <v>279546.4766511395</v>
      </c>
      <c r="J65" s="978">
        <f>IF('Part III-Sources of Funds'!$H$32="","",-FV('Part III-Sources of Funds'!$J$32/12,12,J52/12,I65))</f>
        <v>263137.43395620631</v>
      </c>
      <c r="K65" s="978">
        <f>IF('Part III-Sources of Funds'!$H$32="","",-FV('Part III-Sources of Funds'!$J$32/12,12,K52/12,J65))</f>
        <v>245716.31741305857</v>
      </c>
      <c r="M65" s="1355"/>
      <c r="N65" s="1356"/>
    </row>
    <row r="66" spans="1:14" ht="13.15" customHeight="1">
      <c r="A66" s="564" t="s">
        <v>3418</v>
      </c>
      <c r="B66" s="975">
        <v>272954.58787885873</v>
      </c>
      <c r="C66" s="975">
        <v>257578.79912035557</v>
      </c>
      <c r="D66" s="975">
        <v>244360.00867664538</v>
      </c>
      <c r="E66" s="975">
        <v>233481.27661950854</v>
      </c>
      <c r="F66" s="975">
        <v>225134.51159556751</v>
      </c>
      <c r="G66" s="975">
        <v>219520.81826553907</v>
      </c>
      <c r="H66" s="975">
        <v>216850.85702900359</v>
      </c>
      <c r="I66" s="975"/>
      <c r="J66" s="975"/>
      <c r="K66" s="975"/>
      <c r="M66" s="1355"/>
      <c r="N66" s="1356"/>
    </row>
    <row r="67" spans="1:14" ht="13.15" customHeight="1">
      <c r="A67" s="564" t="s">
        <v>3419</v>
      </c>
      <c r="B67" s="975" t="str">
        <f>IF('Part III-Sources of Funds'!$H$34="","",-FV('Part III-Sources of Funds'!$J$34/12,12,B54/12,K38))</f>
        <v/>
      </c>
      <c r="C67" s="975" t="str">
        <f>IF('Part III-Sources of Funds'!$H$34="","",-FV('Part III-Sources of Funds'!$J$34/12,12,C54/12,B67))</f>
        <v/>
      </c>
      <c r="D67" s="975" t="str">
        <f>IF('Part III-Sources of Funds'!$H$34="","",-FV('Part III-Sources of Funds'!$J$34/12,12,D54/12,C67))</f>
        <v/>
      </c>
      <c r="E67" s="975" t="str">
        <f>IF('Part III-Sources of Funds'!$H$34="","",-FV('Part III-Sources of Funds'!$J$34/12,12,E54/12,D67))</f>
        <v/>
      </c>
      <c r="F67" s="975" t="str">
        <f>IF('Part III-Sources of Funds'!$H$34="","",-FV('Part III-Sources of Funds'!$J$34/12,12,F54/12,E67))</f>
        <v/>
      </c>
      <c r="G67" s="975" t="str">
        <f>IF('Part III-Sources of Funds'!$H$34="","",-FV('Part III-Sources of Funds'!$J$34/12,12,G54/12,F67))</f>
        <v/>
      </c>
      <c r="H67" s="975" t="str">
        <f>IF('Part III-Sources of Funds'!$H$34="","",-FV('Part III-Sources of Funds'!$J$34/12,12,H54/12,G67))</f>
        <v/>
      </c>
      <c r="I67" s="975" t="str">
        <f>IF('Part III-Sources of Funds'!$H$34="","",-FV('Part III-Sources of Funds'!$J$34/12,12,I54/12,H67))</f>
        <v/>
      </c>
      <c r="J67" s="975" t="str">
        <f>IF('Part III-Sources of Funds'!$H$34="","",-FV('Part III-Sources of Funds'!$J$34/12,12,J54/12,I67))</f>
        <v/>
      </c>
      <c r="K67" s="975" t="str">
        <f>IF('Part III-Sources of Funds'!$H$34="","",-FV('Part III-Sources of Funds'!$J$34/12,12,K54/12,J67))</f>
        <v/>
      </c>
      <c r="M67" s="1355"/>
      <c r="N67" s="1356"/>
    </row>
    <row r="68" spans="1:14" ht="13.15" customHeight="1">
      <c r="A68" s="24" t="s">
        <v>1176</v>
      </c>
      <c r="B68" s="975" t="str">
        <f>IF('Part III-Sources of Funds'!$H$35="","",-FV('Part III-Sources of Funds'!$J$35/12,12,B55/12,K39))</f>
        <v/>
      </c>
      <c r="C68" s="975" t="str">
        <f>IF('Part III-Sources of Funds'!$H$35="","",-FV('Part III-Sources of Funds'!$J$35/12,12,C55/12,B68))</f>
        <v/>
      </c>
      <c r="D68" s="975" t="str">
        <f>IF('Part III-Sources of Funds'!$H$35="","",-FV('Part III-Sources of Funds'!$J$35/12,12,D55/12,C68))</f>
        <v/>
      </c>
      <c r="E68" s="975" t="str">
        <f>IF('Part III-Sources of Funds'!$H$35="","",-FV('Part III-Sources of Funds'!$J$35/12,12,E55/12,D68))</f>
        <v/>
      </c>
      <c r="F68" s="975" t="str">
        <f>IF('Part III-Sources of Funds'!$H$35="","",-FV('Part III-Sources of Funds'!$J$35/12,12,F55/12,E68))</f>
        <v/>
      </c>
      <c r="G68" s="975" t="str">
        <f>IF('Part III-Sources of Funds'!$H$35="","",-FV('Part III-Sources of Funds'!$J$35/12,12,G55/12,F68))</f>
        <v/>
      </c>
      <c r="H68" s="975" t="str">
        <f>IF('Part III-Sources of Funds'!$H$35="","",-FV('Part III-Sources of Funds'!$J$35/12,12,H55/12,G68))</f>
        <v/>
      </c>
      <c r="I68" s="975" t="str">
        <f>IF('Part III-Sources of Funds'!$H$35="","",-FV('Part III-Sources of Funds'!$J$35/12,12,I55/12,H68))</f>
        <v/>
      </c>
      <c r="J68" s="975" t="str">
        <f>IF('Part III-Sources of Funds'!$H$35="","",-FV('Part III-Sources of Funds'!$J$35/12,12,J55/12,I68))</f>
        <v/>
      </c>
      <c r="K68" s="975" t="str">
        <f>IF('Part III-Sources of Funds'!$H$35="","",-FV('Part III-Sources of Funds'!$J$35/12,12,K55/12,J68))</f>
        <v/>
      </c>
      <c r="M68" s="1355"/>
      <c r="N68" s="1356"/>
    </row>
    <row r="69" spans="1:14" ht="13.15" customHeight="1">
      <c r="A69" s="29" t="s">
        <v>1659</v>
      </c>
      <c r="B69" s="977">
        <f>IF('Part III-Sources of Funds'!$H$37="","",-FV('Part III-Sources of Funds'!$J$37/12,12,B58/12,K40))</f>
        <v>0</v>
      </c>
      <c r="C69" s="977">
        <f>IF('Part III-Sources of Funds'!$H$37="","",-FV('Part III-Sources of Funds'!$J$37/12,12,C58/12,B69))</f>
        <v>0</v>
      </c>
      <c r="D69" s="977">
        <f>IF('Part III-Sources of Funds'!$H$37="","",-FV('Part III-Sources of Funds'!$J$37/12,12,D58/12,C69))</f>
        <v>0</v>
      </c>
      <c r="E69" s="977">
        <f>IF('Part III-Sources of Funds'!$H$37="","",-FV('Part III-Sources of Funds'!$J$37/12,12,E58/12,D69))</f>
        <v>0</v>
      </c>
      <c r="F69" s="977">
        <f>IF('Part III-Sources of Funds'!$H$37="","",-FV('Part III-Sources of Funds'!$J$37/12,12,F58/12,E69))</f>
        <v>0</v>
      </c>
      <c r="G69" s="977">
        <f>IF('Part III-Sources of Funds'!$H$37="","",-FV('Part III-Sources of Funds'!$J$37/12,12,G58/12,F69))</f>
        <v>0</v>
      </c>
      <c r="H69" s="977">
        <f>IF('Part III-Sources of Funds'!$H$37="","",-FV('Part III-Sources of Funds'!$J$37/12,12,H58/12,G69))</f>
        <v>0</v>
      </c>
      <c r="I69" s="977">
        <f>IF('Part III-Sources of Funds'!$H$37="","",-FV('Part III-Sources of Funds'!$J$37/12,12,I58/12,H69))</f>
        <v>0</v>
      </c>
      <c r="J69" s="977">
        <f>IF('Part III-Sources of Funds'!$H$37="","",-FV('Part III-Sources of Funds'!$J$37/12,12,J58/12,I69))</f>
        <v>0</v>
      </c>
      <c r="K69" s="977">
        <f>IF('Part III-Sources of Funds'!$H$37="","",-FV('Part III-Sources of Funds'!$J$37/12,12,K58/12,J69))</f>
        <v>0</v>
      </c>
      <c r="M69" s="1357"/>
      <c r="N69" s="1358"/>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97" t="s">
        <v>3423</v>
      </c>
      <c r="N71" s="1297"/>
    </row>
    <row r="72" spans="1:14" ht="13.15" customHeight="1">
      <c r="A72" s="21" t="s">
        <v>3167</v>
      </c>
      <c r="B72" s="22">
        <f t="shared" ref="B72:K72" si="29">$B$14*(1+$B$5)^(B71-1)</f>
        <v>597743.14329583663</v>
      </c>
      <c r="C72" s="22">
        <f t="shared" si="29"/>
        <v>609698.00616175332</v>
      </c>
      <c r="D72" s="22">
        <f t="shared" si="29"/>
        <v>621891.96628498845</v>
      </c>
      <c r="E72" s="22">
        <f t="shared" si="29"/>
        <v>634329.80561068817</v>
      </c>
      <c r="F72" s="22">
        <f t="shared" si="29"/>
        <v>647016.40172290197</v>
      </c>
      <c r="G72" s="22">
        <f t="shared" si="29"/>
        <v>659956.72975735995</v>
      </c>
      <c r="H72" s="22">
        <f t="shared" si="29"/>
        <v>673155.86435250728</v>
      </c>
      <c r="I72" s="22">
        <f t="shared" si="29"/>
        <v>686618.98163955729</v>
      </c>
      <c r="J72" s="22">
        <f t="shared" si="29"/>
        <v>700351.36127234856</v>
      </c>
      <c r="K72" s="23">
        <f t="shared" si="29"/>
        <v>714358.38849779544</v>
      </c>
      <c r="M72" s="1353"/>
      <c r="N72" s="1354"/>
    </row>
    <row r="73" spans="1:14" ht="13.15" customHeight="1">
      <c r="A73" s="24" t="s">
        <v>1418</v>
      </c>
      <c r="B73" s="25">
        <f t="shared" ref="B73:K73" si="30">$B$15*(1+$B$5)^(B71-1)</f>
        <v>11954.862865916733</v>
      </c>
      <c r="C73" s="25">
        <f t="shared" si="30"/>
        <v>12193.960123235067</v>
      </c>
      <c r="D73" s="25">
        <f t="shared" si="30"/>
        <v>12437.83932569977</v>
      </c>
      <c r="E73" s="25">
        <f t="shared" si="30"/>
        <v>12686.596112213761</v>
      </c>
      <c r="F73" s="25">
        <f t="shared" si="30"/>
        <v>12940.328034458038</v>
      </c>
      <c r="G73" s="25">
        <f t="shared" si="30"/>
        <v>13199.134595147199</v>
      </c>
      <c r="H73" s="25">
        <f t="shared" si="30"/>
        <v>13463.117287050145</v>
      </c>
      <c r="I73" s="25">
        <f t="shared" si="30"/>
        <v>13732.379632791144</v>
      </c>
      <c r="J73" s="25">
        <f t="shared" si="30"/>
        <v>14007.027225446971</v>
      </c>
      <c r="K73" s="26">
        <f t="shared" si="30"/>
        <v>14287.167769955908</v>
      </c>
      <c r="M73" s="1355"/>
      <c r="N73" s="1356"/>
    </row>
    <row r="74" spans="1:14" ht="13.15" customHeight="1">
      <c r="A74" s="24" t="s">
        <v>3168</v>
      </c>
      <c r="B74" s="25">
        <f t="shared" ref="B74:K74" si="31">-(B72+B73)*$B$8</f>
        <v>-42678.860431322733</v>
      </c>
      <c r="C74" s="25">
        <f t="shared" si="31"/>
        <v>-43532.437639949188</v>
      </c>
      <c r="D74" s="25">
        <f t="shared" si="31"/>
        <v>-44403.086392748177</v>
      </c>
      <c r="E74" s="25">
        <f t="shared" si="31"/>
        <v>-45291.148120603139</v>
      </c>
      <c r="F74" s="25">
        <f t="shared" si="31"/>
        <v>-46196.971083015203</v>
      </c>
      <c r="G74" s="25">
        <f t="shared" si="31"/>
        <v>-47120.910504675507</v>
      </c>
      <c r="H74" s="25">
        <f t="shared" si="31"/>
        <v>-48063.328714769021</v>
      </c>
      <c r="I74" s="25">
        <f t="shared" si="31"/>
        <v>-49024.595289064397</v>
      </c>
      <c r="J74" s="25">
        <f t="shared" si="31"/>
        <v>-50005.087194845692</v>
      </c>
      <c r="K74" s="26">
        <f t="shared" si="31"/>
        <v>-51005.188938742598</v>
      </c>
      <c r="M74" s="1355"/>
      <c r="N74" s="1356"/>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355"/>
      <c r="N75" s="1356"/>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355"/>
      <c r="N76" s="1356"/>
    </row>
    <row r="77" spans="1:14" ht="13.15" customHeight="1">
      <c r="A77" s="24" t="s">
        <v>794</v>
      </c>
      <c r="B77" s="25">
        <f t="shared" ref="B77:K77" si="32">$B$19*(1+$B$6)^(B71-1)</f>
        <v>-471252.349461178</v>
      </c>
      <c r="C77" s="25">
        <f t="shared" si="32"/>
        <v>-485389.91994501324</v>
      </c>
      <c r="D77" s="25">
        <f t="shared" si="32"/>
        <v>-499951.61754336371</v>
      </c>
      <c r="E77" s="25">
        <f t="shared" si="32"/>
        <v>-514950.16606966464</v>
      </c>
      <c r="F77" s="25">
        <f t="shared" si="32"/>
        <v>-530398.6710517545</v>
      </c>
      <c r="G77" s="25">
        <f t="shared" si="32"/>
        <v>-546310.63118330715</v>
      </c>
      <c r="H77" s="25">
        <f t="shared" si="32"/>
        <v>-562699.95011880645</v>
      </c>
      <c r="I77" s="25">
        <f t="shared" si="32"/>
        <v>-579580.9486223706</v>
      </c>
      <c r="J77" s="25">
        <f t="shared" si="32"/>
        <v>-596968.37708104169</v>
      </c>
      <c r="K77" s="26">
        <f t="shared" si="32"/>
        <v>-614877.4283934728</v>
      </c>
      <c r="M77" s="1355"/>
      <c r="N77" s="1356"/>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-34459</v>
      </c>
      <c r="C78" s="25">
        <f>IF(AND('Part VII-Pro Forma'!$G$8="Yes",'Part VII-Pro Forma'!$G$9="Yes"),"Choose One!",IF('Part VII-Pro Forma'!$G$8="Yes",ROUND((-$K$8*(1+'Part VII-Pro Forma'!$B$6)^('Part VII-Pro Forma'!C71-1)),),IF('Part VII-Pro Forma'!$G$9="Yes",ROUND((-(SUM(C72:C75)*'Part VII-Pro Forma'!$K$9)),),"Choose mgt fee")))</f>
        <v>-35493</v>
      </c>
      <c r="D78" s="25">
        <f>IF(AND('Part VII-Pro Forma'!$G$8="Yes",'Part VII-Pro Forma'!$G$9="Yes"),"Choose One!",IF('Part VII-Pro Forma'!$G$8="Yes",ROUND((-$K$8*(1+'Part VII-Pro Forma'!$B$6)^('Part VII-Pro Forma'!D71-1)),),IF('Part VII-Pro Forma'!$G$9="Yes",ROUND((-(SUM(D72:D75)*'Part VII-Pro Forma'!$K$9)),),"Choose mgt fee")))</f>
        <v>-36557</v>
      </c>
      <c r="E78" s="25">
        <f>IF(AND('Part VII-Pro Forma'!$G$8="Yes",'Part VII-Pro Forma'!$G$9="Yes"),"Choose One!",IF('Part VII-Pro Forma'!$G$8="Yes",ROUND((-$K$8*(1+'Part VII-Pro Forma'!$B$6)^('Part VII-Pro Forma'!E71-1)),),IF('Part VII-Pro Forma'!$G$9="Yes",ROUND((-(SUM(E72:E75)*'Part VII-Pro Forma'!$K$9)),),"Choose mgt fee")))</f>
        <v>-37654</v>
      </c>
      <c r="F78" s="25">
        <f>IF(AND('Part VII-Pro Forma'!$G$8="Yes",'Part VII-Pro Forma'!$G$9="Yes"),"Choose One!",IF('Part VII-Pro Forma'!$G$8="Yes",ROUND((-$K$8*(1+'Part VII-Pro Forma'!$B$6)^('Part VII-Pro Forma'!F71-1)),),IF('Part VII-Pro Forma'!$G$9="Yes",ROUND((-(SUM(F72:F75)*'Part VII-Pro Forma'!$K$9)),),"Choose mgt fee")))</f>
        <v>-38784</v>
      </c>
      <c r="G78" s="25">
        <f>IF(AND('Part VII-Pro Forma'!$G$8="Yes",'Part VII-Pro Forma'!$G$9="Yes"),"Choose One!",IF('Part VII-Pro Forma'!$G$8="Yes",ROUND((-$K$8*(1+'Part VII-Pro Forma'!$B$6)^('Part VII-Pro Forma'!G71-1)),),IF('Part VII-Pro Forma'!$G$9="Yes",ROUND((-(SUM(G72:G75)*'Part VII-Pro Forma'!$K$9)),),"Choose mgt fee")))</f>
        <v>-39947</v>
      </c>
      <c r="H78" s="25">
        <f>IF(AND('Part VII-Pro Forma'!$G$8="Yes",'Part VII-Pro Forma'!$G$9="Yes"),"Choose One!",IF('Part VII-Pro Forma'!$G$8="Yes",ROUND((-$K$8*(1+'Part VII-Pro Forma'!$B$6)^('Part VII-Pro Forma'!H71-1)),),IF('Part VII-Pro Forma'!$G$9="Yes",ROUND((-(SUM(H72:H75)*'Part VII-Pro Forma'!$K$9)),),"Choose mgt fee")))</f>
        <v>-41146</v>
      </c>
      <c r="I78" s="25">
        <f>IF(AND('Part VII-Pro Forma'!$G$8="Yes",'Part VII-Pro Forma'!$G$9="Yes"),"Choose One!",IF('Part VII-Pro Forma'!$G$8="Yes",ROUND((-$K$8*(1+'Part VII-Pro Forma'!$B$6)^('Part VII-Pro Forma'!I71-1)),),IF('Part VII-Pro Forma'!$G$9="Yes",ROUND((-(SUM(I72:I75)*'Part VII-Pro Forma'!$K$9)),),"Choose mgt fee")))</f>
        <v>-42380</v>
      </c>
      <c r="J78" s="25">
        <f>IF(AND('Part VII-Pro Forma'!$G$8="Yes",'Part VII-Pro Forma'!$G$9="Yes"),"Choose One!",IF('Part VII-Pro Forma'!$G$8="Yes",ROUND((-$K$8*(1+'Part VII-Pro Forma'!$B$6)^('Part VII-Pro Forma'!J71-1)),),IF('Part VII-Pro Forma'!$G$9="Yes",ROUND((-(SUM(J72:J75)*'Part VII-Pro Forma'!$K$9)),),"Choose mgt fee")))</f>
        <v>-43651</v>
      </c>
      <c r="K78" s="25">
        <f>IF(AND('Part VII-Pro Forma'!$G$8="Yes",'Part VII-Pro Forma'!$G$9="Yes"),"Choose One!",IF('Part VII-Pro Forma'!$G$8="Yes",ROUND((-$K$8*(1+'Part VII-Pro Forma'!$B$6)^('Part VII-Pro Forma'!K71-1)),),IF('Part VII-Pro Forma'!$G$9="Yes",ROUND((-(SUM(K72:K75)*'Part VII-Pro Forma'!$K$9)),),"Choose mgt fee")))</f>
        <v>-44961</v>
      </c>
      <c r="M78" s="1355"/>
      <c r="N78" s="1356"/>
    </row>
    <row r="79" spans="1:14" ht="13.15" customHeight="1">
      <c r="A79" s="24" t="s">
        <v>1622</v>
      </c>
      <c r="B79" s="25">
        <f t="shared" ref="B79:K79" si="33">$B$21*(1+$B$7)^(B71-1)</f>
        <v>-31606.946606714733</v>
      </c>
      <c r="C79" s="25">
        <f t="shared" si="33"/>
        <v>-32555.155004916171</v>
      </c>
      <c r="D79" s="25">
        <f t="shared" si="33"/>
        <v>-33531.809655063655</v>
      </c>
      <c r="E79" s="25">
        <f t="shared" si="33"/>
        <v>-34537.763944715567</v>
      </c>
      <c r="F79" s="25">
        <f t="shared" si="33"/>
        <v>-35573.896863057031</v>
      </c>
      <c r="G79" s="25">
        <f t="shared" si="33"/>
        <v>-36641.113768948744</v>
      </c>
      <c r="H79" s="25">
        <f t="shared" si="33"/>
        <v>-37740.347182017213</v>
      </c>
      <c r="I79" s="25">
        <f t="shared" si="33"/>
        <v>-38872.557597477724</v>
      </c>
      <c r="J79" s="25">
        <f t="shared" si="33"/>
        <v>-40038.734325402052</v>
      </c>
      <c r="K79" s="26">
        <f t="shared" si="33"/>
        <v>-41239.896355164114</v>
      </c>
      <c r="M79" s="1355"/>
      <c r="N79" s="1356"/>
    </row>
    <row r="80" spans="1:14" ht="13.15" customHeight="1">
      <c r="A80" s="24" t="s">
        <v>1623</v>
      </c>
      <c r="B80" s="25">
        <f t="shared" ref="B80:K80" si="34">SUM(B72:B79)</f>
        <v>29700.849662537872</v>
      </c>
      <c r="C80" s="25">
        <f t="shared" si="34"/>
        <v>24921.453695109773</v>
      </c>
      <c r="D80" s="25">
        <f t="shared" si="34"/>
        <v>19886.292019512635</v>
      </c>
      <c r="E80" s="25">
        <f t="shared" si="34"/>
        <v>14583.323587918581</v>
      </c>
      <c r="F80" s="25">
        <f t="shared" si="34"/>
        <v>9003.1907595332159</v>
      </c>
      <c r="G80" s="25">
        <f t="shared" si="34"/>
        <v>3136.2088955758009</v>
      </c>
      <c r="H80" s="25">
        <f t="shared" si="34"/>
        <v>-3030.6443760352413</v>
      </c>
      <c r="I80" s="25">
        <f t="shared" si="34"/>
        <v>-9506.7402365643429</v>
      </c>
      <c r="J80" s="25">
        <f t="shared" si="34"/>
        <v>-16304.810103493845</v>
      </c>
      <c r="K80" s="26">
        <f t="shared" si="34"/>
        <v>-23437.957419628154</v>
      </c>
      <c r="M80" s="1355"/>
      <c r="N80" s="1356"/>
    </row>
    <row r="81" spans="1:14" ht="13.15" customHeight="1">
      <c r="A81" s="24" t="str">
        <f>$A52</f>
        <v>Mortgage A</v>
      </c>
      <c r="B81" s="974">
        <f>IF('Part III-Sources of Funds'!$M$32="", 0,-'Part III-Sources of Funds'!$M$32)</f>
        <v>-32735.458673340276</v>
      </c>
      <c r="C81" s="974">
        <f>IF('Part III-Sources of Funds'!$M$32="", 0,-'Part III-Sources of Funds'!$M$32)</f>
        <v>-32735.458673340276</v>
      </c>
      <c r="D81" s="974">
        <f>IF('Part III-Sources of Funds'!$M$32="", 0,-'Part III-Sources of Funds'!$M$32)</f>
        <v>-32735.458673340276</v>
      </c>
      <c r="E81" s="974">
        <f>IF('Part III-Sources of Funds'!$M$32="", 0,-'Part III-Sources of Funds'!$M$32)</f>
        <v>-32735.458673340276</v>
      </c>
      <c r="F81" s="974">
        <f>IF('Part III-Sources of Funds'!$M$32="", 0,-'Part III-Sources of Funds'!$M$32)</f>
        <v>-32735.458673340276</v>
      </c>
      <c r="G81" s="974">
        <f>IF('Part III-Sources of Funds'!$M$32="", 0,-'Part III-Sources of Funds'!$M$32)</f>
        <v>-32735.458673340276</v>
      </c>
      <c r="H81" s="974">
        <f>IF('Part III-Sources of Funds'!$M$32="", 0,-'Part III-Sources of Funds'!$M$32)</f>
        <v>-32735.458673340276</v>
      </c>
      <c r="I81" s="974">
        <f>IF('Part III-Sources of Funds'!$M$32="", 0,-'Part III-Sources of Funds'!$M$32)</f>
        <v>-32735.458673340276</v>
      </c>
      <c r="J81" s="974">
        <f>IF('Part III-Sources of Funds'!$M$32="", 0,-'Part III-Sources of Funds'!$M$32)</f>
        <v>-32735.458673340276</v>
      </c>
      <c r="K81" s="974">
        <f>IF('Part III-Sources of Funds'!$M$32="", 0,-'Part III-Sources of Funds'!$M$32)</f>
        <v>-32735.458673340276</v>
      </c>
      <c r="M81" s="1355"/>
      <c r="N81" s="1356"/>
    </row>
    <row r="82" spans="1:14" ht="13.15" customHeight="1">
      <c r="A82" s="24" t="str">
        <f>$A53</f>
        <v>Mortgage B</v>
      </c>
      <c r="B82" s="975"/>
      <c r="C82" s="975"/>
      <c r="D82" s="975"/>
      <c r="E82" s="975"/>
      <c r="F82" s="975"/>
      <c r="G82" s="975"/>
      <c r="H82" s="975"/>
      <c r="I82" s="975"/>
      <c r="J82" s="975"/>
      <c r="K82" s="975"/>
      <c r="M82" s="1355"/>
      <c r="N82" s="1356"/>
    </row>
    <row r="83" spans="1:14" ht="13.15" customHeight="1">
      <c r="A83" s="24" t="str">
        <f>$A54</f>
        <v>Mortgage C</v>
      </c>
      <c r="B83" s="975">
        <f>IF('Part III-Sources of Funds'!$M$34="", 0,-'Part III-Sources of Funds'!$M$34)</f>
        <v>0</v>
      </c>
      <c r="C83" s="975">
        <f>IF('Part III-Sources of Funds'!$M$34="", 0,-'Part III-Sources of Funds'!$M$34)</f>
        <v>0</v>
      </c>
      <c r="D83" s="975">
        <f>IF('Part III-Sources of Funds'!$M$34="", 0,-'Part III-Sources of Funds'!$M$34)</f>
        <v>0</v>
      </c>
      <c r="E83" s="975">
        <f>IF('Part III-Sources of Funds'!$M$34="", 0,-'Part III-Sources of Funds'!$M$34)</f>
        <v>0</v>
      </c>
      <c r="F83" s="975">
        <f>IF('Part III-Sources of Funds'!$M$34="", 0,-'Part III-Sources of Funds'!$M$34)</f>
        <v>0</v>
      </c>
      <c r="G83" s="975">
        <f>IF('Part III-Sources of Funds'!$M$34="", 0,-'Part III-Sources of Funds'!$M$34)</f>
        <v>0</v>
      </c>
      <c r="H83" s="975">
        <f>IF('Part III-Sources of Funds'!$M$34="", 0,-'Part III-Sources of Funds'!$M$34)</f>
        <v>0</v>
      </c>
      <c r="I83" s="975">
        <f>IF('Part III-Sources of Funds'!$M$34="", 0,-'Part III-Sources of Funds'!$M$34)</f>
        <v>0</v>
      </c>
      <c r="J83" s="975">
        <f>IF('Part III-Sources of Funds'!$M$34="", 0,-'Part III-Sources of Funds'!$M$34)</f>
        <v>0</v>
      </c>
      <c r="K83" s="975">
        <f>IF('Part III-Sources of Funds'!$M$34="", 0,-'Part III-Sources of Funds'!$M$34)</f>
        <v>0</v>
      </c>
      <c r="M83" s="1355"/>
      <c r="N83" s="1356"/>
    </row>
    <row r="84" spans="1:14" ht="13.15" customHeight="1">
      <c r="A84" s="24" t="str">
        <f>$A55</f>
        <v>D/S Other Source</v>
      </c>
      <c r="B84" s="975">
        <f>IF('Part III-Sources of Funds'!$M$35="", 0,-'Part III-Sources of Funds'!$M$35)</f>
        <v>0</v>
      </c>
      <c r="C84" s="975">
        <f>IF('Part III-Sources of Funds'!$M$35="", 0,-'Part III-Sources of Funds'!$M$35)</f>
        <v>0</v>
      </c>
      <c r="D84" s="975">
        <f>IF('Part III-Sources of Funds'!$M$35="", 0,-'Part III-Sources of Funds'!$M$35)</f>
        <v>0</v>
      </c>
      <c r="E84" s="975">
        <f>IF('Part III-Sources of Funds'!$M$35="", 0,-'Part III-Sources of Funds'!$M$35)</f>
        <v>0</v>
      </c>
      <c r="F84" s="975">
        <f>IF('Part III-Sources of Funds'!$M$35="", 0,-'Part III-Sources of Funds'!$M$35)</f>
        <v>0</v>
      </c>
      <c r="G84" s="975">
        <f>IF('Part III-Sources of Funds'!$M$35="", 0,-'Part III-Sources of Funds'!$M$35)</f>
        <v>0</v>
      </c>
      <c r="H84" s="975">
        <f>IF('Part III-Sources of Funds'!$M$35="", 0,-'Part III-Sources of Funds'!$M$35)</f>
        <v>0</v>
      </c>
      <c r="I84" s="975">
        <f>IF('Part III-Sources of Funds'!$M$35="", 0,-'Part III-Sources of Funds'!$M$35)</f>
        <v>0</v>
      </c>
      <c r="J84" s="975">
        <f>IF('Part III-Sources of Funds'!$M$35="", 0,-'Part III-Sources of Funds'!$M$35)</f>
        <v>0</v>
      </c>
      <c r="K84" s="975">
        <f>IF('Part III-Sources of Funds'!$M$35="", 0,-'Part III-Sources of Funds'!$M$35)</f>
        <v>0</v>
      </c>
      <c r="M84" s="1355"/>
      <c r="N84" s="1356"/>
    </row>
    <row r="85" spans="1:14" ht="13.15" customHeight="1">
      <c r="A85" s="24" t="s">
        <v>1150</v>
      </c>
      <c r="B85" s="976"/>
      <c r="C85" s="976"/>
      <c r="D85" s="976"/>
      <c r="E85" s="976"/>
      <c r="F85" s="976"/>
      <c r="G85" s="976"/>
      <c r="H85" s="976"/>
      <c r="I85" s="976"/>
      <c r="J85" s="976"/>
      <c r="K85" s="976"/>
      <c r="M85" s="1355"/>
      <c r="N85" s="1356"/>
    </row>
    <row r="86" spans="1:14" ht="13.15" customHeight="1">
      <c r="A86" s="24" t="s">
        <v>1578</v>
      </c>
      <c r="B86" s="975"/>
      <c r="C86" s="975"/>
      <c r="D86" s="975"/>
      <c r="E86" s="975"/>
      <c r="F86" s="975"/>
      <c r="G86" s="975"/>
      <c r="H86" s="975"/>
      <c r="I86" s="975"/>
      <c r="J86" s="975"/>
      <c r="K86" s="975"/>
      <c r="M86" s="1355"/>
      <c r="N86" s="1356"/>
    </row>
    <row r="87" spans="1:14" ht="13.15" customHeight="1">
      <c r="A87" s="24" t="s">
        <v>1624</v>
      </c>
      <c r="B87" s="977">
        <f>IF('Part III-Sources of Funds'!$M$37="", 0,-'Part III-Sources of Funds'!$M$37)</f>
        <v>0</v>
      </c>
      <c r="C87" s="977">
        <f>IF('Part III-Sources of Funds'!$M$37="", 0,-'Part III-Sources of Funds'!$M$37)</f>
        <v>0</v>
      </c>
      <c r="D87" s="977">
        <f>IF('Part III-Sources of Funds'!$M$37="", 0,-'Part III-Sources of Funds'!$M$37)</f>
        <v>0</v>
      </c>
      <c r="E87" s="977">
        <f>IF('Part III-Sources of Funds'!$M$37="", 0,-'Part III-Sources of Funds'!$M$37)</f>
        <v>0</v>
      </c>
      <c r="F87" s="977">
        <f>IF('Part III-Sources of Funds'!$M$37="", 0,-'Part III-Sources of Funds'!$M$37)</f>
        <v>0</v>
      </c>
      <c r="G87" s="977">
        <f>IF('Part III-Sources of Funds'!$M$37="", 0,-'Part III-Sources of Funds'!$M$37)</f>
        <v>0</v>
      </c>
      <c r="H87" s="977">
        <f>IF('Part III-Sources of Funds'!$M$37="", 0,-'Part III-Sources of Funds'!$M$37)</f>
        <v>0</v>
      </c>
      <c r="I87" s="977">
        <f>IF('Part III-Sources of Funds'!$M$37="", 0,-'Part III-Sources of Funds'!$M$37)</f>
        <v>0</v>
      </c>
      <c r="J87" s="977">
        <f>IF('Part III-Sources of Funds'!$M$37="", 0,-'Part III-Sources of Funds'!$M$37)</f>
        <v>0</v>
      </c>
      <c r="K87" s="975">
        <f>IF('Part III-Sources of Funds'!$M$37="", 0,-'Part III-Sources of Funds'!$M$37)</f>
        <v>0</v>
      </c>
      <c r="M87" s="1355"/>
      <c r="N87" s="1356"/>
    </row>
    <row r="88" spans="1:14" ht="13.15" customHeight="1">
      <c r="A88" s="24" t="s">
        <v>1579</v>
      </c>
      <c r="B88" s="25">
        <f t="shared" ref="B88:K88" si="35">SUM(B80:B87)</f>
        <v>-3034.6090108024036</v>
      </c>
      <c r="C88" s="25">
        <f t="shared" si="35"/>
        <v>-7814.0049782305032</v>
      </c>
      <c r="D88" s="25">
        <f t="shared" si="35"/>
        <v>-12849.16665382764</v>
      </c>
      <c r="E88" s="25">
        <f t="shared" si="35"/>
        <v>-18152.135085421694</v>
      </c>
      <c r="F88" s="25">
        <f t="shared" si="35"/>
        <v>-23732.26791380706</v>
      </c>
      <c r="G88" s="25">
        <f t="shared" si="35"/>
        <v>-29599.249777764475</v>
      </c>
      <c r="H88" s="25">
        <f t="shared" si="35"/>
        <v>-35766.103049375517</v>
      </c>
      <c r="I88" s="25">
        <f t="shared" si="35"/>
        <v>-42242.198909904619</v>
      </c>
      <c r="J88" s="25">
        <f t="shared" si="35"/>
        <v>-49040.26877683412</v>
      </c>
      <c r="K88" s="23">
        <f t="shared" si="35"/>
        <v>-56173.416092968429</v>
      </c>
      <c r="M88" s="1355"/>
      <c r="N88" s="1356"/>
    </row>
    <row r="89" spans="1:14" ht="13.15" customHeight="1">
      <c r="A89" s="24" t="str">
        <f>$A60</f>
        <v>DCR Mortgage A</v>
      </c>
      <c r="B89" s="27">
        <f>IF(B81=0,"",-B80/B81)</f>
        <v>0.90729902271771778</v>
      </c>
      <c r="C89" s="27">
        <f t="shared" ref="C89:K89" si="36">IF(C81=0,"",-C80/C81)</f>
        <v>0.76129844227311161</v>
      </c>
      <c r="D89" s="27">
        <f t="shared" si="36"/>
        <v>0.60748475278606717</v>
      </c>
      <c r="E89" s="27">
        <f t="shared" si="36"/>
        <v>0.4454901253543524</v>
      </c>
      <c r="F89" s="27">
        <f t="shared" si="36"/>
        <v>0.27502870356496351</v>
      </c>
      <c r="G89" s="27">
        <f t="shared" si="36"/>
        <v>9.5804641898295018E-2</v>
      </c>
      <c r="H89" s="27">
        <f t="shared" si="36"/>
        <v>-9.2579865957503601E-2</v>
      </c>
      <c r="I89" s="27">
        <f t="shared" si="36"/>
        <v>-0.29041109004856019</v>
      </c>
      <c r="J89" s="27">
        <f t="shared" si="36"/>
        <v>-0.49807794863043925</v>
      </c>
      <c r="K89" s="28">
        <f t="shared" si="36"/>
        <v>-0.71598072455651895</v>
      </c>
      <c r="M89" s="1355"/>
      <c r="N89" s="1356"/>
    </row>
    <row r="90" spans="1:14" ht="13.1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355"/>
      <c r="N90" s="1356"/>
    </row>
    <row r="91" spans="1:14" ht="13.1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355"/>
      <c r="N91" s="1356"/>
    </row>
    <row r="92" spans="1:14" ht="13.1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355"/>
      <c r="N92" s="1356"/>
    </row>
    <row r="93" spans="1:14" ht="13.15" customHeight="1">
      <c r="A93" s="24" t="s">
        <v>1158</v>
      </c>
      <c r="B93" s="341">
        <f>IF(OR(B78="Choose mgt fee",B78="Choose One!"),"",(B72+B73+B74+B75+B76) / -(B77+B78+B79))</f>
        <v>1.0552760810117381</v>
      </c>
      <c r="C93" s="341">
        <f t="shared" ref="C93:K93" si="40">IF(OR(C78="Choose mgt fee",C78="Choose One!"),"",(C72+C73+C74+C75+C76) / -(C77+C78+C79))</f>
        <v>1.0450302478689499</v>
      </c>
      <c r="D93" s="341">
        <f t="shared" si="40"/>
        <v>1.0348857573439969</v>
      </c>
      <c r="E93" s="341">
        <f t="shared" si="40"/>
        <v>1.0248378166205254</v>
      </c>
      <c r="F93" s="341">
        <f t="shared" si="40"/>
        <v>1.0148872971988978</v>
      </c>
      <c r="G93" s="341">
        <f t="shared" si="40"/>
        <v>1.0050348614778735</v>
      </c>
      <c r="H93" s="341">
        <f t="shared" si="40"/>
        <v>0.99527632621085393</v>
      </c>
      <c r="I93" s="341">
        <f t="shared" si="40"/>
        <v>0.98561401601600751</v>
      </c>
      <c r="J93" s="341">
        <f t="shared" si="40"/>
        <v>0.97604552148830892</v>
      </c>
      <c r="K93" s="342">
        <f t="shared" si="40"/>
        <v>0.9665687033926893</v>
      </c>
      <c r="M93" s="1355"/>
      <c r="N93" s="1356"/>
    </row>
    <row r="94" spans="1:14" ht="13.15" customHeight="1">
      <c r="A94" s="564" t="s">
        <v>3417</v>
      </c>
      <c r="B94" s="978">
        <f>IF('Part III-Sources of Funds'!$H$32="","",-FV('Part III-Sources of Funds'!$J$32/12,12,B81/12,K65))</f>
        <v>227220.70452129308</v>
      </c>
      <c r="C94" s="978">
        <f>IF('Part III-Sources of Funds'!$H$32="","",-FV('Part III-Sources of Funds'!$J$32/12,12,C81/12,B94))</f>
        <v>207584.32269727069</v>
      </c>
      <c r="D94" s="978">
        <f>IF('Part III-Sources of Funds'!$H$32="","",-FV('Part III-Sources of Funds'!$J$32/12,12,D81/12,C94))</f>
        <v>186736.81180940682</v>
      </c>
      <c r="E94" s="978">
        <f>IF('Part III-Sources of Funds'!$H$32="","",-FV('Part III-Sources of Funds'!$J$32/12,12,E81/12,D94))</f>
        <v>164603.4720671582</v>
      </c>
      <c r="F94" s="978">
        <f>IF('Part III-Sources of Funds'!$H$32="","",-FV('Part III-Sources of Funds'!$J$32/12,12,F81/12,E94))</f>
        <v>141104.99636035418</v>
      </c>
      <c r="G94" s="978">
        <f>IF('Part III-Sources of Funds'!$H$32="","",-FV('Part III-Sources of Funds'!$J$32/12,12,G81/12,F94))</f>
        <v>116157.18608980344</v>
      </c>
      <c r="H94" s="978">
        <f>IF('Part III-Sources of Funds'!$H$32="","",-FV('Part III-Sources of Funds'!$J$32/12,12,H81/12,G94))</f>
        <v>89670.649470954464</v>
      </c>
      <c r="I94" s="978">
        <f>IF('Part III-Sources of Funds'!$H$32="","",-FV('Part III-Sources of Funds'!$J$32/12,12,I81/12,H94))</f>
        <v>61550.48122958601</v>
      </c>
      <c r="J94" s="978">
        <f>IF('Part III-Sources of Funds'!$H$32="","",-FV('Part III-Sources of Funds'!$J$32/12,12,J81/12,I94))</f>
        <v>31695.922541828404</v>
      </c>
      <c r="K94" s="978">
        <f>IF('Part III-Sources of Funds'!$H$32="","",-FV('Part III-Sources of Funds'!$J$32/12,12,K81/12,J94))</f>
        <v>2.9685907065868378E-8</v>
      </c>
      <c r="M94" s="1355"/>
      <c r="N94" s="1356"/>
    </row>
    <row r="95" spans="1:14" ht="13.15" customHeight="1">
      <c r="A95" s="564" t="s">
        <v>3418</v>
      </c>
      <c r="B95" s="975">
        <f>IF('Part III-Sources of Funds'!$H$33="","",-FV('Part III-Sources of Funds'!$J$33/12,12,B82/12,K66))</f>
        <v>0</v>
      </c>
      <c r="C95" s="975">
        <f>IF('Part III-Sources of Funds'!$H$33="","",-FV('Part III-Sources of Funds'!$J$33/12,12,C82/12,B95))</f>
        <v>0</v>
      </c>
      <c r="D95" s="975">
        <f>IF('Part III-Sources of Funds'!$H$33="","",-FV('Part III-Sources of Funds'!$J$33/12,12,D82/12,C95))</f>
        <v>0</v>
      </c>
      <c r="E95" s="975">
        <f>IF('Part III-Sources of Funds'!$H$33="","",-FV('Part III-Sources of Funds'!$J$33/12,12,E82/12,D95))</f>
        <v>0</v>
      </c>
      <c r="F95" s="975">
        <f>IF('Part III-Sources of Funds'!$H$33="","",-FV('Part III-Sources of Funds'!$J$33/12,12,F82/12,E95))</f>
        <v>0</v>
      </c>
      <c r="G95" s="975">
        <f>IF('Part III-Sources of Funds'!$H$33="","",-FV('Part III-Sources of Funds'!$J$33/12,12,G82/12,F95))</f>
        <v>0</v>
      </c>
      <c r="H95" s="975">
        <f>IF('Part III-Sources of Funds'!$H$33="","",-FV('Part III-Sources of Funds'!$J$33/12,12,H82/12,G95))</f>
        <v>0</v>
      </c>
      <c r="I95" s="975">
        <f>IF('Part III-Sources of Funds'!$H$33="","",-FV('Part III-Sources of Funds'!$J$33/12,12,I82/12,H95))</f>
        <v>0</v>
      </c>
      <c r="J95" s="975">
        <f>IF('Part III-Sources of Funds'!$H$33="","",-FV('Part III-Sources of Funds'!$J$33/12,12,J82/12,I95))</f>
        <v>0</v>
      </c>
      <c r="K95" s="975">
        <f>IF('Part III-Sources of Funds'!$H$33="","",-FV('Part III-Sources of Funds'!$J$33/12,12,K82/12,J95))</f>
        <v>0</v>
      </c>
      <c r="M95" s="1355"/>
      <c r="N95" s="1356"/>
    </row>
    <row r="96" spans="1:14" ht="13.15" customHeight="1">
      <c r="A96" s="564" t="s">
        <v>3419</v>
      </c>
      <c r="B96" s="975" t="str">
        <f>IF('Part III-Sources of Funds'!$H$34="","",-FV('Part III-Sources of Funds'!$J$34/12,12,B83/12,K67))</f>
        <v/>
      </c>
      <c r="C96" s="975" t="str">
        <f>IF('Part III-Sources of Funds'!$H$34="","",-FV('Part III-Sources of Funds'!$J$34/12,12,C83/12,B96))</f>
        <v/>
      </c>
      <c r="D96" s="975" t="str">
        <f>IF('Part III-Sources of Funds'!$H$34="","",-FV('Part III-Sources of Funds'!$J$34/12,12,D83/12,C96))</f>
        <v/>
      </c>
      <c r="E96" s="975" t="str">
        <f>IF('Part III-Sources of Funds'!$H$34="","",-FV('Part III-Sources of Funds'!$J$34/12,12,E83/12,D96))</f>
        <v/>
      </c>
      <c r="F96" s="975" t="str">
        <f>IF('Part III-Sources of Funds'!$H$34="","",-FV('Part III-Sources of Funds'!$J$34/12,12,F83/12,E96))</f>
        <v/>
      </c>
      <c r="G96" s="975" t="str">
        <f>IF('Part III-Sources of Funds'!$H$34="","",-FV('Part III-Sources of Funds'!$J$34/12,12,G83/12,F96))</f>
        <v/>
      </c>
      <c r="H96" s="975" t="str">
        <f>IF('Part III-Sources of Funds'!$H$34="","",-FV('Part III-Sources of Funds'!$J$34/12,12,H83/12,G96))</f>
        <v/>
      </c>
      <c r="I96" s="975" t="str">
        <f>IF('Part III-Sources of Funds'!$H$34="","",-FV('Part III-Sources of Funds'!$J$34/12,12,I83/12,H96))</f>
        <v/>
      </c>
      <c r="J96" s="975" t="str">
        <f>IF('Part III-Sources of Funds'!$H$34="","",-FV('Part III-Sources of Funds'!$J$34/12,12,J83/12,I96))</f>
        <v/>
      </c>
      <c r="K96" s="975" t="str">
        <f>IF('Part III-Sources of Funds'!$H$34="","",-FV('Part III-Sources of Funds'!$J$34/12,12,K83/12,J96))</f>
        <v/>
      </c>
      <c r="M96" s="1355"/>
      <c r="N96" s="1356"/>
    </row>
    <row r="97" spans="1:14" ht="13.15" customHeight="1">
      <c r="A97" s="24" t="s">
        <v>1176</v>
      </c>
      <c r="B97" s="975" t="str">
        <f>IF('Part III-Sources of Funds'!$H$35="","",-FV('Part III-Sources of Funds'!$J$35/12,12,B84/12,K68))</f>
        <v/>
      </c>
      <c r="C97" s="975" t="str">
        <f>IF('Part III-Sources of Funds'!$H$35="","",-FV('Part III-Sources of Funds'!$J$35/12,12,C84/12,B97))</f>
        <v/>
      </c>
      <c r="D97" s="975" t="str">
        <f>IF('Part III-Sources of Funds'!$H$35="","",-FV('Part III-Sources of Funds'!$J$35/12,12,D84/12,C97))</f>
        <v/>
      </c>
      <c r="E97" s="975" t="str">
        <f>IF('Part III-Sources of Funds'!$H$35="","",-FV('Part III-Sources of Funds'!$J$35/12,12,E84/12,D97))</f>
        <v/>
      </c>
      <c r="F97" s="975" t="str">
        <f>IF('Part III-Sources of Funds'!$H$35="","",-FV('Part III-Sources of Funds'!$J$35/12,12,F84/12,E97))</f>
        <v/>
      </c>
      <c r="G97" s="975" t="str">
        <f>IF('Part III-Sources of Funds'!$H$35="","",-FV('Part III-Sources of Funds'!$J$35/12,12,G84/12,F97))</f>
        <v/>
      </c>
      <c r="H97" s="975" t="str">
        <f>IF('Part III-Sources of Funds'!$H$35="","",-FV('Part III-Sources of Funds'!$J$35/12,12,H84/12,G97))</f>
        <v/>
      </c>
      <c r="I97" s="975" t="str">
        <f>IF('Part III-Sources of Funds'!$H$35="","",-FV('Part III-Sources of Funds'!$J$35/12,12,I84/12,H97))</f>
        <v/>
      </c>
      <c r="J97" s="975" t="str">
        <f>IF('Part III-Sources of Funds'!$H$35="","",-FV('Part III-Sources of Funds'!$J$35/12,12,J84/12,I97))</f>
        <v/>
      </c>
      <c r="K97" s="975" t="str">
        <f>IF('Part III-Sources of Funds'!$H$35="","",-FV('Part III-Sources of Funds'!$J$35/12,12,K84/12,J97))</f>
        <v/>
      </c>
      <c r="M97" s="1355"/>
      <c r="N97" s="1356"/>
    </row>
    <row r="98" spans="1:14" ht="13.15" customHeight="1">
      <c r="A98" s="29" t="s">
        <v>1659</v>
      </c>
      <c r="B98" s="977">
        <f>IF('Part III-Sources of Funds'!$H$37="","",-FV('Part III-Sources of Funds'!$J$37/12,12,B87/12,K69))</f>
        <v>0</v>
      </c>
      <c r="C98" s="977">
        <f>IF('Part III-Sources of Funds'!$H$37="","",-FV('Part III-Sources of Funds'!$J$37/12,12,C87/12,B98))</f>
        <v>0</v>
      </c>
      <c r="D98" s="977">
        <f>IF('Part III-Sources of Funds'!$H$37="","",-FV('Part III-Sources of Funds'!$J$37/12,12,D87/12,C98))</f>
        <v>0</v>
      </c>
      <c r="E98" s="977">
        <f>IF('Part III-Sources of Funds'!$H$37="","",-FV('Part III-Sources of Funds'!$J$37/12,12,E87/12,D98))</f>
        <v>0</v>
      </c>
      <c r="F98" s="977">
        <f>IF('Part III-Sources of Funds'!$H$37="","",-FV('Part III-Sources of Funds'!$J$37/12,12,F87/12,E98))</f>
        <v>0</v>
      </c>
      <c r="G98" s="977">
        <f>IF('Part III-Sources of Funds'!$H$37="","",-FV('Part III-Sources of Funds'!$J$37/12,12,G87/12,F98))</f>
        <v>0</v>
      </c>
      <c r="H98" s="977">
        <f>IF('Part III-Sources of Funds'!$H$37="","",-FV('Part III-Sources of Funds'!$J$37/12,12,H87/12,G98))</f>
        <v>0</v>
      </c>
      <c r="I98" s="977">
        <f>IF('Part III-Sources of Funds'!$H$37="","",-FV('Part III-Sources of Funds'!$J$37/12,12,I87/12,H98))</f>
        <v>0</v>
      </c>
      <c r="J98" s="977">
        <f>IF('Part III-Sources of Funds'!$H$37="","",-FV('Part III-Sources of Funds'!$J$37/12,12,J87/12,I98))</f>
        <v>0</v>
      </c>
      <c r="K98" s="977">
        <f>IF('Part III-Sources of Funds'!$H$37="","",-FV('Part III-Sources of Funds'!$J$37/12,12,K87/12,J98))</f>
        <v>0</v>
      </c>
      <c r="M98" s="1357"/>
      <c r="N98" s="1358"/>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108" t="s">
        <v>4150</v>
      </c>
      <c r="B103" s="1514"/>
      <c r="C103" s="1514"/>
      <c r="D103" s="1514"/>
      <c r="E103" s="1514"/>
      <c r="F103" s="1515"/>
      <c r="G103" s="1111"/>
      <c r="H103" s="1514"/>
      <c r="I103" s="1514"/>
      <c r="J103" s="1514"/>
      <c r="K103" s="1515"/>
      <c r="M103" s="1314" t="s">
        <v>3596</v>
      </c>
      <c r="N103" s="13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1322" t="str">
        <f>CONCATENATE("PART EIGHT - THRESHOLD CRITERIA","  -  ",'Part I-Project Information'!$O$4," ",'Part I-Project Information'!$F$23,", ",'Part I-Project Information'!F26,", ",'Part I-Project Information'!J27," County")</f>
        <v>PART EIGHT - THRESHOLD CRITERIA  -  2013-035 North Lake Senior Village, LP, Columbus, Muscogee County</v>
      </c>
      <c r="B1" s="1323"/>
      <c r="C1" s="1323"/>
      <c r="D1" s="1323"/>
      <c r="E1" s="1323"/>
      <c r="F1" s="1323"/>
      <c r="G1" s="1323"/>
      <c r="H1" s="1323"/>
      <c r="I1" s="1323"/>
      <c r="J1" s="1323"/>
      <c r="K1" s="1323"/>
      <c r="L1" s="1323"/>
      <c r="M1" s="1323"/>
      <c r="N1" s="1323"/>
      <c r="O1" s="1323"/>
      <c r="P1" s="1323"/>
      <c r="Q1" s="1323"/>
    </row>
    <row r="2" spans="1:32" s="31" customFormat="1" ht="3" customHeight="1">
      <c r="S2" s="43"/>
      <c r="T2" s="43"/>
      <c r="AE2" s="142"/>
      <c r="AF2" s="142"/>
    </row>
    <row r="3" spans="1:32" ht="13.5" customHeight="1">
      <c r="A3" s="1664"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664"/>
      <c r="C3" s="1664"/>
      <c r="D3" s="1664"/>
      <c r="E3" s="1664"/>
      <c r="F3" s="1664"/>
      <c r="G3" s="1664"/>
      <c r="H3" s="1664"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664"/>
      <c r="J3" s="1664"/>
      <c r="K3" s="1664"/>
      <c r="L3" s="1664"/>
      <c r="M3" s="1664"/>
      <c r="N3" s="1665"/>
      <c r="O3" s="1666" t="s">
        <v>1331</v>
      </c>
      <c r="P3" s="1667"/>
      <c r="Q3" s="274" t="s">
        <v>2543</v>
      </c>
    </row>
    <row r="4" spans="1:32" ht="3" customHeight="1">
      <c r="A4" s="804"/>
      <c r="B4" s="1658"/>
      <c r="C4" s="1658"/>
      <c r="D4" s="1658"/>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659"/>
      <c r="Q6" s="1660"/>
    </row>
    <row r="7" spans="1:32" ht="12.6" customHeight="1">
      <c r="A7" s="157" t="s">
        <v>304</v>
      </c>
      <c r="C7" s="158"/>
      <c r="D7" s="158"/>
      <c r="J7" s="804"/>
      <c r="K7" s="804"/>
      <c r="L7" s="804"/>
      <c r="M7" s="804"/>
      <c r="N7" s="804"/>
    </row>
    <row r="8" spans="1:32" ht="24.6" customHeight="1">
      <c r="A8" s="1661" t="s">
        <v>1848</v>
      </c>
      <c r="B8" s="1662"/>
      <c r="C8" s="1662"/>
      <c r="D8" s="1662"/>
      <c r="E8" s="1662"/>
      <c r="F8" s="1662"/>
      <c r="G8" s="1662"/>
      <c r="H8" s="1662"/>
      <c r="I8" s="1662"/>
      <c r="J8" s="1662"/>
      <c r="K8" s="1662"/>
      <c r="L8" s="1662"/>
      <c r="M8" s="1662"/>
      <c r="N8" s="1662"/>
      <c r="O8" s="1662"/>
      <c r="P8" s="1662"/>
      <c r="Q8" s="1663"/>
      <c r="R8" s="1596" t="s">
        <v>2743</v>
      </c>
      <c r="S8" s="1066"/>
    </row>
    <row r="9" spans="1:32" ht="24.6" customHeight="1">
      <c r="A9" s="1610" t="s">
        <v>247</v>
      </c>
      <c r="B9" s="1611"/>
      <c r="C9" s="1611"/>
      <c r="D9" s="1611"/>
      <c r="E9" s="1611"/>
      <c r="F9" s="1611"/>
      <c r="G9" s="1611"/>
      <c r="H9" s="1611"/>
      <c r="I9" s="1611"/>
      <c r="J9" s="1611"/>
      <c r="K9" s="1611"/>
      <c r="L9" s="1611"/>
      <c r="M9" s="1611"/>
      <c r="N9" s="1611"/>
      <c r="O9" s="1611"/>
      <c r="P9" s="1611"/>
      <c r="Q9" s="1612"/>
      <c r="R9" s="1596"/>
      <c r="S9" s="1066"/>
    </row>
    <row r="10" spans="1:32" ht="24.6" customHeight="1">
      <c r="A10" s="1610" t="s">
        <v>1844</v>
      </c>
      <c r="B10" s="1611"/>
      <c r="C10" s="1611"/>
      <c r="D10" s="1611"/>
      <c r="E10" s="1611"/>
      <c r="F10" s="1611"/>
      <c r="G10" s="1611"/>
      <c r="H10" s="1611"/>
      <c r="I10" s="1611"/>
      <c r="J10" s="1611"/>
      <c r="K10" s="1611"/>
      <c r="L10" s="1611"/>
      <c r="M10" s="1611"/>
      <c r="N10" s="1611"/>
      <c r="O10" s="1611"/>
      <c r="P10" s="1611"/>
      <c r="Q10" s="1612"/>
      <c r="R10" s="1596"/>
      <c r="S10" s="1066"/>
    </row>
    <row r="11" spans="1:32" ht="24.6" customHeight="1">
      <c r="A11" s="1610" t="s">
        <v>1845</v>
      </c>
      <c r="B11" s="1611"/>
      <c r="C11" s="1611"/>
      <c r="D11" s="1611"/>
      <c r="E11" s="1611"/>
      <c r="F11" s="1611"/>
      <c r="G11" s="1611"/>
      <c r="H11" s="1611"/>
      <c r="I11" s="1611"/>
      <c r="J11" s="1611"/>
      <c r="K11" s="1611"/>
      <c r="L11" s="1611"/>
      <c r="M11" s="1611"/>
      <c r="N11" s="1611"/>
      <c r="O11" s="1611"/>
      <c r="P11" s="1611"/>
      <c r="Q11" s="1612"/>
      <c r="R11" s="1596"/>
      <c r="S11" s="1066"/>
    </row>
    <row r="12" spans="1:32" ht="24.6" customHeight="1">
      <c r="A12" s="1610" t="s">
        <v>1846</v>
      </c>
      <c r="B12" s="1611"/>
      <c r="C12" s="1611"/>
      <c r="D12" s="1611"/>
      <c r="E12" s="1611"/>
      <c r="F12" s="1611"/>
      <c r="G12" s="1611"/>
      <c r="H12" s="1611"/>
      <c r="I12" s="1611"/>
      <c r="J12" s="1611"/>
      <c r="K12" s="1611"/>
      <c r="L12" s="1611"/>
      <c r="M12" s="1611"/>
      <c r="N12" s="1611"/>
      <c r="O12" s="1611"/>
      <c r="P12" s="1611"/>
      <c r="Q12" s="1612"/>
      <c r="R12" s="777"/>
      <c r="S12" s="777"/>
    </row>
    <row r="13" spans="1:32" ht="24.6" customHeight="1">
      <c r="A13" s="1610" t="s">
        <v>1847</v>
      </c>
      <c r="B13" s="1611"/>
      <c r="C13" s="1611"/>
      <c r="D13" s="1611"/>
      <c r="E13" s="1611"/>
      <c r="F13" s="1611"/>
      <c r="G13" s="1611"/>
      <c r="H13" s="1611"/>
      <c r="I13" s="1611"/>
      <c r="J13" s="1611"/>
      <c r="K13" s="1611"/>
      <c r="L13" s="1611"/>
      <c r="M13" s="1611"/>
      <c r="N13" s="1611"/>
      <c r="O13" s="1611"/>
      <c r="P13" s="1611"/>
      <c r="Q13" s="1612"/>
      <c r="R13" s="777"/>
      <c r="S13" s="777"/>
    </row>
    <row r="14" spans="1:32" ht="24.6" customHeight="1">
      <c r="A14" s="1610" t="s">
        <v>1849</v>
      </c>
      <c r="B14" s="1611"/>
      <c r="C14" s="1611"/>
      <c r="D14" s="1611"/>
      <c r="E14" s="1611"/>
      <c r="F14" s="1611"/>
      <c r="G14" s="1611"/>
      <c r="H14" s="1611"/>
      <c r="I14" s="1611"/>
      <c r="J14" s="1611"/>
      <c r="K14" s="1611"/>
      <c r="L14" s="1611"/>
      <c r="M14" s="1611"/>
      <c r="N14" s="1611"/>
      <c r="O14" s="1611"/>
      <c r="P14" s="1611"/>
      <c r="Q14" s="1612"/>
    </row>
    <row r="15" spans="1:32" ht="24.6" customHeight="1">
      <c r="A15" s="1610" t="s">
        <v>2730</v>
      </c>
      <c r="B15" s="1611"/>
      <c r="C15" s="1611"/>
      <c r="D15" s="1611"/>
      <c r="E15" s="1611"/>
      <c r="F15" s="1611"/>
      <c r="G15" s="1611"/>
      <c r="H15" s="1611"/>
      <c r="I15" s="1611"/>
      <c r="J15" s="1611"/>
      <c r="K15" s="1611"/>
      <c r="L15" s="1611"/>
      <c r="M15" s="1611"/>
      <c r="N15" s="1611"/>
      <c r="O15" s="1611"/>
      <c r="P15" s="1611"/>
      <c r="Q15" s="1612"/>
      <c r="R15" s="1066" t="s">
        <v>2743</v>
      </c>
      <c r="S15" s="1066"/>
    </row>
    <row r="16" spans="1:32" ht="24.6" customHeight="1">
      <c r="A16" s="1610" t="s">
        <v>2731</v>
      </c>
      <c r="B16" s="1611"/>
      <c r="C16" s="1611"/>
      <c r="D16" s="1611"/>
      <c r="E16" s="1611"/>
      <c r="F16" s="1611"/>
      <c r="G16" s="1611"/>
      <c r="H16" s="1611"/>
      <c r="I16" s="1611"/>
      <c r="J16" s="1611"/>
      <c r="K16" s="1611"/>
      <c r="L16" s="1611"/>
      <c r="M16" s="1611"/>
      <c r="N16" s="1611"/>
      <c r="O16" s="1611"/>
      <c r="P16" s="1611"/>
      <c r="Q16" s="1612"/>
      <c r="R16" s="1066"/>
      <c r="S16" s="1066"/>
    </row>
    <row r="17" spans="1:19" ht="24.6" customHeight="1">
      <c r="A17" s="1610" t="s">
        <v>2732</v>
      </c>
      <c r="B17" s="1611"/>
      <c r="C17" s="1611"/>
      <c r="D17" s="1611"/>
      <c r="E17" s="1611"/>
      <c r="F17" s="1611"/>
      <c r="G17" s="1611"/>
      <c r="H17" s="1611"/>
      <c r="I17" s="1611"/>
      <c r="J17" s="1611"/>
      <c r="K17" s="1611"/>
      <c r="L17" s="1611"/>
      <c r="M17" s="1611"/>
      <c r="N17" s="1611"/>
      <c r="O17" s="1611"/>
      <c r="P17" s="1611"/>
      <c r="Q17" s="1612"/>
      <c r="R17" s="1066"/>
      <c r="S17" s="1066"/>
    </row>
    <row r="18" spans="1:19" ht="24.6" customHeight="1">
      <c r="A18" s="1610" t="s">
        <v>2733</v>
      </c>
      <c r="B18" s="1611"/>
      <c r="C18" s="1611"/>
      <c r="D18" s="1611"/>
      <c r="E18" s="1611"/>
      <c r="F18" s="1611"/>
      <c r="G18" s="1611"/>
      <c r="H18" s="1611"/>
      <c r="I18" s="1611"/>
      <c r="J18" s="1611"/>
      <c r="K18" s="1611"/>
      <c r="L18" s="1611"/>
      <c r="M18" s="1611"/>
      <c r="N18" s="1611"/>
      <c r="O18" s="1611"/>
      <c r="P18" s="1611"/>
      <c r="Q18" s="1612"/>
      <c r="R18" s="1066"/>
      <c r="S18" s="1066"/>
    </row>
    <row r="19" spans="1:19" ht="24.6" customHeight="1">
      <c r="A19" s="1610" t="s">
        <v>2734</v>
      </c>
      <c r="B19" s="1611"/>
      <c r="C19" s="1611"/>
      <c r="D19" s="1611"/>
      <c r="E19" s="1611"/>
      <c r="F19" s="1611"/>
      <c r="G19" s="1611"/>
      <c r="H19" s="1611"/>
      <c r="I19" s="1611"/>
      <c r="J19" s="1611"/>
      <c r="K19" s="1611"/>
      <c r="L19" s="1611"/>
      <c r="M19" s="1611"/>
      <c r="N19" s="1611"/>
      <c r="O19" s="1611"/>
      <c r="P19" s="1611"/>
      <c r="Q19" s="1612"/>
      <c r="R19" s="777"/>
      <c r="S19" s="777"/>
    </row>
    <row r="20" spans="1:19" ht="24.6" customHeight="1">
      <c r="A20" s="1610" t="s">
        <v>2735</v>
      </c>
      <c r="B20" s="1611"/>
      <c r="C20" s="1611"/>
      <c r="D20" s="1611"/>
      <c r="E20" s="1611"/>
      <c r="F20" s="1611"/>
      <c r="G20" s="1611"/>
      <c r="H20" s="1611"/>
      <c r="I20" s="1611"/>
      <c r="J20" s="1611"/>
      <c r="K20" s="1611"/>
      <c r="L20" s="1611"/>
      <c r="M20" s="1611"/>
      <c r="N20" s="1611"/>
      <c r="O20" s="1611"/>
      <c r="P20" s="1611"/>
      <c r="Q20" s="1612"/>
      <c r="R20" s="777"/>
      <c r="S20" s="777"/>
    </row>
    <row r="21" spans="1:19" ht="24.6" customHeight="1">
      <c r="A21" s="1610" t="s">
        <v>2736</v>
      </c>
      <c r="B21" s="1611"/>
      <c r="C21" s="1611"/>
      <c r="D21" s="1611"/>
      <c r="E21" s="1611"/>
      <c r="F21" s="1611"/>
      <c r="G21" s="1611"/>
      <c r="H21" s="1611"/>
      <c r="I21" s="1611"/>
      <c r="J21" s="1611"/>
      <c r="K21" s="1611"/>
      <c r="L21" s="1611"/>
      <c r="M21" s="1611"/>
      <c r="N21" s="1611"/>
      <c r="O21" s="1611"/>
      <c r="P21" s="1611"/>
      <c r="Q21" s="1612"/>
    </row>
    <row r="22" spans="1:19" ht="24.6" customHeight="1">
      <c r="A22" s="1610" t="s">
        <v>2737</v>
      </c>
      <c r="B22" s="1611"/>
      <c r="C22" s="1611"/>
      <c r="D22" s="1611"/>
      <c r="E22" s="1611"/>
      <c r="F22" s="1611"/>
      <c r="G22" s="1611"/>
      <c r="H22" s="1611"/>
      <c r="I22" s="1611"/>
      <c r="J22" s="1611"/>
      <c r="K22" s="1611"/>
      <c r="L22" s="1611"/>
      <c r="M22" s="1611"/>
      <c r="N22" s="1611"/>
      <c r="O22" s="1611"/>
      <c r="P22" s="1611"/>
      <c r="Q22" s="1612"/>
      <c r="R22" s="1066" t="s">
        <v>2743</v>
      </c>
      <c r="S22" s="1066"/>
    </row>
    <row r="23" spans="1:19" ht="24.6" customHeight="1">
      <c r="A23" s="1610" t="s">
        <v>2738</v>
      </c>
      <c r="B23" s="1611"/>
      <c r="C23" s="1611"/>
      <c r="D23" s="1611"/>
      <c r="E23" s="1611"/>
      <c r="F23" s="1611"/>
      <c r="G23" s="1611"/>
      <c r="H23" s="1611"/>
      <c r="I23" s="1611"/>
      <c r="J23" s="1611"/>
      <c r="K23" s="1611"/>
      <c r="L23" s="1611"/>
      <c r="M23" s="1611"/>
      <c r="N23" s="1611"/>
      <c r="O23" s="1611"/>
      <c r="P23" s="1611"/>
      <c r="Q23" s="1612"/>
      <c r="R23" s="1066"/>
      <c r="S23" s="1066"/>
    </row>
    <row r="24" spans="1:19" ht="24.6" customHeight="1">
      <c r="A24" s="1610" t="s">
        <v>2739</v>
      </c>
      <c r="B24" s="1611"/>
      <c r="C24" s="1611"/>
      <c r="D24" s="1611"/>
      <c r="E24" s="1611"/>
      <c r="F24" s="1611"/>
      <c r="G24" s="1611"/>
      <c r="H24" s="1611"/>
      <c r="I24" s="1611"/>
      <c r="J24" s="1611"/>
      <c r="K24" s="1611"/>
      <c r="L24" s="1611"/>
      <c r="M24" s="1611"/>
      <c r="N24" s="1611"/>
      <c r="O24" s="1611"/>
      <c r="P24" s="1611"/>
      <c r="Q24" s="1612"/>
      <c r="R24" s="1066"/>
      <c r="S24" s="1066"/>
    </row>
    <row r="25" spans="1:19" ht="24.6" customHeight="1">
      <c r="A25" s="1610" t="s">
        <v>2740</v>
      </c>
      <c r="B25" s="1611"/>
      <c r="C25" s="1611"/>
      <c r="D25" s="1611"/>
      <c r="E25" s="1611"/>
      <c r="F25" s="1611"/>
      <c r="G25" s="1611"/>
      <c r="H25" s="1611"/>
      <c r="I25" s="1611"/>
      <c r="J25" s="1611"/>
      <c r="K25" s="1611"/>
      <c r="L25" s="1611"/>
      <c r="M25" s="1611"/>
      <c r="N25" s="1611"/>
      <c r="O25" s="1611"/>
      <c r="P25" s="1611"/>
      <c r="Q25" s="1612"/>
      <c r="R25" s="1066"/>
      <c r="S25" s="1066"/>
    </row>
    <row r="26" spans="1:19" ht="24.6" customHeight="1">
      <c r="A26" s="1610" t="s">
        <v>2741</v>
      </c>
      <c r="B26" s="1611"/>
      <c r="C26" s="1611"/>
      <c r="D26" s="1611"/>
      <c r="E26" s="1611"/>
      <c r="F26" s="1611"/>
      <c r="G26" s="1611"/>
      <c r="H26" s="1611"/>
      <c r="I26" s="1611"/>
      <c r="J26" s="1611"/>
      <c r="K26" s="1611"/>
      <c r="L26" s="1611"/>
      <c r="M26" s="1611"/>
      <c r="N26" s="1611"/>
      <c r="O26" s="1611"/>
      <c r="P26" s="1611"/>
      <c r="Q26" s="1612"/>
      <c r="R26" s="777"/>
      <c r="S26" s="777"/>
    </row>
    <row r="27" spans="1:19" ht="24.6" customHeight="1">
      <c r="A27" s="1613" t="s">
        <v>2742</v>
      </c>
      <c r="B27" s="1614"/>
      <c r="C27" s="1614"/>
      <c r="D27" s="1614"/>
      <c r="E27" s="1614"/>
      <c r="F27" s="1614"/>
      <c r="G27" s="1614"/>
      <c r="H27" s="1614"/>
      <c r="I27" s="1614"/>
      <c r="J27" s="1614"/>
      <c r="K27" s="1614"/>
      <c r="L27" s="1614"/>
      <c r="M27" s="1614"/>
      <c r="N27" s="1614"/>
      <c r="O27" s="1614"/>
      <c r="P27" s="1614"/>
      <c r="Q27" s="1615"/>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537"/>
      <c r="Q29" s="1551"/>
    </row>
    <row r="30" spans="1:19" ht="3" customHeight="1"/>
    <row r="31" spans="1:19" ht="12" customHeight="1">
      <c r="B31" s="174" t="s">
        <v>2694</v>
      </c>
      <c r="C31" s="61" t="s">
        <v>3929</v>
      </c>
      <c r="E31" s="38"/>
      <c r="F31" s="38"/>
      <c r="G31" s="38"/>
      <c r="H31" s="38"/>
      <c r="I31" s="49"/>
      <c r="J31" s="40"/>
      <c r="K31" s="49"/>
      <c r="L31" s="40"/>
      <c r="M31" s="40"/>
      <c r="O31" s="78" t="s">
        <v>773</v>
      </c>
      <c r="P31" s="979" t="s">
        <v>4067</v>
      </c>
      <c r="Q31" s="210"/>
    </row>
    <row r="32" spans="1:19" ht="12" customHeight="1">
      <c r="B32" s="54" t="s">
        <v>2697</v>
      </c>
      <c r="C32" s="61" t="s">
        <v>907</v>
      </c>
      <c r="E32" s="38"/>
      <c r="F32" s="38"/>
      <c r="G32" s="38"/>
      <c r="H32" s="38"/>
      <c r="J32" s="1607" t="s">
        <v>2875</v>
      </c>
      <c r="K32" s="1608"/>
      <c r="L32" s="1608"/>
      <c r="M32" s="1608"/>
      <c r="N32" s="1609"/>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525"/>
      <c r="B34" s="1526"/>
      <c r="C34" s="1526"/>
      <c r="D34" s="1526"/>
      <c r="E34" s="1526"/>
      <c r="F34" s="1526"/>
      <c r="G34" s="1526"/>
      <c r="H34" s="1526"/>
      <c r="I34" s="1526"/>
      <c r="J34" s="1526"/>
      <c r="K34" s="1526"/>
      <c r="L34" s="1526"/>
      <c r="M34" s="1526"/>
      <c r="N34" s="1526"/>
      <c r="O34" s="1526"/>
      <c r="P34" s="1526"/>
      <c r="Q34" s="1527"/>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604"/>
      <c r="B36" s="1605"/>
      <c r="C36" s="1605"/>
      <c r="D36" s="1605"/>
      <c r="E36" s="1605"/>
      <c r="F36" s="1605"/>
      <c r="G36" s="1605"/>
      <c r="H36" s="1605"/>
      <c r="I36" s="1605"/>
      <c r="J36" s="1605"/>
      <c r="K36" s="1605"/>
      <c r="L36" s="1605"/>
      <c r="M36" s="1605"/>
      <c r="N36" s="1605"/>
      <c r="O36" s="1605"/>
      <c r="P36" s="1605"/>
      <c r="Q36" s="1606"/>
      <c r="R36" s="614" t="s">
        <v>1677</v>
      </c>
      <c r="S36" s="615"/>
    </row>
    <row r="37" spans="1:31" ht="12" customHeight="1">
      <c r="A37" s="1637"/>
      <c r="B37" s="1638"/>
      <c r="C37" s="1638"/>
      <c r="D37" s="1638"/>
      <c r="E37" s="1638"/>
      <c r="F37" s="1638"/>
      <c r="G37" s="1638"/>
      <c r="H37" s="1638"/>
      <c r="I37" s="1638"/>
      <c r="J37" s="1638"/>
      <c r="K37" s="1638"/>
      <c r="L37" s="1638"/>
      <c r="M37" s="1638"/>
      <c r="N37" s="1638"/>
      <c r="O37" s="1638"/>
      <c r="P37" s="1638"/>
      <c r="Q37" s="1639"/>
    </row>
    <row r="38" spans="1:31" ht="12" customHeight="1">
      <c r="A38" s="1637"/>
      <c r="B38" s="1638"/>
      <c r="C38" s="1638"/>
      <c r="D38" s="1638"/>
      <c r="E38" s="1638"/>
      <c r="F38" s="1638"/>
      <c r="G38" s="1638"/>
      <c r="H38" s="1638"/>
      <c r="I38" s="1638"/>
      <c r="J38" s="1638"/>
      <c r="K38" s="1638"/>
      <c r="L38" s="1638"/>
      <c r="M38" s="1638"/>
      <c r="N38" s="1638"/>
      <c r="O38" s="1638"/>
      <c r="P38" s="1638"/>
      <c r="Q38" s="1639"/>
    </row>
    <row r="39" spans="1:31" ht="12" customHeight="1">
      <c r="A39" s="1601"/>
      <c r="B39" s="1602"/>
      <c r="C39" s="1602"/>
      <c r="D39" s="1602"/>
      <c r="E39" s="1602"/>
      <c r="F39" s="1602"/>
      <c r="G39" s="1602"/>
      <c r="H39" s="1602"/>
      <c r="I39" s="1602"/>
      <c r="J39" s="1602"/>
      <c r="K39" s="1602"/>
      <c r="L39" s="1602"/>
      <c r="M39" s="1602"/>
      <c r="N39" s="1602"/>
      <c r="O39" s="1602"/>
      <c r="P39" s="1602"/>
      <c r="Q39" s="160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2572</v>
      </c>
      <c r="P41" s="1537"/>
      <c r="Q41" s="1551"/>
    </row>
    <row r="42" spans="1:31" ht="3" customHeight="1">
      <c r="K42" s="808"/>
      <c r="L42" s="808"/>
    </row>
    <row r="43" spans="1:31" ht="12.75" customHeight="1">
      <c r="A43" s="1521" t="s">
        <v>3927</v>
      </c>
      <c r="B43" s="1521"/>
      <c r="C43" s="1521"/>
      <c r="D43" s="1521"/>
      <c r="E43" s="1521"/>
      <c r="F43" s="1643" t="s">
        <v>3650</v>
      </c>
      <c r="G43" s="1644"/>
      <c r="H43" s="1644"/>
      <c r="I43" s="1645"/>
      <c r="K43" s="1643" t="s">
        <v>3652</v>
      </c>
      <c r="L43" s="1644"/>
      <c r="M43" s="1644"/>
      <c r="N43" s="1645"/>
      <c r="P43" s="719" t="s">
        <v>3751</v>
      </c>
    </row>
    <row r="44" spans="1:31" ht="12.75" customHeight="1">
      <c r="A44" s="1521"/>
      <c r="B44" s="1521"/>
      <c r="C44" s="1521"/>
      <c r="D44" s="1521"/>
      <c r="E44" s="1521"/>
      <c r="F44" s="1634" t="s">
        <v>3651</v>
      </c>
      <c r="G44" s="1635"/>
      <c r="H44" s="1635"/>
      <c r="I44" s="1636"/>
      <c r="K44" s="1634" t="s">
        <v>3653</v>
      </c>
      <c r="L44" s="1635"/>
      <c r="M44" s="1635"/>
      <c r="N44" s="1636"/>
      <c r="P44" s="979" t="s">
        <v>4068</v>
      </c>
    </row>
    <row r="45" spans="1:31" ht="10.5" customHeight="1">
      <c r="A45" s="1521"/>
      <c r="B45" s="1521"/>
      <c r="C45" s="1521"/>
      <c r="D45" s="1521"/>
      <c r="E45" s="1521"/>
      <c r="F45" s="1652" t="s">
        <v>3647</v>
      </c>
      <c r="G45" s="1653"/>
      <c r="H45" s="1653"/>
      <c r="I45" s="1654"/>
      <c r="K45" s="1655" t="s">
        <v>3649</v>
      </c>
      <c r="L45" s="1656"/>
      <c r="M45" s="1656"/>
      <c r="N45" s="1657"/>
      <c r="P45" s="1650" t="s">
        <v>3657</v>
      </c>
      <c r="Q45" s="1650"/>
    </row>
    <row r="46" spans="1:31" ht="22.5" customHeight="1">
      <c r="A46" s="1521"/>
      <c r="B46" s="1521"/>
      <c r="C46" s="1521"/>
      <c r="D46" s="1521"/>
      <c r="E46" s="1521"/>
      <c r="F46" s="1646" t="s">
        <v>3667</v>
      </c>
      <c r="G46" s="172"/>
      <c r="I46" s="1632" t="s">
        <v>3666</v>
      </c>
      <c r="K46" s="1646" t="s">
        <v>3667</v>
      </c>
      <c r="M46" s="808"/>
      <c r="N46" s="1632" t="s">
        <v>3666</v>
      </c>
      <c r="O46" s="808"/>
      <c r="P46" s="1650"/>
      <c r="Q46" s="1650"/>
    </row>
    <row r="47" spans="1:31" ht="12.75" customHeight="1">
      <c r="A47" s="171"/>
      <c r="D47" s="980" t="s">
        <v>3646</v>
      </c>
      <c r="F47" s="1647"/>
      <c r="G47" s="981" t="s">
        <v>3648</v>
      </c>
      <c r="I47" s="1633"/>
      <c r="K47" s="1647"/>
      <c r="L47" s="981" t="s">
        <v>3648</v>
      </c>
      <c r="N47" s="1633"/>
      <c r="O47" s="808"/>
      <c r="P47" s="1651"/>
      <c r="Q47" s="1651"/>
    </row>
    <row r="48" spans="1:31" ht="11.45" customHeight="1">
      <c r="A48" s="171"/>
      <c r="D48" s="982" t="s">
        <v>736</v>
      </c>
      <c r="F48" s="536">
        <f>'Part VI-Revenues &amp; Expenses'!H62-'Part VI-Revenues &amp; Expenses'!H82</f>
        <v>0</v>
      </c>
      <c r="G48" s="98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983">
        <f>'DCA Underwriting Assumptions'!$J$12</f>
        <v>121529</v>
      </c>
      <c r="M48" s="575" t="str">
        <f>CONCATENATE("x ", K48," units = ")</f>
        <v xml:space="preserve">x 0 units = </v>
      </c>
      <c r="N48" s="678">
        <f>K48*L48</f>
        <v>0</v>
      </c>
      <c r="O48" s="808"/>
      <c r="P48" s="1648">
        <f>IF(AND('Part I-Project Information'!I159="Yes",'Part I-Project Information'!O159&gt;1),'Part I-Project Information'!O159, IF(AND('Part IV-Uses of Funds'!$T$162="Yes",'Part IX A-Scoring Criteria'!$O$240&gt;0),I53+N53,I53))</f>
        <v>10397226</v>
      </c>
      <c r="Q48" s="1649"/>
    </row>
    <row r="49" spans="1:31" ht="11.45" customHeight="1">
      <c r="A49" s="171"/>
      <c r="D49" s="982" t="s">
        <v>3644</v>
      </c>
      <c r="F49" s="536">
        <f>'Part VI-Revenues &amp; Expenses'!I62-'Part VI-Revenues &amp; Expenses'!I82</f>
        <v>14</v>
      </c>
      <c r="G49" s="983">
        <f>'DCA Underwriting Assumptions'!$K$11</f>
        <v>126647</v>
      </c>
      <c r="H49" s="575" t="str">
        <f>CONCATENATE("x ", F49," units = ")</f>
        <v xml:space="preserve">x 14 units = </v>
      </c>
      <c r="I49" s="678">
        <f>F49*G49</f>
        <v>1773058</v>
      </c>
      <c r="K49" s="536">
        <f>IF(AND('Part IV-Uses of Funds'!$T$162 = "Yes", 'Part IX A-Scoring Criteria'!$O$240 &gt; 0),'Part VI-Revenues &amp; Expenses'!I$82,0)</f>
        <v>0</v>
      </c>
      <c r="L49" s="983">
        <f>'DCA Underwriting Assumptions'!$K$12</f>
        <v>139312</v>
      </c>
      <c r="M49" s="575" t="str">
        <f>CONCATENATE("x ", K49," units = ")</f>
        <v xml:space="preserve">x 0 units = </v>
      </c>
      <c r="N49" s="678">
        <f>K49*L49</f>
        <v>0</v>
      </c>
      <c r="O49" s="808"/>
      <c r="P49" s="1529" t="s">
        <v>3734</v>
      </c>
      <c r="Q49" s="1529"/>
    </row>
    <row r="50" spans="1:31" ht="11.45" customHeight="1">
      <c r="A50" s="171"/>
      <c r="D50" s="982" t="s">
        <v>3645</v>
      </c>
      <c r="F50" s="536">
        <f>'Part VI-Revenues &amp; Expenses'!J62-'Part VI-Revenues &amp; Expenses'!J82</f>
        <v>56</v>
      </c>
      <c r="G50" s="983">
        <f>'DCA Underwriting Assumptions'!$L$11</f>
        <v>154003</v>
      </c>
      <c r="H50" s="575" t="str">
        <f>CONCATENATE("x ", F50," units = ")</f>
        <v xml:space="preserve">x 56 units = </v>
      </c>
      <c r="I50" s="678">
        <f>F50*G50</f>
        <v>8624168</v>
      </c>
      <c r="K50" s="536">
        <f>IF(AND('Part IV-Uses of Funds'!$T$162 = "Yes", 'Part IX A-Scoring Criteria'!$O$240 &gt; 0),'Part VI-Revenues &amp; Expenses'!J$82,0)</f>
        <v>0</v>
      </c>
      <c r="L50" s="983">
        <f>'DCA Underwriting Assumptions'!$L$12</f>
        <v>169403</v>
      </c>
      <c r="M50" s="575" t="str">
        <f>CONCATENATE("x ", K50," units = ")</f>
        <v xml:space="preserve">x 0 units = </v>
      </c>
      <c r="N50" s="678">
        <f>K50*L50</f>
        <v>0</v>
      </c>
      <c r="O50" s="808"/>
      <c r="P50" s="1530"/>
      <c r="Q50" s="1530"/>
    </row>
    <row r="51" spans="1:31" ht="11.45" customHeight="1">
      <c r="A51" s="171"/>
      <c r="D51" s="982" t="s">
        <v>3654</v>
      </c>
      <c r="F51" s="536">
        <f>'Part VI-Revenues &amp; Expenses'!K62-'Part VI-Revenues &amp; Expenses'!K82</f>
        <v>0</v>
      </c>
      <c r="G51" s="983">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983">
        <f>'DCA Underwriting Assumptions'!$M$12</f>
        <v>219152</v>
      </c>
      <c r="M51" s="575" t="str">
        <f>CONCATENATE("x ", K51," units = ")</f>
        <v xml:space="preserve">x 0 units = </v>
      </c>
      <c r="N51" s="678">
        <f>K51*L51</f>
        <v>0</v>
      </c>
      <c r="O51" s="808"/>
      <c r="P51" s="1530"/>
      <c r="Q51" s="1530"/>
    </row>
    <row r="52" spans="1:31" ht="11.45" customHeight="1">
      <c r="A52" s="171"/>
      <c r="D52" s="984" t="s">
        <v>3655</v>
      </c>
      <c r="F52" s="536">
        <f>'Part VI-Revenues &amp; Expenses'!L62-'Part VI-Revenues &amp; Expenses'!L82</f>
        <v>0</v>
      </c>
      <c r="G52" s="98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983">
        <f>'DCA Underwriting Assumptions'!$N$12</f>
        <v>219152</v>
      </c>
      <c r="M52" s="575" t="str">
        <f>CONCATENATE("x ", K52," units = ")</f>
        <v xml:space="preserve">x 0 units = </v>
      </c>
      <c r="N52" s="678">
        <f>K52*L52</f>
        <v>0</v>
      </c>
      <c r="O52" s="808"/>
      <c r="P52" s="1530"/>
      <c r="Q52" s="1530"/>
    </row>
    <row r="53" spans="1:31" ht="11.45" customHeight="1">
      <c r="A53" s="171"/>
      <c r="C53" s="172"/>
      <c r="D53" s="676" t="s">
        <v>3656</v>
      </c>
      <c r="F53" s="675">
        <f>SUM(F48:F52)</f>
        <v>70</v>
      </c>
      <c r="G53" s="985"/>
      <c r="H53" s="536"/>
      <c r="I53" s="677">
        <f>SUM(I48:I52)</f>
        <v>10397226</v>
      </c>
      <c r="K53" s="675">
        <f>SUM(K48:K52)</f>
        <v>0</v>
      </c>
      <c r="M53" s="536"/>
      <c r="N53" s="677">
        <f>SUM(N48:N52)</f>
        <v>0</v>
      </c>
      <c r="O53" s="808"/>
      <c r="P53" s="1530"/>
      <c r="Q53" s="1530"/>
    </row>
    <row r="54" spans="1:31" ht="3.75" customHeight="1">
      <c r="A54" s="171"/>
      <c r="C54" s="172"/>
      <c r="E54" s="64"/>
      <c r="F54" s="985"/>
      <c r="G54" s="64"/>
      <c r="I54" s="64"/>
      <c r="J54" s="64"/>
      <c r="K54" s="808"/>
      <c r="L54" s="986"/>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525"/>
      <c r="B56" s="1526"/>
      <c r="C56" s="1526"/>
      <c r="D56" s="1526"/>
      <c r="E56" s="1526"/>
      <c r="F56" s="1526"/>
      <c r="G56" s="1526"/>
      <c r="H56" s="1526"/>
      <c r="I56" s="1526"/>
      <c r="J56" s="1527"/>
      <c r="K56" s="1531"/>
      <c r="L56" s="1532"/>
      <c r="M56" s="1532"/>
      <c r="N56" s="1532"/>
      <c r="O56" s="1532"/>
      <c r="P56" s="1532"/>
      <c r="Q56" s="1533"/>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537"/>
      <c r="Q58" s="1551"/>
    </row>
    <row r="59" spans="1:31" ht="3" customHeight="1"/>
    <row r="60" spans="1:31" ht="11.45" customHeight="1">
      <c r="A60" s="171"/>
      <c r="C60" s="172" t="s">
        <v>105</v>
      </c>
      <c r="D60" s="172"/>
      <c r="E60" s="172"/>
      <c r="F60" s="172"/>
      <c r="G60" s="172"/>
      <c r="H60" s="172"/>
      <c r="K60" s="1640" t="str">
        <f>'Part I-Project Information'!$H$65</f>
        <v>HFOP</v>
      </c>
      <c r="L60" s="1641"/>
      <c r="M60" s="1642"/>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525"/>
      <c r="B62" s="1526"/>
      <c r="C62" s="1526"/>
      <c r="D62" s="1526"/>
      <c r="E62" s="1526"/>
      <c r="F62" s="1526"/>
      <c r="G62" s="1526"/>
      <c r="H62" s="1526"/>
      <c r="I62" s="1526"/>
      <c r="J62" s="1527"/>
      <c r="K62" s="1531"/>
      <c r="L62" s="1532"/>
      <c r="M62" s="1532"/>
      <c r="N62" s="1532"/>
      <c r="O62" s="1532"/>
      <c r="P62" s="1532"/>
      <c r="Q62" s="1533"/>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537"/>
      <c r="Q64" s="1551"/>
    </row>
    <row r="65" spans="1:31" ht="3" customHeight="1"/>
    <row r="66" spans="1:31" ht="12.6" customHeight="1">
      <c r="B66" s="174" t="s">
        <v>2694</v>
      </c>
      <c r="C66" s="1616" t="s">
        <v>336</v>
      </c>
      <c r="D66" s="1617"/>
      <c r="E66" s="1617"/>
      <c r="F66" s="1617"/>
      <c r="G66" s="1617"/>
      <c r="H66" s="1617"/>
      <c r="I66" s="1617"/>
      <c r="J66" s="1617"/>
      <c r="K66" s="1617"/>
      <c r="L66" s="1617"/>
      <c r="M66" s="1617"/>
      <c r="O66" s="175"/>
      <c r="P66" s="979" t="s">
        <v>4111</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3622</v>
      </c>
      <c r="K68" s="1544" t="s">
        <v>4159</v>
      </c>
      <c r="L68" s="1545"/>
      <c r="M68" s="1545"/>
      <c r="N68" s="1545"/>
      <c r="O68" s="1545"/>
      <c r="P68" s="1546"/>
      <c r="Q68" s="38"/>
    </row>
    <row r="69" spans="1:31" ht="10.9" customHeight="1">
      <c r="A69" s="176"/>
      <c r="B69" s="49"/>
      <c r="C69" s="78" t="s">
        <v>2431</v>
      </c>
      <c r="D69" s="38" t="s">
        <v>2507</v>
      </c>
      <c r="E69" s="803"/>
      <c r="F69" s="803"/>
      <c r="G69" s="803"/>
      <c r="H69" s="40"/>
      <c r="I69" s="49"/>
      <c r="J69" s="44" t="s">
        <v>3622</v>
      </c>
      <c r="K69" s="1619" t="s">
        <v>4160</v>
      </c>
      <c r="L69" s="1620"/>
      <c r="M69" s="1620"/>
      <c r="N69" s="1620"/>
      <c r="O69" s="1620"/>
      <c r="P69" s="1628"/>
      <c r="Q69" s="38"/>
    </row>
    <row r="70" spans="1:31" ht="10.9" customHeight="1">
      <c r="A70" s="176"/>
      <c r="B70" s="49"/>
      <c r="C70" s="78" t="s">
        <v>2432</v>
      </c>
      <c r="D70" s="38" t="s">
        <v>337</v>
      </c>
      <c r="E70" s="803"/>
      <c r="J70" s="44" t="s">
        <v>3622</v>
      </c>
      <c r="K70" s="1534"/>
      <c r="L70" s="1535"/>
      <c r="M70" s="1535"/>
      <c r="N70" s="1535"/>
      <c r="O70" s="1535"/>
      <c r="P70" s="1625"/>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525"/>
      <c r="B72" s="1526"/>
      <c r="C72" s="1526"/>
      <c r="D72" s="1526"/>
      <c r="E72" s="1526"/>
      <c r="F72" s="1526"/>
      <c r="G72" s="1526"/>
      <c r="H72" s="1526"/>
      <c r="I72" s="1526"/>
      <c r="J72" s="1526"/>
      <c r="K72" s="1526"/>
      <c r="L72" s="1526"/>
      <c r="M72" s="1526"/>
      <c r="N72" s="1526"/>
      <c r="O72" s="1526"/>
      <c r="P72" s="1526"/>
      <c r="Q72" s="1527"/>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531"/>
      <c r="B74" s="1532"/>
      <c r="C74" s="1532"/>
      <c r="D74" s="1532"/>
      <c r="E74" s="1532"/>
      <c r="F74" s="1532"/>
      <c r="G74" s="1532"/>
      <c r="H74" s="1532"/>
      <c r="I74" s="1532"/>
      <c r="J74" s="1532"/>
      <c r="K74" s="1532"/>
      <c r="L74" s="1532"/>
      <c r="M74" s="1532"/>
      <c r="N74" s="1532"/>
      <c r="O74" s="1532"/>
      <c r="P74" s="1532"/>
      <c r="Q74" s="1533"/>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537"/>
      <c r="Q76" s="1551"/>
    </row>
    <row r="77" spans="1:31" ht="3" customHeight="1"/>
    <row r="78" spans="1:31" ht="12" customHeight="1">
      <c r="B78" s="54" t="s">
        <v>2694</v>
      </c>
      <c r="C78" s="177" t="s">
        <v>3239</v>
      </c>
      <c r="D78" s="165"/>
      <c r="E78" s="165"/>
      <c r="F78" s="165"/>
      <c r="G78" s="165"/>
      <c r="H78" s="165"/>
      <c r="I78" s="49"/>
      <c r="J78" s="49"/>
      <c r="K78" s="49"/>
      <c r="L78" s="654" t="s">
        <v>2694</v>
      </c>
      <c r="M78" s="1544" t="s">
        <v>4151</v>
      </c>
      <c r="N78" s="1545"/>
      <c r="O78" s="1545"/>
      <c r="P78" s="1618"/>
      <c r="Q78" s="210"/>
    </row>
    <row r="79" spans="1:31" ht="12" customHeight="1">
      <c r="B79" s="54" t="s">
        <v>2697</v>
      </c>
      <c r="C79" s="61" t="s">
        <v>2749</v>
      </c>
      <c r="D79" s="165"/>
      <c r="E79" s="165"/>
      <c r="F79" s="165"/>
      <c r="L79" s="654" t="s">
        <v>2697</v>
      </c>
      <c r="M79" s="1619" t="s">
        <v>4165</v>
      </c>
      <c r="N79" s="1620"/>
      <c r="O79" s="1620"/>
      <c r="P79" s="1621"/>
      <c r="Q79" s="210"/>
    </row>
    <row r="80" spans="1:31" ht="12" customHeight="1">
      <c r="B80" s="54" t="s">
        <v>1054</v>
      </c>
      <c r="C80" s="61" t="s">
        <v>3240</v>
      </c>
      <c r="D80" s="165"/>
      <c r="E80" s="165"/>
      <c r="F80" s="165"/>
      <c r="L80" s="654" t="s">
        <v>1054</v>
      </c>
      <c r="M80" s="1619" t="s">
        <v>4166</v>
      </c>
      <c r="N80" s="1620"/>
      <c r="O80" s="1620"/>
      <c r="P80" s="1621"/>
      <c r="Q80" s="321"/>
    </row>
    <row r="81" spans="1:31" ht="12" customHeight="1">
      <c r="B81" s="54" t="s">
        <v>2830</v>
      </c>
      <c r="C81" s="61" t="s">
        <v>3241</v>
      </c>
      <c r="D81" s="165"/>
      <c r="E81" s="165"/>
      <c r="F81" s="165"/>
      <c r="L81" s="654" t="s">
        <v>2830</v>
      </c>
      <c r="M81" s="1534">
        <v>11.1</v>
      </c>
      <c r="N81" s="1535"/>
      <c r="O81" s="1535"/>
      <c r="P81" s="1536"/>
      <c r="Q81" s="210"/>
    </row>
    <row r="82" spans="1:31" ht="22.15" customHeight="1">
      <c r="B82" s="174" t="s">
        <v>2428</v>
      </c>
      <c r="C82" s="1528" t="s">
        <v>3636</v>
      </c>
      <c r="D82" s="1528"/>
      <c r="E82" s="1528"/>
      <c r="F82" s="1528"/>
      <c r="G82" s="1528"/>
      <c r="H82" s="1528"/>
      <c r="I82" s="1528"/>
      <c r="J82" s="1528"/>
      <c r="K82" s="1528"/>
      <c r="L82" s="1528"/>
      <c r="M82" s="1528"/>
      <c r="N82" s="1528"/>
      <c r="O82" s="1528"/>
      <c r="P82" s="1528"/>
      <c r="Q82" s="1528"/>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987"/>
      <c r="E84" s="1631"/>
      <c r="F84" s="1631"/>
      <c r="G84" s="1631"/>
      <c r="H84" s="61">
        <v>3</v>
      </c>
      <c r="I84" s="987"/>
      <c r="J84" s="1631"/>
      <c r="K84" s="1631"/>
      <c r="L84" s="1631"/>
      <c r="M84" s="61">
        <v>5</v>
      </c>
      <c r="N84" s="987"/>
      <c r="O84" s="1631"/>
      <c r="P84" s="1631"/>
      <c r="Q84" s="1631"/>
    </row>
    <row r="85" spans="1:31" ht="12" customHeight="1">
      <c r="B85" s="54"/>
      <c r="C85" s="61">
        <v>2</v>
      </c>
      <c r="D85" s="988"/>
      <c r="E85" s="1630"/>
      <c r="F85" s="1630"/>
      <c r="G85" s="1630"/>
      <c r="H85" s="61">
        <v>4</v>
      </c>
      <c r="I85" s="988"/>
      <c r="J85" s="1630"/>
      <c r="K85" s="1630"/>
      <c r="L85" s="1630"/>
      <c r="M85" s="61">
        <v>6</v>
      </c>
      <c r="N85" s="988"/>
      <c r="O85" s="1630"/>
      <c r="P85" s="1630"/>
      <c r="Q85" s="1630"/>
    </row>
    <row r="86" spans="1:31" ht="12" customHeight="1">
      <c r="B86" s="54" t="s">
        <v>2429</v>
      </c>
      <c r="C86" s="61" t="s">
        <v>0</v>
      </c>
      <c r="D86" s="165"/>
      <c r="E86" s="165"/>
      <c r="F86" s="165"/>
      <c r="G86" s="165"/>
      <c r="H86" s="165"/>
      <c r="I86" s="49"/>
      <c r="J86" s="49"/>
      <c r="K86" s="165"/>
      <c r="L86" s="803"/>
      <c r="M86" s="803"/>
      <c r="O86" s="654" t="s">
        <v>2429</v>
      </c>
      <c r="P86" s="989"/>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525" t="s">
        <v>4161</v>
      </c>
      <c r="B88" s="1526"/>
      <c r="C88" s="1526"/>
      <c r="D88" s="1526"/>
      <c r="E88" s="1526"/>
      <c r="F88" s="1526"/>
      <c r="G88" s="1526"/>
      <c r="H88" s="1526"/>
      <c r="I88" s="1526"/>
      <c r="J88" s="1526"/>
      <c r="K88" s="1526"/>
      <c r="L88" s="1526"/>
      <c r="M88" s="1526"/>
      <c r="N88" s="1526"/>
      <c r="O88" s="1526"/>
      <c r="P88" s="1526"/>
      <c r="Q88" s="1527"/>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531"/>
      <c r="B90" s="1532"/>
      <c r="C90" s="1532"/>
      <c r="D90" s="1532"/>
      <c r="E90" s="1532"/>
      <c r="F90" s="1532"/>
      <c r="G90" s="1532"/>
      <c r="H90" s="1532"/>
      <c r="I90" s="1532"/>
      <c r="J90" s="1532"/>
      <c r="K90" s="1532"/>
      <c r="L90" s="1532"/>
      <c r="M90" s="1532"/>
      <c r="N90" s="1532"/>
      <c r="O90" s="1532"/>
      <c r="P90" s="1532"/>
      <c r="Q90" s="1533"/>
    </row>
    <row r="91" spans="1:31" ht="13.9" customHeight="1">
      <c r="A91" s="810">
        <v>6</v>
      </c>
      <c r="B91" s="810" t="s">
        <v>3489</v>
      </c>
      <c r="C91" s="810"/>
      <c r="D91" s="808"/>
      <c r="E91" s="808"/>
      <c r="F91" s="808"/>
      <c r="G91" s="808"/>
      <c r="H91" s="808"/>
      <c r="I91" s="808"/>
      <c r="J91" s="808"/>
      <c r="K91" s="808"/>
      <c r="L91" s="808"/>
      <c r="M91" s="808"/>
      <c r="O91" s="163" t="s">
        <v>2572</v>
      </c>
      <c r="P91" s="1537"/>
      <c r="Q91" s="1551"/>
    </row>
    <row r="92" spans="1:31" ht="3" customHeight="1"/>
    <row r="93" spans="1:31" ht="12" customHeight="1">
      <c r="B93" s="54" t="s">
        <v>2694</v>
      </c>
      <c r="C93" s="61" t="s">
        <v>628</v>
      </c>
      <c r="D93" s="61"/>
      <c r="E93" s="61"/>
      <c r="F93" s="61"/>
      <c r="G93" s="61"/>
      <c r="H93" s="61"/>
      <c r="I93" s="61"/>
      <c r="J93" s="61"/>
      <c r="K93" s="61"/>
      <c r="L93" s="61"/>
      <c r="M93" s="61"/>
      <c r="O93" s="654" t="s">
        <v>2694</v>
      </c>
      <c r="P93" s="979" t="s">
        <v>4067</v>
      </c>
      <c r="Q93" s="210"/>
    </row>
    <row r="94" spans="1:31" ht="12" customHeight="1">
      <c r="B94" s="54" t="s">
        <v>2697</v>
      </c>
      <c r="C94" s="61" t="s">
        <v>1738</v>
      </c>
      <c r="D94" s="61"/>
      <c r="E94" s="61"/>
      <c r="F94" s="61"/>
      <c r="G94" s="61"/>
      <c r="H94" s="61"/>
      <c r="I94" s="61"/>
      <c r="J94" s="61"/>
      <c r="K94" s="61"/>
      <c r="L94" s="38"/>
      <c r="M94" s="38"/>
      <c r="O94" s="654" t="s">
        <v>2697</v>
      </c>
      <c r="P94" s="979" t="s">
        <v>4067</v>
      </c>
      <c r="Q94" s="210"/>
    </row>
    <row r="95" spans="1:31" ht="12" customHeight="1">
      <c r="A95" s="164"/>
      <c r="B95" s="44"/>
      <c r="D95" s="47" t="s">
        <v>721</v>
      </c>
      <c r="E95" s="49"/>
      <c r="F95" s="49"/>
      <c r="G95" s="49"/>
      <c r="H95" s="49"/>
      <c r="I95" s="49"/>
      <c r="L95" s="78" t="s">
        <v>722</v>
      </c>
      <c r="M95" s="1622"/>
      <c r="N95" s="1623"/>
      <c r="O95" s="1623"/>
      <c r="P95" s="1624"/>
      <c r="Q95" s="210"/>
    </row>
    <row r="96" spans="1:31" ht="22.9" customHeight="1">
      <c r="A96" s="176"/>
      <c r="B96" s="162"/>
      <c r="C96" s="183" t="s">
        <v>2430</v>
      </c>
      <c r="D96" s="1503" t="s">
        <v>591</v>
      </c>
      <c r="E96" s="1629"/>
      <c r="F96" s="1629"/>
      <c r="G96" s="1629"/>
      <c r="H96" s="1629"/>
      <c r="I96" s="1629"/>
      <c r="J96" s="1629"/>
      <c r="K96" s="1629"/>
      <c r="L96" s="1629"/>
      <c r="M96" s="1629"/>
      <c r="N96" s="1629"/>
      <c r="O96" s="183" t="s">
        <v>2430</v>
      </c>
      <c r="P96" s="979"/>
      <c r="Q96" s="210"/>
    </row>
    <row r="97" spans="1:32" ht="12" customHeight="1">
      <c r="A97" s="176"/>
      <c r="B97" s="162"/>
      <c r="C97" s="78" t="s">
        <v>2431</v>
      </c>
      <c r="D97" s="61" t="s">
        <v>153</v>
      </c>
      <c r="E97" s="61"/>
      <c r="F97" s="61"/>
      <c r="G97" s="61"/>
      <c r="H97" s="61"/>
      <c r="I97" s="61"/>
      <c r="J97" s="61"/>
      <c r="K97" s="61"/>
      <c r="L97" s="61"/>
      <c r="M97" s="61"/>
      <c r="O97" s="78" t="s">
        <v>2431</v>
      </c>
      <c r="P97" s="979"/>
      <c r="Q97" s="210"/>
    </row>
    <row r="98" spans="1:32" s="164" customFormat="1" ht="24.75" customHeight="1">
      <c r="A98" s="176"/>
      <c r="B98" s="592"/>
      <c r="C98" s="183" t="s">
        <v>2432</v>
      </c>
      <c r="D98" s="1528" t="s">
        <v>3584</v>
      </c>
      <c r="E98" s="1528"/>
      <c r="F98" s="1528"/>
      <c r="G98" s="1528"/>
      <c r="H98" s="1528"/>
      <c r="I98" s="1528"/>
      <c r="J98" s="1528"/>
      <c r="K98" s="1528"/>
      <c r="L98" s="1528"/>
      <c r="M98" s="1528"/>
      <c r="N98" s="1528"/>
      <c r="O98" s="183" t="s">
        <v>2432</v>
      </c>
      <c r="P98" s="990"/>
      <c r="Q98" s="323"/>
      <c r="AE98" s="657"/>
      <c r="AF98" s="657"/>
    </row>
    <row r="99" spans="1:32" ht="12" customHeight="1">
      <c r="B99" s="54" t="s">
        <v>1054</v>
      </c>
      <c r="C99" s="61" t="s">
        <v>154</v>
      </c>
      <c r="D99" s="61"/>
      <c r="E99" s="61"/>
      <c r="F99" s="61"/>
      <c r="G99" s="61"/>
      <c r="H99" s="61"/>
      <c r="I99" s="61"/>
      <c r="J99" s="61"/>
      <c r="K99" s="61"/>
      <c r="L99" s="61"/>
      <c r="M99" s="61"/>
      <c r="O99" s="654" t="s">
        <v>1054</v>
      </c>
      <c r="P99" s="979"/>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979"/>
      <c r="Q101" s="210"/>
    </row>
    <row r="102" spans="1:32" ht="12" customHeight="1">
      <c r="B102" s="54"/>
      <c r="C102" s="78" t="s">
        <v>2431</v>
      </c>
      <c r="D102" s="61" t="s">
        <v>1873</v>
      </c>
      <c r="E102" s="61"/>
      <c r="F102" s="61"/>
      <c r="G102" s="61"/>
      <c r="H102" s="61"/>
      <c r="I102" s="61"/>
      <c r="J102" s="61"/>
      <c r="K102" s="61"/>
      <c r="L102" s="38"/>
      <c r="M102" s="38"/>
      <c r="O102" s="78" t="s">
        <v>2431</v>
      </c>
      <c r="P102" s="979"/>
      <c r="Q102" s="210"/>
    </row>
    <row r="103" spans="1:32" ht="12" customHeight="1">
      <c r="B103" s="54"/>
      <c r="C103" s="78" t="s">
        <v>2432</v>
      </c>
      <c r="D103" s="61" t="s">
        <v>1874</v>
      </c>
      <c r="E103" s="61"/>
      <c r="F103" s="61"/>
      <c r="G103" s="61"/>
      <c r="H103" s="61"/>
      <c r="I103" s="61"/>
      <c r="J103" s="61"/>
      <c r="K103" s="61"/>
      <c r="L103" s="38"/>
      <c r="M103" s="38"/>
      <c r="O103" s="78" t="s">
        <v>2432</v>
      </c>
      <c r="P103" s="979"/>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525"/>
      <c r="B105" s="1526"/>
      <c r="C105" s="1526"/>
      <c r="D105" s="1526"/>
      <c r="E105" s="1526"/>
      <c r="F105" s="1526"/>
      <c r="G105" s="1526"/>
      <c r="H105" s="1526"/>
      <c r="I105" s="1526"/>
      <c r="J105" s="1526"/>
      <c r="K105" s="1526"/>
      <c r="L105" s="1526"/>
      <c r="M105" s="1526"/>
      <c r="N105" s="1526"/>
      <c r="O105" s="1526"/>
      <c r="P105" s="1526"/>
      <c r="Q105" s="1527"/>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531"/>
      <c r="B107" s="1532"/>
      <c r="C107" s="1532"/>
      <c r="D107" s="1532"/>
      <c r="E107" s="1532"/>
      <c r="F107" s="1532"/>
      <c r="G107" s="1532"/>
      <c r="H107" s="1532"/>
      <c r="I107" s="1532"/>
      <c r="J107" s="1532"/>
      <c r="K107" s="1532"/>
      <c r="L107" s="1532"/>
      <c r="M107" s="1532"/>
      <c r="N107" s="1532"/>
      <c r="O107" s="1532"/>
      <c r="P107" s="1532"/>
      <c r="Q107" s="1533"/>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537"/>
      <c r="Q109" s="1551"/>
    </row>
    <row r="110" spans="1:32" ht="6.6" customHeight="1"/>
    <row r="111" spans="1:32" ht="12" customHeight="1">
      <c r="B111" s="54" t="s">
        <v>2694</v>
      </c>
      <c r="C111" s="61" t="s">
        <v>3581</v>
      </c>
      <c r="D111" s="165"/>
      <c r="E111" s="165"/>
      <c r="F111" s="165"/>
      <c r="G111" s="165"/>
      <c r="H111" s="165"/>
      <c r="I111" s="49"/>
      <c r="J111" s="49"/>
      <c r="K111" s="49"/>
      <c r="L111" s="654" t="s">
        <v>2694</v>
      </c>
      <c r="M111" s="1541" t="s">
        <v>4112</v>
      </c>
      <c r="N111" s="1542"/>
      <c r="O111" s="1542"/>
      <c r="P111" s="1543"/>
      <c r="Q111" s="210"/>
    </row>
    <row r="112" spans="1:32" ht="12" customHeight="1">
      <c r="B112" s="54" t="s">
        <v>2697</v>
      </c>
      <c r="C112" s="61" t="s">
        <v>1997</v>
      </c>
      <c r="D112" s="165"/>
      <c r="E112" s="165"/>
      <c r="F112" s="165"/>
      <c r="G112" s="165"/>
      <c r="H112" s="165"/>
      <c r="I112" s="49"/>
      <c r="J112" s="49"/>
      <c r="K112" s="165"/>
      <c r="L112" s="165"/>
      <c r="M112" s="803"/>
      <c r="O112" s="654" t="s">
        <v>2697</v>
      </c>
      <c r="P112" s="979" t="s">
        <v>4067</v>
      </c>
      <c r="Q112" s="321"/>
    </row>
    <row r="113" spans="2:17" ht="12" customHeight="1">
      <c r="B113" s="54" t="s">
        <v>1054</v>
      </c>
      <c r="C113" s="61" t="s">
        <v>165</v>
      </c>
      <c r="D113" s="165"/>
      <c r="E113" s="165"/>
      <c r="F113" s="165"/>
      <c r="G113" s="165"/>
      <c r="H113" s="165"/>
      <c r="I113" s="49"/>
      <c r="J113" s="49"/>
      <c r="K113" s="165"/>
      <c r="L113" s="803"/>
      <c r="M113" s="803"/>
      <c r="O113" s="654" t="s">
        <v>1054</v>
      </c>
      <c r="P113" s="979" t="s">
        <v>4068</v>
      </c>
      <c r="Q113" s="210"/>
    </row>
    <row r="114" spans="2:17" ht="12" customHeight="1">
      <c r="B114" s="54"/>
      <c r="C114" s="77" t="s">
        <v>2430</v>
      </c>
      <c r="D114" s="61" t="s">
        <v>3582</v>
      </c>
      <c r="E114" s="165"/>
      <c r="F114" s="165"/>
      <c r="G114" s="165"/>
      <c r="H114" s="165"/>
      <c r="I114" s="49"/>
      <c r="J114" s="49"/>
      <c r="K114" s="165"/>
      <c r="L114" s="78" t="s">
        <v>2430</v>
      </c>
      <c r="M114" s="1541" t="s">
        <v>4112</v>
      </c>
      <c r="N114" s="1542"/>
      <c r="O114" s="1542"/>
      <c r="P114" s="1543"/>
      <c r="Q114" s="321"/>
    </row>
    <row r="115" spans="2:17" ht="12" customHeight="1">
      <c r="B115" s="171"/>
      <c r="C115" s="78" t="s">
        <v>2431</v>
      </c>
      <c r="D115" s="44" t="s">
        <v>3402</v>
      </c>
      <c r="E115" s="49"/>
      <c r="F115" s="49"/>
      <c r="G115" s="49"/>
      <c r="H115" s="61"/>
      <c r="I115" s="49"/>
      <c r="J115" s="49"/>
      <c r="K115" s="165"/>
      <c r="L115" s="803"/>
      <c r="M115" s="803"/>
      <c r="O115" s="654" t="s">
        <v>2431</v>
      </c>
      <c r="P115" s="989">
        <v>60.4</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591" t="s">
        <v>4167</v>
      </c>
      <c r="E117" s="1592"/>
      <c r="F117" s="1592"/>
      <c r="G117" s="1592"/>
      <c r="H117" s="1592"/>
      <c r="I117" s="1592"/>
      <c r="J117" s="1592"/>
      <c r="K117" s="1592"/>
      <c r="L117" s="1592"/>
      <c r="M117" s="1592"/>
      <c r="N117" s="1592"/>
      <c r="O117" s="1592"/>
      <c r="P117" s="1592"/>
      <c r="Q117" s="1593"/>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979" t="s">
        <v>4067</v>
      </c>
      <c r="Q119" s="210"/>
    </row>
    <row r="120" spans="2:17" ht="12" customHeight="1">
      <c r="B120" s="54"/>
      <c r="C120" s="78" t="s">
        <v>2431</v>
      </c>
      <c r="D120" s="61" t="s">
        <v>1686</v>
      </c>
      <c r="E120" s="165"/>
      <c r="F120" s="165"/>
      <c r="G120" s="165"/>
      <c r="H120" s="49"/>
      <c r="I120" s="49"/>
      <c r="J120" s="49"/>
      <c r="K120" s="165"/>
      <c r="L120" s="803"/>
      <c r="M120" s="803"/>
      <c r="O120" s="78" t="s">
        <v>2431</v>
      </c>
      <c r="P120" s="989" t="s">
        <v>4067</v>
      </c>
      <c r="Q120" s="321"/>
    </row>
    <row r="121" spans="2:17" ht="12" customHeight="1">
      <c r="B121" s="54"/>
      <c r="C121" s="78"/>
      <c r="D121" s="61" t="s">
        <v>3465</v>
      </c>
      <c r="E121" s="608" t="s">
        <v>3202</v>
      </c>
      <c r="F121" s="61" t="s">
        <v>3466</v>
      </c>
      <c r="G121" s="49"/>
      <c r="H121" s="61"/>
      <c r="I121" s="49"/>
      <c r="J121" s="49"/>
      <c r="K121" s="165"/>
      <c r="L121" s="803"/>
      <c r="M121" s="803"/>
      <c r="O121" s="608" t="s">
        <v>3202</v>
      </c>
      <c r="P121" s="991"/>
      <c r="Q121" s="385"/>
    </row>
    <row r="122" spans="2:17" ht="12" customHeight="1">
      <c r="B122" s="54"/>
      <c r="C122" s="78"/>
      <c r="E122" s="608" t="s">
        <v>3203</v>
      </c>
      <c r="F122" s="61" t="s">
        <v>3467</v>
      </c>
      <c r="G122" s="49"/>
      <c r="H122" s="61"/>
      <c r="I122" s="49"/>
      <c r="J122" s="49"/>
      <c r="K122" s="165"/>
      <c r="L122" s="803"/>
      <c r="M122" s="803"/>
      <c r="O122" s="608" t="s">
        <v>3203</v>
      </c>
      <c r="P122" s="989"/>
      <c r="Q122" s="321"/>
    </row>
    <row r="123" spans="2:17" ht="12" customHeight="1">
      <c r="B123" s="54"/>
      <c r="C123" s="78"/>
      <c r="E123" s="608" t="s">
        <v>3204</v>
      </c>
      <c r="F123" s="61" t="s">
        <v>3468</v>
      </c>
      <c r="G123" s="49"/>
      <c r="H123" s="61"/>
      <c r="I123" s="49"/>
      <c r="J123" s="49"/>
      <c r="K123" s="165"/>
      <c r="L123" s="803"/>
      <c r="M123" s="803"/>
      <c r="O123" s="608" t="s">
        <v>3204</v>
      </c>
      <c r="P123" s="989"/>
      <c r="Q123" s="321"/>
    </row>
    <row r="124" spans="2:17" ht="12" customHeight="1">
      <c r="B124" s="54"/>
      <c r="C124" s="78" t="s">
        <v>2432</v>
      </c>
      <c r="D124" s="61" t="s">
        <v>1687</v>
      </c>
      <c r="E124" s="165"/>
      <c r="F124" s="165"/>
      <c r="G124" s="165"/>
      <c r="H124" s="61"/>
      <c r="I124" s="49"/>
      <c r="J124" s="49"/>
      <c r="K124" s="165"/>
      <c r="L124" s="803"/>
      <c r="M124" s="803"/>
      <c r="O124" s="78" t="s">
        <v>2432</v>
      </c>
      <c r="P124" s="979" t="s">
        <v>4067</v>
      </c>
      <c r="Q124" s="210"/>
    </row>
    <row r="125" spans="2:17" ht="12" customHeight="1">
      <c r="B125" s="54"/>
      <c r="C125" s="78"/>
      <c r="D125" s="61" t="s">
        <v>3465</v>
      </c>
      <c r="E125" s="608" t="s">
        <v>3202</v>
      </c>
      <c r="F125" s="61" t="s">
        <v>3469</v>
      </c>
      <c r="G125" s="49"/>
      <c r="H125" s="61"/>
      <c r="I125" s="49"/>
      <c r="J125" s="49"/>
      <c r="K125" s="165"/>
      <c r="L125" s="803"/>
      <c r="O125" s="608" t="s">
        <v>3202</v>
      </c>
      <c r="P125" s="991"/>
      <c r="Q125" s="322"/>
    </row>
    <row r="126" spans="2:17" ht="12" customHeight="1">
      <c r="B126" s="54"/>
      <c r="C126" s="78"/>
      <c r="E126" s="608" t="s">
        <v>3203</v>
      </c>
      <c r="F126" s="61" t="s">
        <v>3470</v>
      </c>
      <c r="G126" s="49"/>
      <c r="H126" s="61"/>
      <c r="I126" s="49"/>
      <c r="J126" s="49"/>
      <c r="K126" s="165"/>
      <c r="L126" s="803"/>
      <c r="O126" s="608" t="s">
        <v>3203</v>
      </c>
      <c r="P126" s="989"/>
      <c r="Q126" s="321"/>
    </row>
    <row r="127" spans="2:17" ht="12" customHeight="1">
      <c r="B127" s="54"/>
      <c r="C127" s="78"/>
      <c r="E127" s="608" t="s">
        <v>3204</v>
      </c>
      <c r="F127" s="61" t="s">
        <v>3468</v>
      </c>
      <c r="G127" s="49"/>
      <c r="H127" s="61"/>
      <c r="I127" s="49"/>
      <c r="J127" s="49"/>
      <c r="K127" s="165"/>
      <c r="L127" s="803"/>
      <c r="O127" s="608" t="s">
        <v>3204</v>
      </c>
      <c r="P127" s="989"/>
      <c r="Q127" s="321"/>
    </row>
    <row r="128" spans="2:17" ht="12" customHeight="1">
      <c r="B128" s="44"/>
      <c r="C128" s="78" t="s">
        <v>3120</v>
      </c>
      <c r="D128" s="61" t="s">
        <v>3471</v>
      </c>
      <c r="E128" s="165"/>
      <c r="F128" s="165"/>
      <c r="G128" s="165"/>
      <c r="H128" s="165"/>
      <c r="I128" s="49"/>
      <c r="J128" s="49"/>
      <c r="K128" s="165"/>
      <c r="L128" s="803"/>
      <c r="M128" s="803"/>
      <c r="O128" s="78" t="s">
        <v>3120</v>
      </c>
      <c r="P128" s="979" t="s">
        <v>4067</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992" t="s">
        <v>4067</v>
      </c>
      <c r="G130" s="324"/>
      <c r="H130" s="78" t="s">
        <v>3120</v>
      </c>
      <c r="I130" s="61" t="s">
        <v>2012</v>
      </c>
      <c r="J130" s="992" t="s">
        <v>4067</v>
      </c>
      <c r="K130" s="324"/>
      <c r="L130" s="654" t="s">
        <v>104</v>
      </c>
      <c r="M130" s="61" t="s">
        <v>2013</v>
      </c>
      <c r="O130" s="992" t="s">
        <v>4067</v>
      </c>
      <c r="P130" s="324"/>
    </row>
    <row r="131" spans="1:31" ht="12" customHeight="1">
      <c r="B131" s="44"/>
      <c r="C131" s="78" t="s">
        <v>2431</v>
      </c>
      <c r="D131" s="61" t="s">
        <v>3277</v>
      </c>
      <c r="E131" s="165"/>
      <c r="F131" s="993" t="s">
        <v>4067</v>
      </c>
      <c r="G131" s="473"/>
      <c r="H131" s="78" t="s">
        <v>2009</v>
      </c>
      <c r="I131" s="61" t="s">
        <v>3669</v>
      </c>
      <c r="J131" s="993" t="s">
        <v>4067</v>
      </c>
      <c r="K131" s="473"/>
      <c r="L131" s="654" t="s">
        <v>678</v>
      </c>
      <c r="M131" s="64" t="s">
        <v>3473</v>
      </c>
      <c r="O131" s="993" t="s">
        <v>4067</v>
      </c>
      <c r="P131" s="473"/>
    </row>
    <row r="132" spans="1:31" ht="12" customHeight="1">
      <c r="B132" s="44"/>
      <c r="C132" s="78" t="s">
        <v>2432</v>
      </c>
      <c r="D132" s="61" t="s">
        <v>3472</v>
      </c>
      <c r="E132" s="165"/>
      <c r="F132" s="994" t="s">
        <v>4067</v>
      </c>
      <c r="G132" s="325"/>
      <c r="H132" s="78" t="s">
        <v>2010</v>
      </c>
      <c r="I132" s="61" t="s">
        <v>2011</v>
      </c>
      <c r="J132" s="994" t="s">
        <v>4067</v>
      </c>
      <c r="K132" s="325"/>
      <c r="L132" s="654" t="s">
        <v>679</v>
      </c>
      <c r="M132" s="64" t="s">
        <v>3474</v>
      </c>
      <c r="O132" s="994" t="s">
        <v>4067</v>
      </c>
      <c r="P132" s="325"/>
    </row>
    <row r="133" spans="1:31" ht="12" customHeight="1">
      <c r="B133" s="44"/>
      <c r="C133" s="654" t="s">
        <v>680</v>
      </c>
      <c r="D133" s="61" t="s">
        <v>3962</v>
      </c>
      <c r="E133" s="165"/>
      <c r="F133" s="165"/>
      <c r="G133" s="165"/>
      <c r="H133" s="165"/>
      <c r="J133" s="1541" t="s">
        <v>4113</v>
      </c>
      <c r="K133" s="1542"/>
      <c r="L133" s="1542"/>
      <c r="M133" s="1542"/>
      <c r="N133" s="1542"/>
      <c r="O133" s="1542"/>
      <c r="P133" s="1543"/>
      <c r="Q133" s="210"/>
    </row>
    <row r="134" spans="1:31" ht="12" customHeight="1">
      <c r="B134" s="54" t="s">
        <v>2429</v>
      </c>
      <c r="C134" s="61" t="s">
        <v>1718</v>
      </c>
      <c r="D134" s="165"/>
      <c r="E134" s="165"/>
      <c r="F134" s="165"/>
      <c r="G134" s="165"/>
      <c r="H134" s="165"/>
      <c r="I134" s="49"/>
      <c r="J134" s="49"/>
      <c r="K134" s="165"/>
      <c r="L134" s="165"/>
      <c r="M134" s="803"/>
      <c r="O134" s="654" t="s">
        <v>2429</v>
      </c>
      <c r="P134" s="979" t="s">
        <v>1369</v>
      </c>
      <c r="Q134" s="210"/>
    </row>
    <row r="135" spans="1:31" ht="12" customHeight="1">
      <c r="A135" s="176"/>
      <c r="B135" s="49"/>
      <c r="C135" s="78" t="s">
        <v>2430</v>
      </c>
      <c r="D135" s="61" t="s">
        <v>908</v>
      </c>
      <c r="E135" s="165"/>
      <c r="F135" s="165"/>
      <c r="G135" s="165"/>
      <c r="H135" s="165"/>
      <c r="O135" s="78" t="s">
        <v>2430</v>
      </c>
      <c r="P135" s="979"/>
      <c r="Q135" s="210"/>
    </row>
    <row r="136" spans="1:31" ht="12" customHeight="1">
      <c r="A136" s="176"/>
      <c r="B136" s="162"/>
      <c r="C136" s="78" t="s">
        <v>2431</v>
      </c>
      <c r="D136" s="61" t="s">
        <v>625</v>
      </c>
      <c r="E136" s="61"/>
      <c r="F136" s="61"/>
      <c r="G136" s="61"/>
      <c r="H136" s="61"/>
      <c r="I136" s="49"/>
      <c r="J136" s="49"/>
      <c r="K136" s="61"/>
      <c r="L136" s="61"/>
      <c r="M136" s="61"/>
      <c r="O136" s="78" t="s">
        <v>2431</v>
      </c>
      <c r="P136" s="979"/>
      <c r="Q136" s="210"/>
    </row>
    <row r="137" spans="1:31" ht="12" customHeight="1">
      <c r="A137" s="176"/>
      <c r="B137" s="162"/>
      <c r="C137" s="78" t="s">
        <v>2432</v>
      </c>
      <c r="D137" s="61" t="s">
        <v>867</v>
      </c>
      <c r="E137" s="61"/>
      <c r="F137" s="61"/>
      <c r="G137" s="61"/>
      <c r="H137" s="61"/>
      <c r="I137" s="49"/>
      <c r="J137" s="49"/>
      <c r="K137" s="61"/>
      <c r="L137" s="61"/>
      <c r="M137" s="61"/>
      <c r="O137" s="78" t="s">
        <v>2432</v>
      </c>
      <c r="P137" s="979"/>
      <c r="Q137" s="210"/>
    </row>
    <row r="138" spans="1:31" ht="12" customHeight="1">
      <c r="B138" s="54" t="s">
        <v>2657</v>
      </c>
      <c r="C138" s="61" t="s">
        <v>2447</v>
      </c>
      <c r="D138" s="165"/>
      <c r="E138" s="165"/>
      <c r="F138" s="165"/>
      <c r="G138" s="165"/>
      <c r="H138" s="165"/>
      <c r="I138" s="49"/>
      <c r="J138" s="49"/>
      <c r="K138" s="165"/>
      <c r="L138" s="165"/>
      <c r="M138" s="803"/>
      <c r="O138" s="654" t="s">
        <v>2657</v>
      </c>
      <c r="P138" s="979"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525"/>
      <c r="B141" s="1526"/>
      <c r="C141" s="1526"/>
      <c r="D141" s="1526"/>
      <c r="E141" s="1526"/>
      <c r="F141" s="1526"/>
      <c r="G141" s="1526"/>
      <c r="H141" s="1526"/>
      <c r="I141" s="1526"/>
      <c r="J141" s="1526"/>
      <c r="K141" s="1526"/>
      <c r="L141" s="1526"/>
      <c r="M141" s="1526"/>
      <c r="N141" s="1526"/>
      <c r="O141" s="1526"/>
      <c r="P141" s="1526"/>
      <c r="Q141" s="1527"/>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531"/>
      <c r="B143" s="1532"/>
      <c r="C143" s="1532"/>
      <c r="D143" s="1532"/>
      <c r="E143" s="1532"/>
      <c r="F143" s="1532"/>
      <c r="G143" s="1532"/>
      <c r="H143" s="1532"/>
      <c r="I143" s="1532"/>
      <c r="J143" s="1532"/>
      <c r="K143" s="1532"/>
      <c r="L143" s="1532"/>
      <c r="M143" s="1532"/>
      <c r="N143" s="1532"/>
      <c r="O143" s="1532"/>
      <c r="P143" s="1532"/>
      <c r="Q143" s="1533"/>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537"/>
      <c r="Q145" s="1551"/>
    </row>
    <row r="146" spans="1:31" ht="12" customHeight="1">
      <c r="B146" s="54" t="s">
        <v>2694</v>
      </c>
      <c r="C146" s="61" t="s">
        <v>3634</v>
      </c>
      <c r="D146" s="61"/>
      <c r="E146" s="61"/>
      <c r="F146" s="61"/>
      <c r="G146" s="61"/>
      <c r="I146" s="61" t="s">
        <v>3633</v>
      </c>
      <c r="K146" s="1539">
        <v>41639</v>
      </c>
      <c r="L146" s="1540"/>
      <c r="N146" s="61"/>
      <c r="O146" s="654" t="s">
        <v>2694</v>
      </c>
      <c r="P146" s="979" t="s">
        <v>4068</v>
      </c>
      <c r="Q146" s="210"/>
    </row>
    <row r="147" spans="1:31" ht="12" customHeight="1">
      <c r="A147" s="171"/>
      <c r="B147" s="54" t="s">
        <v>2697</v>
      </c>
      <c r="C147" s="172" t="s">
        <v>164</v>
      </c>
      <c r="D147" s="172"/>
      <c r="E147" s="172"/>
      <c r="F147" s="172"/>
      <c r="G147" s="172"/>
      <c r="H147" s="172"/>
      <c r="M147" s="654" t="s">
        <v>2697</v>
      </c>
      <c r="N147" s="1626" t="s">
        <v>4114</v>
      </c>
      <c r="O147" s="1627"/>
      <c r="P147" s="1597"/>
      <c r="Q147" s="1598"/>
    </row>
    <row r="148" spans="1:31" ht="12" customHeight="1">
      <c r="A148" s="171"/>
      <c r="B148" s="54" t="s">
        <v>1054</v>
      </c>
      <c r="C148" s="172" t="s">
        <v>868</v>
      </c>
      <c r="D148" s="172"/>
      <c r="E148" s="172"/>
      <c r="F148" s="172"/>
      <c r="G148" s="172"/>
      <c r="H148" s="172"/>
      <c r="J148" s="654" t="s">
        <v>1054</v>
      </c>
      <c r="K148" s="1584" t="s">
        <v>4102</v>
      </c>
      <c r="L148" s="1590"/>
      <c r="M148" s="1590"/>
      <c r="N148" s="1590"/>
      <c r="O148" s="1590"/>
      <c r="P148" s="1585"/>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525"/>
      <c r="B150" s="1526"/>
      <c r="C150" s="1526"/>
      <c r="D150" s="1526"/>
      <c r="E150" s="1526"/>
      <c r="F150" s="1526"/>
      <c r="G150" s="1526"/>
      <c r="H150" s="1526"/>
      <c r="I150" s="1526"/>
      <c r="J150" s="1526"/>
      <c r="K150" s="1526"/>
      <c r="L150" s="1526"/>
      <c r="M150" s="1526"/>
      <c r="N150" s="1526"/>
      <c r="O150" s="1526"/>
      <c r="P150" s="1526"/>
      <c r="Q150" s="1527"/>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531"/>
      <c r="B152" s="1532"/>
      <c r="C152" s="1532"/>
      <c r="D152" s="1532"/>
      <c r="E152" s="1532"/>
      <c r="F152" s="1532"/>
      <c r="G152" s="1532"/>
      <c r="H152" s="1532"/>
      <c r="I152" s="1532"/>
      <c r="J152" s="1532"/>
      <c r="K152" s="1532"/>
      <c r="L152" s="1532"/>
      <c r="M152" s="1532"/>
      <c r="N152" s="1532"/>
      <c r="O152" s="1532"/>
      <c r="P152" s="1532"/>
      <c r="Q152" s="1533"/>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537"/>
      <c r="Q154" s="1551"/>
    </row>
    <row r="155" spans="1:31" ht="12" customHeight="1">
      <c r="B155" s="174" t="s">
        <v>2694</v>
      </c>
      <c r="C155" s="172" t="s">
        <v>102</v>
      </c>
      <c r="D155" s="172"/>
      <c r="E155" s="172"/>
      <c r="F155" s="172"/>
      <c r="G155" s="172"/>
      <c r="H155" s="172"/>
      <c r="I155" s="172"/>
      <c r="J155" s="172"/>
      <c r="K155" s="172"/>
      <c r="L155" s="179"/>
      <c r="M155" s="179"/>
      <c r="N155" s="179"/>
      <c r="O155" s="199" t="s">
        <v>2694</v>
      </c>
      <c r="P155" s="979" t="s">
        <v>4068</v>
      </c>
      <c r="Q155" s="210"/>
    </row>
    <row r="156" spans="1:31" ht="22.15" customHeight="1">
      <c r="B156" s="174" t="s">
        <v>2697</v>
      </c>
      <c r="C156" s="1528" t="s">
        <v>3293</v>
      </c>
      <c r="D156" s="1528"/>
      <c r="E156" s="1528"/>
      <c r="F156" s="1528"/>
      <c r="G156" s="1528"/>
      <c r="H156" s="1528"/>
      <c r="I156" s="1528"/>
      <c r="J156" s="1528"/>
      <c r="K156" s="1528"/>
      <c r="L156" s="1528"/>
      <c r="M156" s="1528"/>
      <c r="N156" s="1528"/>
      <c r="O156" s="199" t="s">
        <v>2697</v>
      </c>
      <c r="P156" s="979"/>
      <c r="Q156" s="210"/>
    </row>
    <row r="157" spans="1:31" ht="21.75" customHeight="1">
      <c r="B157" s="174" t="s">
        <v>1054</v>
      </c>
      <c r="C157" s="1528" t="s">
        <v>3475</v>
      </c>
      <c r="D157" s="1528"/>
      <c r="E157" s="1528"/>
      <c r="F157" s="1528"/>
      <c r="G157" s="1528"/>
      <c r="H157" s="1528"/>
      <c r="I157" s="1528"/>
      <c r="J157" s="1528"/>
      <c r="K157" s="1528"/>
      <c r="L157" s="1528"/>
      <c r="M157" s="1528"/>
      <c r="N157" s="1528"/>
      <c r="O157" s="199" t="s">
        <v>1054</v>
      </c>
      <c r="P157" s="979"/>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525" t="s">
        <v>4152</v>
      </c>
      <c r="B159" s="1526"/>
      <c r="C159" s="1526"/>
      <c r="D159" s="1526"/>
      <c r="E159" s="1526"/>
      <c r="F159" s="1526"/>
      <c r="G159" s="1526"/>
      <c r="H159" s="1526"/>
      <c r="I159" s="1526"/>
      <c r="J159" s="1526"/>
      <c r="K159" s="1526"/>
      <c r="L159" s="1526"/>
      <c r="M159" s="1526"/>
      <c r="N159" s="1526"/>
      <c r="O159" s="1526"/>
      <c r="P159" s="1526"/>
      <c r="Q159" s="1527"/>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531"/>
      <c r="B161" s="1532"/>
      <c r="C161" s="1532"/>
      <c r="D161" s="1532"/>
      <c r="E161" s="1532"/>
      <c r="F161" s="1532"/>
      <c r="G161" s="1532"/>
      <c r="H161" s="1532"/>
      <c r="I161" s="1532"/>
      <c r="J161" s="1532"/>
      <c r="K161" s="1532"/>
      <c r="L161" s="1532"/>
      <c r="M161" s="1532"/>
      <c r="N161" s="1532"/>
      <c r="O161" s="1532"/>
      <c r="P161" s="1532"/>
      <c r="Q161" s="1533"/>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586" t="s">
        <v>3493</v>
      </c>
      <c r="C163" s="1586"/>
      <c r="D163" s="1586"/>
      <c r="O163" s="163" t="s">
        <v>2572</v>
      </c>
      <c r="P163" s="1537"/>
      <c r="Q163" s="1551"/>
    </row>
    <row r="164" spans="1:32" ht="12" customHeight="1">
      <c r="B164" s="174" t="s">
        <v>2694</v>
      </c>
      <c r="C164" s="179" t="s">
        <v>600</v>
      </c>
      <c r="D164" s="179"/>
      <c r="E164" s="179"/>
      <c r="F164" s="179"/>
      <c r="G164" s="179"/>
      <c r="H164" s="179"/>
      <c r="I164" s="179"/>
      <c r="J164" s="179"/>
      <c r="K164" s="179"/>
      <c r="L164" s="179"/>
      <c r="M164" s="179"/>
      <c r="O164" s="199" t="s">
        <v>2694</v>
      </c>
      <c r="P164" s="979" t="s">
        <v>4068</v>
      </c>
      <c r="Q164" s="210"/>
    </row>
    <row r="165" spans="1:32" ht="12" customHeight="1">
      <c r="B165" s="174" t="s">
        <v>2697</v>
      </c>
      <c r="C165" s="179" t="s">
        <v>3476</v>
      </c>
      <c r="D165" s="179"/>
      <c r="E165" s="179"/>
      <c r="F165" s="179"/>
      <c r="G165" s="179"/>
      <c r="H165" s="179"/>
      <c r="I165" s="179"/>
      <c r="J165" s="179"/>
      <c r="K165" s="179"/>
      <c r="L165" s="179"/>
      <c r="M165" s="179"/>
      <c r="O165" s="199" t="s">
        <v>2697</v>
      </c>
      <c r="P165" s="979" t="s">
        <v>4068</v>
      </c>
      <c r="Q165" s="210"/>
    </row>
    <row r="166" spans="1:32" ht="12" customHeight="1">
      <c r="B166" s="174" t="s">
        <v>1054</v>
      </c>
      <c r="C166" s="179" t="s">
        <v>3477</v>
      </c>
      <c r="D166" s="179"/>
      <c r="E166" s="179"/>
      <c r="F166" s="179"/>
      <c r="G166" s="179"/>
      <c r="H166" s="179"/>
      <c r="I166" s="179"/>
      <c r="J166" s="179"/>
      <c r="K166" s="179"/>
      <c r="L166" s="179"/>
      <c r="M166" s="179"/>
      <c r="O166" s="199" t="s">
        <v>1054</v>
      </c>
      <c r="P166" s="979" t="s">
        <v>4068</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979" t="s">
        <v>4068</v>
      </c>
      <c r="Q167" s="210"/>
    </row>
    <row r="168" spans="1:32" ht="12" customHeight="1">
      <c r="B168" s="174"/>
      <c r="C168" s="179"/>
      <c r="D168" s="179"/>
      <c r="E168" s="608" t="s">
        <v>2431</v>
      </c>
      <c r="F168" s="179" t="s">
        <v>3479</v>
      </c>
      <c r="G168" s="179"/>
      <c r="H168" s="179"/>
      <c r="I168" s="179"/>
      <c r="J168" s="179"/>
      <c r="K168" s="179"/>
      <c r="L168" s="179"/>
      <c r="M168" s="179"/>
      <c r="O168" s="608" t="s">
        <v>2431</v>
      </c>
      <c r="P168" s="979" t="s">
        <v>4068</v>
      </c>
      <c r="Q168" s="210"/>
    </row>
    <row r="169" spans="1:32" s="164" customFormat="1" ht="21.75" customHeight="1">
      <c r="B169" s="174"/>
      <c r="C169" s="179"/>
      <c r="D169" s="179"/>
      <c r="E169" s="199" t="s">
        <v>2432</v>
      </c>
      <c r="F169" s="1528" t="s">
        <v>3480</v>
      </c>
      <c r="G169" s="1528"/>
      <c r="H169" s="1528"/>
      <c r="I169" s="1528"/>
      <c r="J169" s="1528"/>
      <c r="K169" s="1528"/>
      <c r="L169" s="1528"/>
      <c r="M169" s="1528"/>
      <c r="N169" s="1528"/>
      <c r="O169" s="199" t="s">
        <v>2432</v>
      </c>
      <c r="P169" s="990" t="s">
        <v>4068</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979" t="s">
        <v>4068</v>
      </c>
      <c r="Q170" s="210"/>
    </row>
    <row r="171" spans="1:32" s="164" customFormat="1" ht="21.75" customHeight="1">
      <c r="B171" s="174"/>
      <c r="C171" s="179"/>
      <c r="D171" s="179"/>
      <c r="E171" s="199" t="s">
        <v>2009</v>
      </c>
      <c r="F171" s="1528" t="s">
        <v>3482</v>
      </c>
      <c r="G171" s="1528"/>
      <c r="H171" s="1528"/>
      <c r="I171" s="1528"/>
      <c r="J171" s="1528"/>
      <c r="K171" s="1528"/>
      <c r="L171" s="1528"/>
      <c r="M171" s="1528"/>
      <c r="N171" s="1528"/>
      <c r="O171" s="199" t="s">
        <v>2009</v>
      </c>
      <c r="P171" s="990"/>
      <c r="Q171" s="323"/>
      <c r="AE171" s="657"/>
      <c r="AF171" s="657"/>
    </row>
    <row r="172" spans="1:32" ht="21.75" customHeight="1">
      <c r="B172" s="174" t="s">
        <v>2830</v>
      </c>
      <c r="C172" s="1528" t="s">
        <v>3483</v>
      </c>
      <c r="D172" s="1528"/>
      <c r="E172" s="1528"/>
      <c r="F172" s="1528"/>
      <c r="G172" s="1528"/>
      <c r="H172" s="1528"/>
      <c r="I172" s="1528"/>
      <c r="J172" s="1528"/>
      <c r="K172" s="1528"/>
      <c r="L172" s="1528"/>
      <c r="M172" s="1528"/>
      <c r="N172" s="1528"/>
      <c r="O172" s="199" t="s">
        <v>2830</v>
      </c>
      <c r="P172" s="979" t="s">
        <v>4068</v>
      </c>
      <c r="Q172" s="210"/>
    </row>
    <row r="173" spans="1:32" ht="12" customHeight="1">
      <c r="B173" s="174" t="s">
        <v>2428</v>
      </c>
      <c r="C173" s="179" t="s">
        <v>3136</v>
      </c>
      <c r="D173" s="179"/>
      <c r="E173" s="179"/>
      <c r="F173" s="179"/>
      <c r="G173" s="179"/>
      <c r="H173" s="179"/>
      <c r="I173" s="179"/>
      <c r="J173" s="179"/>
      <c r="K173" s="179"/>
      <c r="L173" s="179"/>
      <c r="M173" s="179"/>
      <c r="O173" s="199" t="s">
        <v>2428</v>
      </c>
      <c r="P173" s="979" t="s">
        <v>4068</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525" t="s">
        <v>4135</v>
      </c>
      <c r="B175" s="1526"/>
      <c r="C175" s="1526"/>
      <c r="D175" s="1526"/>
      <c r="E175" s="1526"/>
      <c r="F175" s="1526"/>
      <c r="G175" s="1526"/>
      <c r="H175" s="1526"/>
      <c r="I175" s="1526"/>
      <c r="J175" s="1526"/>
      <c r="K175" s="1526"/>
      <c r="L175" s="1526"/>
      <c r="M175" s="1526"/>
      <c r="N175" s="1526"/>
      <c r="O175" s="1526"/>
      <c r="P175" s="1526"/>
      <c r="Q175" s="1527"/>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531"/>
      <c r="B177" s="1532"/>
      <c r="C177" s="1532"/>
      <c r="D177" s="1532"/>
      <c r="E177" s="1532"/>
      <c r="F177" s="1532"/>
      <c r="G177" s="1532"/>
      <c r="H177" s="1532"/>
      <c r="I177" s="1532"/>
      <c r="J177" s="1532"/>
      <c r="K177" s="1532"/>
      <c r="L177" s="1532"/>
      <c r="M177" s="1532"/>
      <c r="N177" s="1532"/>
      <c r="O177" s="1532"/>
      <c r="P177" s="1532"/>
      <c r="Q177" s="1533"/>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537"/>
      <c r="Q179" s="1551"/>
    </row>
    <row r="180" spans="1:31" ht="12" customHeight="1">
      <c r="A180" s="171"/>
      <c r="B180" s="54" t="s">
        <v>2694</v>
      </c>
      <c r="C180" s="1528" t="s">
        <v>103</v>
      </c>
      <c r="D180" s="1528"/>
      <c r="E180" s="1528"/>
      <c r="F180" s="1528"/>
      <c r="G180" s="1528"/>
      <c r="H180" s="78" t="s">
        <v>2430</v>
      </c>
      <c r="I180" s="61" t="s">
        <v>166</v>
      </c>
      <c r="K180" s="1544" t="s">
        <v>1369</v>
      </c>
      <c r="L180" s="1545"/>
      <c r="M180" s="1545"/>
      <c r="N180" s="1546"/>
      <c r="O180" s="78" t="s">
        <v>2430</v>
      </c>
      <c r="P180" s="979" t="s">
        <v>4067</v>
      </c>
      <c r="Q180" s="210"/>
    </row>
    <row r="181" spans="1:31" ht="12" customHeight="1">
      <c r="A181" s="171"/>
      <c r="B181" s="162"/>
      <c r="C181" s="125"/>
      <c r="D181" s="125"/>
      <c r="E181" s="125"/>
      <c r="F181" s="125"/>
      <c r="H181" s="78" t="s">
        <v>2431</v>
      </c>
      <c r="I181" s="61" t="s">
        <v>2060</v>
      </c>
      <c r="K181" s="1534" t="s">
        <v>4115</v>
      </c>
      <c r="L181" s="1535"/>
      <c r="M181" s="1535"/>
      <c r="N181" s="1625"/>
      <c r="O181" s="78" t="s">
        <v>2431</v>
      </c>
      <c r="P181" s="979" t="s">
        <v>4068</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525" t="s">
        <v>4116</v>
      </c>
      <c r="B183" s="1526"/>
      <c r="C183" s="1526"/>
      <c r="D183" s="1526"/>
      <c r="E183" s="1526"/>
      <c r="F183" s="1526"/>
      <c r="G183" s="1526"/>
      <c r="H183" s="1526"/>
      <c r="I183" s="1526"/>
      <c r="J183" s="1526"/>
      <c r="K183" s="1526"/>
      <c r="L183" s="1526"/>
      <c r="M183" s="1526"/>
      <c r="N183" s="1526"/>
      <c r="O183" s="1526"/>
      <c r="P183" s="1526"/>
      <c r="Q183" s="1527"/>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531"/>
      <c r="B185" s="1532"/>
      <c r="C185" s="1532"/>
      <c r="D185" s="1532"/>
      <c r="E185" s="1532"/>
      <c r="F185" s="1532"/>
      <c r="G185" s="1532"/>
      <c r="H185" s="1532"/>
      <c r="I185" s="1532"/>
      <c r="J185" s="1532"/>
      <c r="K185" s="1532"/>
      <c r="L185" s="1532"/>
      <c r="M185" s="1532"/>
      <c r="N185" s="1532"/>
      <c r="O185" s="1532"/>
      <c r="P185" s="1532"/>
      <c r="Q185" s="1533"/>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537"/>
      <c r="Q187" s="1551"/>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979" t="s">
        <v>4067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979"/>
      <c r="Q190" s="210"/>
    </row>
    <row r="191" spans="1:31" ht="11.45" customHeight="1">
      <c r="A191" s="171"/>
      <c r="B191" s="174" t="s">
        <v>2697</v>
      </c>
      <c r="C191" s="1528" t="s">
        <v>2553</v>
      </c>
      <c r="D191" s="1528"/>
      <c r="E191" s="1528"/>
      <c r="F191" s="1528"/>
      <c r="G191" s="1528"/>
      <c r="H191" s="78" t="s">
        <v>2430</v>
      </c>
      <c r="I191" s="61" t="s">
        <v>815</v>
      </c>
      <c r="K191" s="1544" t="s">
        <v>4117</v>
      </c>
      <c r="L191" s="1545"/>
      <c r="M191" s="1545"/>
      <c r="N191" s="1546"/>
      <c r="O191" s="78" t="s">
        <v>1891</v>
      </c>
      <c r="P191" s="979" t="s">
        <v>4068</v>
      </c>
      <c r="Q191" s="210"/>
    </row>
    <row r="192" spans="1:31" ht="11.45" customHeight="1">
      <c r="A192" s="171"/>
      <c r="B192" s="814"/>
      <c r="C192" s="1528"/>
      <c r="D192" s="1528"/>
      <c r="E192" s="1528"/>
      <c r="F192" s="1528"/>
      <c r="G192" s="1528"/>
      <c r="H192" s="78" t="s">
        <v>2431</v>
      </c>
      <c r="I192" s="61" t="s">
        <v>122</v>
      </c>
      <c r="K192" s="1544" t="s">
        <v>4117</v>
      </c>
      <c r="L192" s="1545"/>
      <c r="M192" s="1545"/>
      <c r="N192" s="1546"/>
      <c r="O192" s="78" t="s">
        <v>2431</v>
      </c>
      <c r="P192" s="979" t="s">
        <v>4068</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525" t="s">
        <v>4118</v>
      </c>
      <c r="B194" s="1526"/>
      <c r="C194" s="1526"/>
      <c r="D194" s="1526"/>
      <c r="E194" s="1526"/>
      <c r="F194" s="1526"/>
      <c r="G194" s="1526"/>
      <c r="H194" s="1526"/>
      <c r="I194" s="1526"/>
      <c r="J194" s="1526"/>
      <c r="K194" s="1526"/>
      <c r="L194" s="1526"/>
      <c r="M194" s="1526"/>
      <c r="N194" s="1526"/>
      <c r="O194" s="1526"/>
      <c r="P194" s="1526"/>
      <c r="Q194" s="1527"/>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531"/>
      <c r="B196" s="1532"/>
      <c r="C196" s="1532"/>
      <c r="D196" s="1532"/>
      <c r="E196" s="1532"/>
      <c r="F196" s="1532"/>
      <c r="G196" s="1532"/>
      <c r="H196" s="1532"/>
      <c r="I196" s="1532"/>
      <c r="J196" s="1532"/>
      <c r="K196" s="1532"/>
      <c r="L196" s="1532"/>
      <c r="M196" s="1532"/>
      <c r="N196" s="1532"/>
      <c r="O196" s="1532"/>
      <c r="P196" s="1532"/>
      <c r="Q196" s="1533"/>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537"/>
      <c r="Q198" s="1551"/>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979" t="s">
        <v>4068</v>
      </c>
      <c r="Q200" s="210"/>
    </row>
    <row r="201" spans="1:32" ht="11.45" customHeight="1">
      <c r="B201" s="54" t="s">
        <v>2697</v>
      </c>
      <c r="C201" s="61" t="s">
        <v>156</v>
      </c>
      <c r="D201" s="61"/>
      <c r="E201" s="61"/>
      <c r="F201" s="61"/>
      <c r="G201" s="61"/>
      <c r="H201" s="61"/>
      <c r="I201" s="49"/>
      <c r="J201" s="49"/>
      <c r="K201" s="49"/>
      <c r="L201" s="172"/>
      <c r="M201" s="172"/>
      <c r="O201" s="199" t="s">
        <v>2697</v>
      </c>
      <c r="P201" s="979" t="s">
        <v>4068</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979" t="s">
        <v>4067</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979" t="s">
        <v>4067</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24.75" customHeight="1">
      <c r="A205" s="1525" t="s">
        <v>4162</v>
      </c>
      <c r="B205" s="1526"/>
      <c r="C205" s="1526"/>
      <c r="D205" s="1526"/>
      <c r="E205" s="1526"/>
      <c r="F205" s="1526"/>
      <c r="G205" s="1526"/>
      <c r="H205" s="1526"/>
      <c r="I205" s="1526"/>
      <c r="J205" s="1526"/>
      <c r="K205" s="1526"/>
      <c r="L205" s="1526"/>
      <c r="M205" s="1526"/>
      <c r="N205" s="1526"/>
      <c r="O205" s="1526"/>
      <c r="P205" s="1526"/>
      <c r="Q205" s="1527"/>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531"/>
      <c r="B208" s="1532"/>
      <c r="C208" s="1532"/>
      <c r="D208" s="1532"/>
      <c r="E208" s="1532"/>
      <c r="F208" s="1532"/>
      <c r="G208" s="1532"/>
      <c r="H208" s="1532"/>
      <c r="I208" s="1532"/>
      <c r="J208" s="1532"/>
      <c r="K208" s="1532"/>
      <c r="L208" s="1532"/>
      <c r="M208" s="1532"/>
      <c r="N208" s="1532"/>
      <c r="O208" s="1532"/>
      <c r="P208" s="1532"/>
      <c r="Q208" s="1533"/>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537"/>
      <c r="Q210" s="1551"/>
    </row>
    <row r="211" spans="1:32" s="31" customFormat="1" ht="11.45" customHeight="1">
      <c r="B211" s="177" t="s">
        <v>1608</v>
      </c>
      <c r="N211" s="148"/>
      <c r="P211" s="979" t="s">
        <v>4067</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584" t="s">
        <v>4153</v>
      </c>
      <c r="M213" s="1585"/>
      <c r="Q213" s="210"/>
    </row>
    <row r="214" spans="1:32" ht="11.45" customHeight="1">
      <c r="B214" s="54"/>
      <c r="C214" s="78" t="s">
        <v>2431</v>
      </c>
      <c r="D214" s="38" t="s">
        <v>3674</v>
      </c>
      <c r="E214" s="38"/>
      <c r="F214" s="38"/>
      <c r="G214" s="38"/>
      <c r="H214" s="38"/>
      <c r="I214" s="49"/>
      <c r="K214" s="78" t="s">
        <v>1939</v>
      </c>
      <c r="L214" s="1671" t="s">
        <v>4154</v>
      </c>
      <c r="M214" s="1672"/>
      <c r="N214" s="1673" t="s">
        <v>3675</v>
      </c>
      <c r="O214" s="1674"/>
      <c r="P214" s="1675"/>
      <c r="Q214" s="210"/>
    </row>
    <row r="215" spans="1:32" ht="11.45" customHeight="1">
      <c r="B215" s="54"/>
      <c r="C215" s="78" t="s">
        <v>2432</v>
      </c>
      <c r="D215" s="38" t="s">
        <v>726</v>
      </c>
      <c r="E215" s="38"/>
      <c r="F215" s="38"/>
      <c r="G215" s="38"/>
      <c r="H215" s="38"/>
      <c r="I215" s="49"/>
      <c r="K215" s="78" t="s">
        <v>1940</v>
      </c>
      <c r="L215" s="1584" t="s">
        <v>4119</v>
      </c>
      <c r="M215" s="1590"/>
      <c r="N215" s="167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979" t="s">
        <v>4111</v>
      </c>
      <c r="Q217" s="210"/>
    </row>
    <row r="218" spans="1:32" ht="10.9" customHeight="1">
      <c r="B218" s="54"/>
      <c r="C218" s="61" t="s">
        <v>3294</v>
      </c>
      <c r="D218" s="61"/>
      <c r="E218" s="61"/>
      <c r="F218" s="61"/>
      <c r="G218" s="61"/>
      <c r="H218" s="61"/>
      <c r="I218" s="61"/>
      <c r="J218" s="61"/>
      <c r="K218" s="49"/>
      <c r="L218" s="49"/>
      <c r="M218" s="49"/>
      <c r="N218" s="49"/>
      <c r="O218" s="49"/>
      <c r="P218" s="1678" t="s">
        <v>3</v>
      </c>
      <c r="Q218" s="1678"/>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556" t="s">
        <v>4120</v>
      </c>
      <c r="E220" s="1557"/>
      <c r="F220" s="1557"/>
      <c r="G220" s="1557"/>
      <c r="H220" s="1558"/>
      <c r="I220" s="384"/>
      <c r="J220" s="267"/>
      <c r="K220" s="78" t="s">
        <v>2432</v>
      </c>
      <c r="L220" s="1556" t="s">
        <v>2337</v>
      </c>
      <c r="M220" s="1557"/>
      <c r="N220" s="1557"/>
      <c r="O220" s="1558"/>
      <c r="P220" s="324"/>
      <c r="Q220" s="267"/>
      <c r="AE220" s="63"/>
      <c r="AF220" s="63"/>
    </row>
    <row r="221" spans="1:32" s="50" customFormat="1" ht="11.45" customHeight="1">
      <c r="A221" s="115"/>
      <c r="B221" s="60"/>
      <c r="C221" s="78" t="s">
        <v>2431</v>
      </c>
      <c r="D221" s="1553" t="s">
        <v>765</v>
      </c>
      <c r="E221" s="1554"/>
      <c r="F221" s="1554"/>
      <c r="G221" s="1554"/>
      <c r="H221" s="1555"/>
      <c r="I221" s="541"/>
      <c r="J221" s="268"/>
      <c r="K221" s="78" t="s">
        <v>3120</v>
      </c>
      <c r="L221" s="1553"/>
      <c r="M221" s="1554"/>
      <c r="N221" s="1554"/>
      <c r="O221" s="155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979" t="s">
        <v>4111</v>
      </c>
      <c r="Q223" s="210"/>
    </row>
    <row r="224" spans="1:32" ht="11.45" customHeight="1">
      <c r="B224" s="54"/>
      <c r="C224" s="78" t="s">
        <v>2430</v>
      </c>
      <c r="D224" s="61" t="s">
        <v>167</v>
      </c>
      <c r="E224" s="61"/>
      <c r="F224" s="61"/>
      <c r="G224" s="61"/>
      <c r="H224" s="61"/>
      <c r="I224" s="49"/>
      <c r="J224" s="40"/>
      <c r="K224" s="49"/>
      <c r="L224" s="40"/>
      <c r="M224" s="40"/>
      <c r="O224" s="78" t="s">
        <v>2430</v>
      </c>
      <c r="P224" s="979" t="s">
        <v>4068</v>
      </c>
      <c r="Q224" s="210"/>
    </row>
    <row r="225" spans="1:31" ht="11.45" customHeight="1">
      <c r="C225" s="78" t="s">
        <v>2431</v>
      </c>
      <c r="D225" s="38" t="s">
        <v>2341</v>
      </c>
      <c r="E225" s="38"/>
      <c r="F225" s="38"/>
      <c r="G225" s="38"/>
      <c r="H225" s="38"/>
      <c r="I225" s="49"/>
      <c r="J225" s="40"/>
      <c r="K225" s="49"/>
      <c r="L225" s="40"/>
      <c r="M225" s="40"/>
      <c r="O225" s="78" t="s">
        <v>2431</v>
      </c>
      <c r="P225" s="979" t="s">
        <v>4068</v>
      </c>
      <c r="Q225" s="210"/>
    </row>
    <row r="226" spans="1:31" ht="11.45" customHeight="1">
      <c r="C226" s="78" t="s">
        <v>2432</v>
      </c>
      <c r="D226" s="38" t="s">
        <v>1963</v>
      </c>
      <c r="E226" s="38"/>
      <c r="F226" s="38"/>
      <c r="G226" s="38"/>
      <c r="H226" s="38"/>
      <c r="I226" s="49"/>
      <c r="J226" s="40"/>
      <c r="K226" s="49"/>
      <c r="L226" s="40"/>
      <c r="M226" s="40"/>
      <c r="O226" s="78" t="s">
        <v>2432</v>
      </c>
      <c r="P226" s="979" t="s">
        <v>4068</v>
      </c>
      <c r="Q226" s="210"/>
    </row>
    <row r="227" spans="1:31" ht="11.45" customHeight="1">
      <c r="B227" s="54"/>
      <c r="C227" s="78" t="s">
        <v>3120</v>
      </c>
      <c r="D227" s="38" t="s">
        <v>168</v>
      </c>
      <c r="E227" s="38"/>
      <c r="F227" s="38"/>
      <c r="G227" s="38"/>
      <c r="H227" s="38"/>
      <c r="I227" s="49"/>
      <c r="J227" s="40"/>
      <c r="K227" s="49"/>
      <c r="L227" s="40"/>
      <c r="M227" s="40"/>
      <c r="O227" s="78" t="s">
        <v>3120</v>
      </c>
      <c r="P227" s="979" t="s">
        <v>4068</v>
      </c>
      <c r="Q227" s="210"/>
    </row>
    <row r="228" spans="1:31" ht="11.45" customHeight="1">
      <c r="B228" s="54"/>
      <c r="C228" s="78" t="s">
        <v>2009</v>
      </c>
      <c r="D228" s="61" t="s">
        <v>1164</v>
      </c>
      <c r="E228" s="61"/>
      <c r="F228" s="61"/>
      <c r="G228" s="61"/>
      <c r="H228" s="61"/>
      <c r="I228" s="49"/>
      <c r="J228" s="40"/>
      <c r="K228" s="49"/>
      <c r="L228" s="40"/>
      <c r="M228" s="40"/>
      <c r="O228" s="78" t="s">
        <v>1165</v>
      </c>
      <c r="P228" s="979" t="s">
        <v>4068</v>
      </c>
      <c r="Q228" s="210"/>
    </row>
    <row r="229" spans="1:31" ht="11.45" customHeight="1">
      <c r="B229" s="54"/>
      <c r="C229" s="78"/>
      <c r="D229" s="61" t="s">
        <v>1941</v>
      </c>
      <c r="E229" s="61"/>
      <c r="F229" s="61"/>
      <c r="G229" s="61"/>
      <c r="H229" s="61"/>
      <c r="I229" s="49"/>
      <c r="J229" s="40"/>
      <c r="K229" s="49"/>
      <c r="L229" s="40"/>
      <c r="M229" s="40"/>
      <c r="O229" s="78" t="s">
        <v>1166</v>
      </c>
      <c r="P229" s="979" t="s">
        <v>4067</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979" t="s">
        <v>4111</v>
      </c>
      <c r="Q231" s="210"/>
    </row>
    <row r="232" spans="1:31" ht="11.45" customHeight="1">
      <c r="B232" s="54"/>
      <c r="C232" s="78" t="s">
        <v>2430</v>
      </c>
      <c r="D232" s="47" t="s">
        <v>1678</v>
      </c>
      <c r="E232" s="49"/>
      <c r="F232" s="49"/>
      <c r="G232" s="47"/>
      <c r="H232" s="38"/>
      <c r="I232" s="49"/>
      <c r="J232" s="38"/>
      <c r="K232" s="49"/>
      <c r="L232" s="38"/>
      <c r="M232" s="38"/>
      <c r="O232" s="78" t="s">
        <v>2430</v>
      </c>
      <c r="P232" s="979" t="s">
        <v>4068</v>
      </c>
      <c r="Q232" s="210"/>
    </row>
    <row r="233" spans="1:31" ht="11.45" customHeight="1">
      <c r="B233" s="54"/>
      <c r="C233" s="78" t="s">
        <v>2431</v>
      </c>
      <c r="D233" s="47" t="s">
        <v>160</v>
      </c>
      <c r="E233" s="49"/>
      <c r="F233" s="49"/>
      <c r="G233" s="38"/>
      <c r="H233" s="38"/>
      <c r="I233" s="49"/>
      <c r="J233" s="38"/>
      <c r="K233" s="49"/>
      <c r="L233" s="38"/>
      <c r="M233" s="38"/>
      <c r="O233" s="78" t="s">
        <v>2431</v>
      </c>
      <c r="P233" s="979" t="s">
        <v>4068</v>
      </c>
      <c r="Q233" s="210"/>
    </row>
    <row r="234" spans="1:31" ht="11.45" customHeight="1">
      <c r="B234" s="54"/>
      <c r="C234" s="78" t="s">
        <v>2432</v>
      </c>
      <c r="D234" s="38" t="s">
        <v>2319</v>
      </c>
      <c r="E234" s="49"/>
      <c r="F234" s="49"/>
      <c r="G234" s="38"/>
      <c r="H234" s="38"/>
      <c r="I234" s="49"/>
      <c r="J234" s="38"/>
      <c r="K234" s="49"/>
      <c r="L234" s="38"/>
      <c r="M234" s="38"/>
      <c r="O234" s="78" t="s">
        <v>3126</v>
      </c>
      <c r="P234" s="979" t="s">
        <v>4068</v>
      </c>
      <c r="Q234" s="210"/>
    </row>
    <row r="235" spans="1:31" ht="11.45" customHeight="1">
      <c r="B235" s="44"/>
      <c r="C235" s="49"/>
      <c r="D235" s="38" t="s">
        <v>1719</v>
      </c>
      <c r="E235" s="49"/>
      <c r="F235" s="49"/>
      <c r="G235" s="38"/>
      <c r="H235" s="38"/>
      <c r="I235" s="49"/>
      <c r="J235" s="38"/>
      <c r="K235" s="49"/>
      <c r="L235" s="38"/>
      <c r="M235" s="38"/>
      <c r="O235" s="78" t="s">
        <v>3127</v>
      </c>
      <c r="P235" s="979"/>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525"/>
      <c r="B237" s="1526"/>
      <c r="C237" s="1526"/>
      <c r="D237" s="1526"/>
      <c r="E237" s="1526"/>
      <c r="F237" s="1526"/>
      <c r="G237" s="1526"/>
      <c r="H237" s="1526"/>
      <c r="I237" s="1526"/>
      <c r="J237" s="1526"/>
      <c r="K237" s="1526"/>
      <c r="L237" s="1526"/>
      <c r="M237" s="1526"/>
      <c r="N237" s="1526"/>
      <c r="O237" s="1526"/>
      <c r="P237" s="1526"/>
      <c r="Q237" s="1527"/>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531"/>
      <c r="B239" s="1532"/>
      <c r="C239" s="1532"/>
      <c r="D239" s="1532"/>
      <c r="E239" s="1532"/>
      <c r="F239" s="1532"/>
      <c r="G239" s="1532"/>
      <c r="H239" s="1532"/>
      <c r="I239" s="1532"/>
      <c r="J239" s="1532"/>
      <c r="K239" s="1532"/>
      <c r="L239" s="1532"/>
      <c r="M239" s="1532"/>
      <c r="N239" s="1532"/>
      <c r="O239" s="1532"/>
      <c r="P239" s="1532"/>
      <c r="Q239" s="1533"/>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537"/>
      <c r="Q241" s="1551"/>
    </row>
    <row r="242" spans="1:32" ht="4.9000000000000004" customHeight="1"/>
    <row r="243" spans="1:32" ht="11.45" customHeight="1">
      <c r="B243" s="54" t="s">
        <v>2694</v>
      </c>
      <c r="C243" s="61" t="s">
        <v>1693</v>
      </c>
      <c r="D243" s="49"/>
      <c r="E243" s="61"/>
      <c r="F243" s="61"/>
      <c r="G243" s="61"/>
      <c r="H243" s="61"/>
      <c r="I243" s="49"/>
      <c r="J243" s="49"/>
      <c r="K243" s="49"/>
      <c r="L243" s="654" t="s">
        <v>2694</v>
      </c>
      <c r="M243" s="1541" t="s">
        <v>2466</v>
      </c>
      <c r="N243" s="1542"/>
      <c r="O243" s="1543"/>
      <c r="P243" s="1599" t="s">
        <v>2466</v>
      </c>
      <c r="Q243" s="1600"/>
    </row>
    <row r="244" spans="1:32" ht="11.45" customHeight="1">
      <c r="B244" s="54" t="s">
        <v>2697</v>
      </c>
      <c r="C244" s="61" t="s">
        <v>1666</v>
      </c>
      <c r="D244" s="61"/>
      <c r="E244" s="61"/>
      <c r="F244" s="61"/>
      <c r="G244" s="61"/>
      <c r="H244" s="61"/>
      <c r="I244" s="49"/>
      <c r="J244" s="49"/>
      <c r="K244" s="49"/>
      <c r="L244" s="654" t="s">
        <v>2697</v>
      </c>
      <c r="M244" s="1668"/>
      <c r="N244" s="1669"/>
      <c r="O244" s="1670"/>
      <c r="P244" s="1577"/>
      <c r="Q244" s="1578"/>
    </row>
    <row r="245" spans="1:32" s="181" customFormat="1" ht="11.45" customHeight="1">
      <c r="B245" s="54" t="s">
        <v>1054</v>
      </c>
      <c r="C245" s="61" t="s">
        <v>2655</v>
      </c>
      <c r="D245" s="61"/>
      <c r="E245" s="61"/>
      <c r="F245" s="61"/>
      <c r="G245" s="61"/>
      <c r="H245" s="61"/>
      <c r="I245" s="115"/>
      <c r="J245" s="115"/>
      <c r="K245" s="115"/>
      <c r="L245" s="654" t="s">
        <v>1054</v>
      </c>
      <c r="M245" s="1541"/>
      <c r="N245" s="1542"/>
      <c r="O245" s="1543"/>
      <c r="P245" s="1599"/>
      <c r="Q245" s="160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979"/>
      <c r="Q246" s="210"/>
      <c r="AE246" s="658"/>
      <c r="AF246" s="658"/>
    </row>
    <row r="247" spans="1:32" s="181" customFormat="1" ht="22.15" customHeight="1">
      <c r="B247" s="174" t="s">
        <v>2428</v>
      </c>
      <c r="C247" s="1528" t="s">
        <v>3761</v>
      </c>
      <c r="D247" s="1528"/>
      <c r="E247" s="1528"/>
      <c r="F247" s="1528"/>
      <c r="G247" s="1528"/>
      <c r="H247" s="1528"/>
      <c r="I247" s="1528"/>
      <c r="J247" s="1528"/>
      <c r="K247" s="1528"/>
      <c r="L247" s="1528"/>
      <c r="M247" s="1528"/>
      <c r="N247" s="1528"/>
      <c r="O247" s="199" t="s">
        <v>2428</v>
      </c>
      <c r="P247" s="979"/>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525"/>
      <c r="B249" s="1526"/>
      <c r="C249" s="1526"/>
      <c r="D249" s="1526"/>
      <c r="E249" s="1526"/>
      <c r="F249" s="1526"/>
      <c r="G249" s="1526"/>
      <c r="H249" s="1526"/>
      <c r="I249" s="1526"/>
      <c r="J249" s="1526"/>
      <c r="K249" s="1526"/>
      <c r="L249" s="1526"/>
      <c r="M249" s="1526"/>
      <c r="N249" s="1526"/>
      <c r="O249" s="1526"/>
      <c r="P249" s="1526"/>
      <c r="Q249" s="1527"/>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531"/>
      <c r="B251" s="1532"/>
      <c r="C251" s="1532"/>
      <c r="D251" s="1532"/>
      <c r="E251" s="1532"/>
      <c r="F251" s="1532"/>
      <c r="G251" s="1532"/>
      <c r="H251" s="1532"/>
      <c r="I251" s="1532"/>
      <c r="J251" s="1532"/>
      <c r="K251" s="1532"/>
      <c r="L251" s="1532"/>
      <c r="M251" s="1532"/>
      <c r="N251" s="1532"/>
      <c r="O251" s="1532"/>
      <c r="P251" s="1532"/>
      <c r="Q251" s="1533"/>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537"/>
      <c r="Q253" s="1551"/>
    </row>
    <row r="254" spans="1:32" ht="3" customHeight="1"/>
    <row r="255" spans="1:32" s="550" customFormat="1" ht="11.25" customHeight="1">
      <c r="B255" s="174" t="s">
        <v>2694</v>
      </c>
      <c r="C255" s="1528" t="s">
        <v>3532</v>
      </c>
      <c r="D255" s="1528"/>
      <c r="E255" s="1528"/>
      <c r="F255" s="1528"/>
      <c r="G255" s="1528"/>
      <c r="H255" s="1528"/>
      <c r="I255" s="1528"/>
      <c r="J255" s="1528"/>
      <c r="K255" s="1528"/>
      <c r="L255" s="1528"/>
      <c r="M255" s="1528"/>
      <c r="N255" s="1528"/>
      <c r="O255" s="199" t="s">
        <v>2694</v>
      </c>
      <c r="P255" s="990" t="s">
        <v>4068</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979" t="s">
        <v>4068</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525" t="s">
        <v>4121</v>
      </c>
      <c r="B258" s="1526"/>
      <c r="C258" s="1526"/>
      <c r="D258" s="1526"/>
      <c r="E258" s="1526"/>
      <c r="F258" s="1526"/>
      <c r="G258" s="1526"/>
      <c r="H258" s="1526"/>
      <c r="I258" s="1526"/>
      <c r="J258" s="1526"/>
      <c r="K258" s="1526"/>
      <c r="L258" s="1526"/>
      <c r="M258" s="1526"/>
      <c r="N258" s="1526"/>
      <c r="O258" s="1526"/>
      <c r="P258" s="1526"/>
      <c r="Q258" s="1527"/>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531"/>
      <c r="B260" s="1532"/>
      <c r="C260" s="1532"/>
      <c r="D260" s="1532"/>
      <c r="E260" s="1532"/>
      <c r="F260" s="1532"/>
      <c r="G260" s="1532"/>
      <c r="H260" s="1532"/>
      <c r="I260" s="1532"/>
      <c r="J260" s="1532"/>
      <c r="K260" s="1532"/>
      <c r="L260" s="1532"/>
      <c r="M260" s="1532"/>
      <c r="N260" s="1532"/>
      <c r="O260" s="1532"/>
      <c r="P260" s="1532"/>
      <c r="Q260" s="1533"/>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537"/>
      <c r="Q262" s="1551"/>
    </row>
    <row r="263" spans="1:32" ht="3" customHeight="1"/>
    <row r="264" spans="1:32" s="550" customFormat="1" ht="24" customHeight="1">
      <c r="B264" s="174" t="s">
        <v>2694</v>
      </c>
      <c r="C264" s="1547" t="s">
        <v>3567</v>
      </c>
      <c r="D264" s="1335"/>
      <c r="E264" s="1335"/>
      <c r="F264" s="1335"/>
      <c r="G264" s="1335"/>
      <c r="H264" s="1335"/>
      <c r="I264" s="1335"/>
      <c r="J264" s="1335"/>
      <c r="K264" s="1335"/>
      <c r="L264" s="1335"/>
      <c r="M264" s="1335"/>
      <c r="N264" s="1335"/>
      <c r="O264" s="199" t="s">
        <v>2694</v>
      </c>
      <c r="P264" s="979" t="s">
        <v>4111</v>
      </c>
      <c r="Q264" s="210"/>
      <c r="AE264" s="659"/>
      <c r="AF264" s="659"/>
    </row>
    <row r="265" spans="1:32" s="550" customFormat="1" ht="24" customHeight="1">
      <c r="B265" s="174" t="s">
        <v>2697</v>
      </c>
      <c r="C265" s="1547" t="s">
        <v>3568</v>
      </c>
      <c r="D265" s="1335"/>
      <c r="E265" s="1335"/>
      <c r="F265" s="1335"/>
      <c r="G265" s="1335"/>
      <c r="H265" s="1335"/>
      <c r="I265" s="1335"/>
      <c r="J265" s="1335"/>
      <c r="K265" s="1335"/>
      <c r="L265" s="1335"/>
      <c r="M265" s="1335"/>
      <c r="N265" s="1335"/>
      <c r="O265" s="199" t="s">
        <v>2697</v>
      </c>
      <c r="P265" s="979" t="s">
        <v>4111</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525"/>
      <c r="B267" s="1526"/>
      <c r="C267" s="1526"/>
      <c r="D267" s="1526"/>
      <c r="E267" s="1526"/>
      <c r="F267" s="1526"/>
      <c r="G267" s="1526"/>
      <c r="H267" s="1526"/>
      <c r="I267" s="1526"/>
      <c r="J267" s="1526"/>
      <c r="K267" s="1526"/>
      <c r="L267" s="1526"/>
      <c r="M267" s="1526"/>
      <c r="N267" s="1526"/>
      <c r="O267" s="1526"/>
      <c r="P267" s="1526"/>
      <c r="Q267" s="1527"/>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531"/>
      <c r="B269" s="1532"/>
      <c r="C269" s="1532"/>
      <c r="D269" s="1532"/>
      <c r="E269" s="1532"/>
      <c r="F269" s="1532"/>
      <c r="G269" s="1532"/>
      <c r="H269" s="1532"/>
      <c r="I269" s="1532"/>
      <c r="J269" s="1532"/>
      <c r="K269" s="1532"/>
      <c r="L269" s="1532"/>
      <c r="M269" s="1532"/>
      <c r="N269" s="1532"/>
      <c r="O269" s="1532"/>
      <c r="P269" s="1532"/>
      <c r="Q269" s="1533"/>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537"/>
      <c r="Q271" s="1551"/>
    </row>
    <row r="272" spans="1:32" s="181" customFormat="1" ht="46.5" customHeight="1">
      <c r="B272" s="174" t="s">
        <v>2694</v>
      </c>
      <c r="C272" s="183" t="s">
        <v>2430</v>
      </c>
      <c r="D272" s="1547" t="s">
        <v>3677</v>
      </c>
      <c r="E272" s="1547"/>
      <c r="F272" s="1547"/>
      <c r="G272" s="1547"/>
      <c r="H272" s="1547"/>
      <c r="I272" s="1547"/>
      <c r="J272" s="1547"/>
      <c r="K272" s="1547"/>
      <c r="L272" s="1547"/>
      <c r="M272" s="1547"/>
      <c r="N272" s="1547"/>
      <c r="O272" s="199" t="s">
        <v>3680</v>
      </c>
      <c r="P272" s="990" t="s">
        <v>4068</v>
      </c>
      <c r="Q272" s="210"/>
      <c r="AE272" s="658"/>
      <c r="AF272" s="658"/>
    </row>
    <row r="273" spans="1:256 1523:1523" s="115" customFormat="1" ht="12.75" customHeight="1">
      <c r="B273" s="54"/>
      <c r="C273" s="78" t="s">
        <v>2431</v>
      </c>
      <c r="D273" s="1677" t="s">
        <v>3635</v>
      </c>
      <c r="E273" s="1677"/>
      <c r="F273" s="1677"/>
      <c r="G273" s="1677"/>
      <c r="H273" s="1677"/>
      <c r="I273" s="1677"/>
      <c r="J273" s="1677"/>
      <c r="K273" s="1677"/>
      <c r="L273" s="1677"/>
      <c r="M273" s="1677"/>
      <c r="N273" s="1677"/>
      <c r="O273" s="78" t="s">
        <v>2431</v>
      </c>
      <c r="P273" s="979" t="s">
        <v>4068</v>
      </c>
      <c r="Q273" s="210"/>
      <c r="AE273" s="660"/>
      <c r="AF273" s="660"/>
    </row>
    <row r="274" spans="1:256 1523:1523" s="115" customFormat="1" ht="22.5" customHeight="1">
      <c r="B274" s="174" t="s">
        <v>2697</v>
      </c>
      <c r="C274" s="183" t="s">
        <v>2430</v>
      </c>
      <c r="D274" s="1547" t="s">
        <v>3678</v>
      </c>
      <c r="E274" s="1547"/>
      <c r="F274" s="1547"/>
      <c r="G274" s="1547"/>
      <c r="H274" s="1547"/>
      <c r="I274" s="1547"/>
      <c r="J274" s="1547"/>
      <c r="K274" s="1547"/>
      <c r="L274" s="1547"/>
      <c r="M274" s="1547"/>
      <c r="N274" s="1547"/>
      <c r="O274" s="654" t="s">
        <v>3681</v>
      </c>
      <c r="P274" s="979" t="s">
        <v>4068</v>
      </c>
      <c r="Q274" s="210"/>
      <c r="AE274" s="660"/>
      <c r="AF274" s="660"/>
    </row>
    <row r="275" spans="1:256 1523:1523" s="115" customFormat="1" ht="12" customHeight="1">
      <c r="B275" s="174"/>
      <c r="C275" s="183" t="s">
        <v>2431</v>
      </c>
      <c r="D275" s="1547" t="s">
        <v>3679</v>
      </c>
      <c r="E275" s="1547"/>
      <c r="F275" s="1547"/>
      <c r="G275" s="1547"/>
      <c r="H275" s="1547"/>
      <c r="I275" s="1547"/>
      <c r="J275" s="1547"/>
      <c r="K275" s="1547"/>
      <c r="L275" s="1547"/>
      <c r="M275" s="1547"/>
      <c r="N275" s="1547"/>
      <c r="O275" s="78" t="s">
        <v>2431</v>
      </c>
      <c r="P275" s="995" t="s">
        <v>4068</v>
      </c>
      <c r="Q275" s="679"/>
      <c r="AE275" s="660"/>
      <c r="AF275" s="660"/>
    </row>
    <row r="276" spans="1:256 1523:1523" s="550" customFormat="1" ht="35.25" customHeight="1">
      <c r="B276" s="174" t="s">
        <v>1054</v>
      </c>
      <c r="C276" s="183"/>
      <c r="D276" s="1547" t="s">
        <v>3682</v>
      </c>
      <c r="E276" s="1547"/>
      <c r="F276" s="1547"/>
      <c r="G276" s="1547"/>
      <c r="H276" s="1547"/>
      <c r="I276" s="1547"/>
      <c r="J276" s="1547"/>
      <c r="K276" s="1547"/>
      <c r="L276" s="1547"/>
      <c r="M276" s="1547"/>
      <c r="N276" s="1547"/>
      <c r="O276" s="199" t="s">
        <v>1054</v>
      </c>
      <c r="P276" s="990" t="s">
        <v>4068</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525"/>
      <c r="B278" s="1526"/>
      <c r="C278" s="1526"/>
      <c r="D278" s="1526"/>
      <c r="E278" s="1526"/>
      <c r="F278" s="1526"/>
      <c r="G278" s="1526"/>
      <c r="H278" s="1526"/>
      <c r="I278" s="1526"/>
      <c r="J278" s="1526"/>
      <c r="K278" s="1526"/>
      <c r="L278" s="1526"/>
      <c r="M278" s="1526"/>
      <c r="N278" s="1526"/>
      <c r="O278" s="1526"/>
      <c r="P278" s="1526"/>
      <c r="Q278" s="1527"/>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581"/>
      <c r="B280" s="1582"/>
      <c r="C280" s="1582"/>
      <c r="D280" s="1582"/>
      <c r="E280" s="1582"/>
      <c r="F280" s="1582"/>
      <c r="G280" s="1582"/>
      <c r="H280" s="1582"/>
      <c r="I280" s="1582"/>
      <c r="J280" s="1582"/>
      <c r="K280" s="1582"/>
      <c r="L280" s="1582"/>
      <c r="M280" s="1582"/>
      <c r="N280" s="1582"/>
      <c r="O280" s="1582"/>
      <c r="P280" s="1582"/>
      <c r="Q280" s="1583"/>
    </row>
    <row r="281" spans="1:256 1523:1523" ht="13.9" customHeight="1">
      <c r="A281" s="810">
        <v>19</v>
      </c>
      <c r="B281" s="11" t="s">
        <v>3502</v>
      </c>
      <c r="C281" s="11"/>
      <c r="D281" s="11"/>
      <c r="E281" s="11"/>
      <c r="F281" s="11"/>
      <c r="G281" s="11"/>
      <c r="H281" s="808"/>
      <c r="I281" s="808"/>
      <c r="J281" s="808"/>
      <c r="K281" s="808"/>
      <c r="L281" s="808"/>
      <c r="M281" s="808"/>
      <c r="O281" s="163" t="s">
        <v>2572</v>
      </c>
      <c r="P281" s="1579"/>
      <c r="Q281" s="1580"/>
    </row>
    <row r="282" spans="1:256 1523:1523" ht="11.45" customHeight="1">
      <c r="B282" s="177" t="s">
        <v>2980</v>
      </c>
      <c r="P282" s="979" t="s">
        <v>4067</v>
      </c>
      <c r="Q282" s="210"/>
    </row>
    <row r="283" spans="1:256 1523:1523" ht="12" customHeight="1">
      <c r="B283" s="179" t="s">
        <v>2933</v>
      </c>
      <c r="C283" s="179"/>
      <c r="D283" s="179"/>
      <c r="E283" s="179"/>
      <c r="F283" s="179"/>
      <c r="G283" s="179"/>
      <c r="H283" s="179"/>
      <c r="I283" s="179"/>
      <c r="J283" s="179"/>
      <c r="K283" s="179"/>
      <c r="L283" s="179"/>
      <c r="P283" s="979" t="s">
        <v>4068</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547" t="s">
        <v>3583</v>
      </c>
      <c r="D285" s="1547"/>
      <c r="E285" s="1547"/>
      <c r="F285" s="1547"/>
      <c r="G285" s="1547"/>
      <c r="H285" s="1547"/>
      <c r="I285" s="1547"/>
      <c r="J285" s="1547"/>
      <c r="K285" s="1547"/>
      <c r="L285" s="1547"/>
      <c r="M285" s="1547"/>
      <c r="N285" s="1547"/>
      <c r="O285" s="199" t="s">
        <v>2694</v>
      </c>
      <c r="P285" s="990"/>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568" t="s">
        <v>587</v>
      </c>
      <c r="D287" s="1568"/>
      <c r="E287" s="1568"/>
      <c r="F287" s="1568"/>
      <c r="G287" s="1568"/>
      <c r="H287" s="1568"/>
      <c r="I287" s="1568"/>
      <c r="J287" s="1568"/>
      <c r="K287" s="1568"/>
      <c r="L287" s="1568"/>
      <c r="M287" s="1568"/>
      <c r="O287" s="199" t="s">
        <v>2697</v>
      </c>
      <c r="P287" s="804"/>
      <c r="Q287" s="59"/>
    </row>
    <row r="288" spans="1:256 1523:1523" ht="23.25" customHeight="1">
      <c r="A288" s="176"/>
      <c r="C288" s="269" t="s">
        <v>2430</v>
      </c>
      <c r="D288" s="270" t="s">
        <v>1541</v>
      </c>
      <c r="E288" s="164"/>
      <c r="F288" s="164"/>
      <c r="G288" s="1559" t="s">
        <v>1888</v>
      </c>
      <c r="H288" s="1560"/>
      <c r="I288" s="1560"/>
      <c r="J288" s="1560"/>
      <c r="K288" s="1560"/>
      <c r="L288" s="1560"/>
      <c r="M288" s="1560"/>
      <c r="N288" s="1561"/>
      <c r="O288" s="273" t="s">
        <v>2430</v>
      </c>
      <c r="P288" s="990" t="s">
        <v>4068</v>
      </c>
      <c r="Q288" s="323"/>
      <c r="BFO288" s="181" t="s">
        <v>3683</v>
      </c>
    </row>
    <row r="289" spans="1:256" ht="23.25" customHeight="1">
      <c r="A289" s="176"/>
      <c r="C289" s="269" t="s">
        <v>2431</v>
      </c>
      <c r="D289" s="1528" t="s">
        <v>1542</v>
      </c>
      <c r="E289" s="1572"/>
      <c r="F289" s="1573"/>
      <c r="G289" s="1553" t="s">
        <v>3484</v>
      </c>
      <c r="H289" s="1562"/>
      <c r="I289" s="1562"/>
      <c r="J289" s="1562"/>
      <c r="K289" s="1562"/>
      <c r="L289" s="1562"/>
      <c r="M289" s="1562"/>
      <c r="N289" s="1563"/>
      <c r="O289" s="273" t="s">
        <v>2431</v>
      </c>
      <c r="P289" s="990" t="s">
        <v>4068</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552" t="s">
        <v>3522</v>
      </c>
      <c r="D291" s="1552"/>
      <c r="E291" s="1552"/>
      <c r="F291" s="1552"/>
      <c r="G291" s="1552"/>
      <c r="H291" s="1552"/>
      <c r="I291" s="1552"/>
      <c r="J291" s="1552"/>
      <c r="K291" s="1552"/>
      <c r="L291" s="1552"/>
      <c r="M291" s="1552"/>
      <c r="N291" s="1552"/>
      <c r="O291" s="608" t="s">
        <v>1054</v>
      </c>
      <c r="P291" s="804"/>
      <c r="Q291" s="59"/>
      <c r="AE291" s="657"/>
      <c r="AF291" s="657"/>
    </row>
    <row r="292" spans="1:256" s="164" customFormat="1" ht="11.25" customHeight="1">
      <c r="A292" s="176"/>
      <c r="C292" s="269" t="s">
        <v>2430</v>
      </c>
      <c r="D292" s="1556"/>
      <c r="E292" s="1557"/>
      <c r="F292" s="1557"/>
      <c r="G292" s="1557"/>
      <c r="H292" s="1557"/>
      <c r="I292" s="1557"/>
      <c r="J292" s="1557"/>
      <c r="K292" s="1557"/>
      <c r="L292" s="1557"/>
      <c r="M292" s="1557"/>
      <c r="N292" s="1558"/>
      <c r="O292" s="273" t="s">
        <v>2430</v>
      </c>
      <c r="P292" s="990"/>
      <c r="Q292" s="323"/>
      <c r="AE292" s="657"/>
      <c r="AF292" s="657"/>
    </row>
    <row r="293" spans="1:256" s="164" customFormat="1" ht="11.25" customHeight="1">
      <c r="A293" s="176"/>
      <c r="C293" s="269" t="s">
        <v>2431</v>
      </c>
      <c r="D293" s="1553"/>
      <c r="E293" s="1554"/>
      <c r="F293" s="1554"/>
      <c r="G293" s="1554"/>
      <c r="H293" s="1554"/>
      <c r="I293" s="1554"/>
      <c r="J293" s="1554"/>
      <c r="K293" s="1554"/>
      <c r="L293" s="1554"/>
      <c r="M293" s="1554"/>
      <c r="N293" s="1555"/>
      <c r="O293" s="273" t="s">
        <v>2431</v>
      </c>
      <c r="P293" s="990"/>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525"/>
      <c r="B296" s="1526"/>
      <c r="C296" s="1526"/>
      <c r="D296" s="1526"/>
      <c r="E296" s="1526"/>
      <c r="F296" s="1526"/>
      <c r="G296" s="1526"/>
      <c r="H296" s="1526"/>
      <c r="I296" s="1526"/>
      <c r="J296" s="1526"/>
      <c r="K296" s="1526"/>
      <c r="L296" s="1526"/>
      <c r="M296" s="1526"/>
      <c r="N296" s="1526"/>
      <c r="O296" s="1526"/>
      <c r="P296" s="1526"/>
      <c r="Q296" s="1527"/>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531"/>
      <c r="B298" s="1532"/>
      <c r="C298" s="1532"/>
      <c r="D298" s="1532"/>
      <c r="E298" s="1532"/>
      <c r="F298" s="1532"/>
      <c r="G298" s="1532"/>
      <c r="H298" s="1532"/>
      <c r="I298" s="1532"/>
      <c r="J298" s="1532"/>
      <c r="K298" s="1532"/>
      <c r="L298" s="1532"/>
      <c r="M298" s="1532"/>
      <c r="N298" s="1532"/>
      <c r="O298" s="1532"/>
      <c r="P298" s="1532"/>
      <c r="Q298" s="1533"/>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537"/>
      <c r="Q300" s="1551"/>
    </row>
    <row r="301" spans="1:256" ht="3" customHeight="1"/>
    <row r="302" spans="1:256" ht="11.45" customHeight="1">
      <c r="B302" s="177" t="s">
        <v>3083</v>
      </c>
      <c r="P302" s="979" t="s">
        <v>4068</v>
      </c>
      <c r="Q302" s="210"/>
    </row>
    <row r="303" spans="1:256" ht="11.45" customHeight="1">
      <c r="B303" s="177" t="s">
        <v>3084</v>
      </c>
      <c r="P303" s="979" t="s">
        <v>4067</v>
      </c>
      <c r="Q303" s="210"/>
    </row>
    <row r="304" spans="1:256" ht="11.45" customHeight="1">
      <c r="B304" s="177" t="s">
        <v>774</v>
      </c>
      <c r="L304" s="1569" t="s">
        <v>4122</v>
      </c>
      <c r="M304" s="1570"/>
      <c r="N304" s="1570"/>
      <c r="O304" s="1571"/>
    </row>
    <row r="305" spans="1:31" ht="11.45" customHeight="1">
      <c r="B305" s="542" t="s">
        <v>3085</v>
      </c>
      <c r="L305" s="1574"/>
      <c r="M305" s="1575"/>
      <c r="N305" s="1575"/>
      <c r="O305" s="1576"/>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525" t="s">
        <v>4123</v>
      </c>
      <c r="B307" s="1526"/>
      <c r="C307" s="1526"/>
      <c r="D307" s="1526"/>
      <c r="E307" s="1526"/>
      <c r="F307" s="1526"/>
      <c r="G307" s="1526"/>
      <c r="H307" s="1526"/>
      <c r="I307" s="1526"/>
      <c r="J307" s="1526"/>
      <c r="K307" s="1526"/>
      <c r="L307" s="1526"/>
      <c r="M307" s="1526"/>
      <c r="N307" s="1526"/>
      <c r="O307" s="1526"/>
      <c r="P307" s="1526"/>
      <c r="Q307" s="1527"/>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531"/>
      <c r="B309" s="1532"/>
      <c r="C309" s="1532"/>
      <c r="D309" s="1532"/>
      <c r="E309" s="1532"/>
      <c r="F309" s="1532"/>
      <c r="G309" s="1532"/>
      <c r="H309" s="1532"/>
      <c r="I309" s="1532"/>
      <c r="J309" s="1532"/>
      <c r="K309" s="1532"/>
      <c r="L309" s="1532"/>
      <c r="M309" s="1532"/>
      <c r="N309" s="1532"/>
      <c r="O309" s="1532"/>
      <c r="P309" s="1532"/>
      <c r="Q309" s="1533"/>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537"/>
      <c r="Q311" s="1551"/>
    </row>
    <row r="312" spans="1:31" ht="3" customHeight="1"/>
    <row r="313" spans="1:31" ht="22.15" customHeight="1">
      <c r="B313" s="174" t="s">
        <v>2694</v>
      </c>
      <c r="C313" s="1528" t="s">
        <v>3762</v>
      </c>
      <c r="D313" s="1528"/>
      <c r="E313" s="1528"/>
      <c r="F313" s="1528"/>
      <c r="G313" s="1528"/>
      <c r="H313" s="1528"/>
      <c r="I313" s="1528"/>
      <c r="J313" s="1528"/>
      <c r="K313" s="1528"/>
      <c r="L313" s="1528"/>
      <c r="M313" s="1528"/>
      <c r="N313" s="1528"/>
      <c r="O313" s="199" t="s">
        <v>2694</v>
      </c>
      <c r="P313" s="979"/>
      <c r="Q313" s="210"/>
    </row>
    <row r="314" spans="1:31" ht="11.45" customHeight="1">
      <c r="B314" s="174" t="s">
        <v>2697</v>
      </c>
      <c r="C314" s="1528" t="s">
        <v>3763</v>
      </c>
      <c r="D314" s="1528"/>
      <c r="E314" s="1528"/>
      <c r="F314" s="1528"/>
      <c r="G314" s="1528"/>
      <c r="H314" s="1528"/>
      <c r="I314" s="1528"/>
      <c r="J314" s="1528"/>
      <c r="K314" s="1528"/>
      <c r="L314" s="1528"/>
      <c r="M314" s="1528"/>
      <c r="N314" s="1528"/>
      <c r="O314" s="199" t="s">
        <v>2697</v>
      </c>
      <c r="P314" s="979"/>
      <c r="Q314" s="210"/>
    </row>
    <row r="315" spans="1:31" ht="11.45" customHeight="1">
      <c r="B315" s="174" t="s">
        <v>1054</v>
      </c>
      <c r="C315" s="179" t="s">
        <v>3523</v>
      </c>
      <c r="D315" s="179"/>
      <c r="E315" s="179"/>
      <c r="F315" s="179"/>
      <c r="G315" s="179"/>
      <c r="H315" s="179"/>
      <c r="I315" s="179"/>
      <c r="J315" s="179"/>
      <c r="K315" s="179"/>
      <c r="L315" s="179"/>
      <c r="M315" s="179"/>
      <c r="O315" s="199" t="s">
        <v>1054</v>
      </c>
      <c r="P315" s="979" t="s">
        <v>4068</v>
      </c>
      <c r="Q315" s="210"/>
    </row>
    <row r="316" spans="1:31">
      <c r="B316" s="174" t="s">
        <v>2830</v>
      </c>
      <c r="C316" s="1528" t="s">
        <v>3958</v>
      </c>
      <c r="D316" s="1528"/>
      <c r="E316" s="1528"/>
      <c r="F316" s="1528"/>
      <c r="G316" s="1528"/>
      <c r="H316" s="1528"/>
      <c r="I316" s="1528"/>
      <c r="J316" s="1528"/>
      <c r="K316" s="1528"/>
      <c r="L316" s="1528"/>
      <c r="M316" s="1528"/>
      <c r="N316" s="1528"/>
      <c r="O316" s="199" t="s">
        <v>2830</v>
      </c>
      <c r="P316" s="979"/>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525" t="s">
        <v>4124</v>
      </c>
      <c r="B318" s="1526"/>
      <c r="C318" s="1526"/>
      <c r="D318" s="1526"/>
      <c r="E318" s="1526"/>
      <c r="F318" s="1526"/>
      <c r="G318" s="1526"/>
      <c r="H318" s="1526"/>
      <c r="I318" s="1526"/>
      <c r="J318" s="1526"/>
      <c r="K318" s="1526"/>
      <c r="L318" s="1526"/>
      <c r="M318" s="1526"/>
      <c r="N318" s="1526"/>
      <c r="O318" s="1526"/>
      <c r="P318" s="1526"/>
      <c r="Q318" s="1527"/>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531"/>
      <c r="B320" s="1532"/>
      <c r="C320" s="1532"/>
      <c r="D320" s="1532"/>
      <c r="E320" s="1532"/>
      <c r="F320" s="1532"/>
      <c r="G320" s="1532"/>
      <c r="H320" s="1532"/>
      <c r="I320" s="1532"/>
      <c r="J320" s="1532"/>
      <c r="K320" s="1532"/>
      <c r="L320" s="1532"/>
      <c r="M320" s="1532"/>
      <c r="N320" s="1532"/>
      <c r="O320" s="1532"/>
      <c r="P320" s="1532"/>
      <c r="Q320" s="1533"/>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537"/>
      <c r="Q322" s="1551"/>
    </row>
    <row r="323" spans="1:32" ht="12" customHeight="1">
      <c r="B323" s="54" t="s">
        <v>2694</v>
      </c>
      <c r="C323" s="143" t="s">
        <v>3552</v>
      </c>
      <c r="D323" s="814"/>
      <c r="E323" s="814"/>
      <c r="F323" s="814"/>
      <c r="G323" s="814"/>
      <c r="H323" s="814"/>
      <c r="I323" s="49"/>
      <c r="J323" s="654" t="s">
        <v>2694</v>
      </c>
      <c r="K323" s="1584"/>
      <c r="L323" s="1590"/>
      <c r="M323" s="1590"/>
      <c r="N323" s="1590"/>
      <c r="O323" s="1590"/>
      <c r="P323" s="1585"/>
      <c r="Q323" s="210"/>
    </row>
    <row r="324" spans="1:32" ht="22.5" customHeight="1">
      <c r="B324" s="174" t="s">
        <v>2697</v>
      </c>
      <c r="C324" s="1503" t="s">
        <v>3551</v>
      </c>
      <c r="D324" s="1503"/>
      <c r="E324" s="1503"/>
      <c r="F324" s="1503"/>
      <c r="G324" s="1503"/>
      <c r="H324" s="1503"/>
      <c r="I324" s="1503"/>
      <c r="J324" s="1503"/>
      <c r="K324" s="1503"/>
      <c r="L324" s="1503"/>
      <c r="M324" s="1503"/>
      <c r="N324" s="1503"/>
      <c r="O324" s="199" t="s">
        <v>2697</v>
      </c>
      <c r="P324" s="990"/>
      <c r="Q324" s="210"/>
    </row>
    <row r="325" spans="1:32" ht="11.45" customHeight="1">
      <c r="B325" s="54" t="s">
        <v>1054</v>
      </c>
      <c r="C325" s="61" t="s">
        <v>3553</v>
      </c>
      <c r="D325" s="61"/>
      <c r="E325" s="61"/>
      <c r="F325" s="61"/>
      <c r="G325" s="61"/>
      <c r="H325" s="61"/>
      <c r="I325" s="61"/>
      <c r="J325" s="61"/>
      <c r="K325" s="61"/>
      <c r="L325" s="38"/>
      <c r="M325" s="38"/>
      <c r="O325" s="654" t="s">
        <v>1054</v>
      </c>
      <c r="P325" s="979"/>
      <c r="Q325" s="210"/>
    </row>
    <row r="326" spans="1:32" ht="11.45" customHeight="1">
      <c r="B326" s="54" t="s">
        <v>2830</v>
      </c>
      <c r="C326" s="61" t="s">
        <v>3554</v>
      </c>
      <c r="D326" s="61"/>
      <c r="E326" s="61"/>
      <c r="F326" s="61"/>
      <c r="G326" s="61"/>
      <c r="H326" s="61"/>
      <c r="I326" s="61"/>
      <c r="J326" s="61"/>
      <c r="K326" s="61"/>
      <c r="L326" s="61"/>
      <c r="M326" s="61"/>
      <c r="O326" s="654" t="s">
        <v>2830</v>
      </c>
      <c r="P326" s="979"/>
      <c r="Q326" s="210"/>
    </row>
    <row r="327" spans="1:32" s="164" customFormat="1" ht="11.45" customHeight="1">
      <c r="B327" s="174" t="s">
        <v>2428</v>
      </c>
      <c r="C327" s="1528" t="s">
        <v>3559</v>
      </c>
      <c r="D327" s="1528"/>
      <c r="E327" s="1528"/>
      <c r="F327" s="1528"/>
      <c r="G327" s="1528"/>
      <c r="H327" s="1528"/>
      <c r="I327" s="1528"/>
      <c r="J327" s="1528"/>
      <c r="K327" s="1528"/>
      <c r="L327" s="1528"/>
      <c r="M327" s="1528"/>
      <c r="N327" s="1528"/>
      <c r="O327" s="199" t="s">
        <v>2428</v>
      </c>
      <c r="P327" s="990"/>
      <c r="Q327" s="323"/>
      <c r="AE327" s="657"/>
      <c r="AF327" s="657"/>
    </row>
    <row r="328" spans="1:32" s="164" customFormat="1" ht="11.45" customHeight="1">
      <c r="B328" s="174" t="s">
        <v>2429</v>
      </c>
      <c r="C328" s="1528" t="s">
        <v>3569</v>
      </c>
      <c r="D328" s="1528"/>
      <c r="E328" s="1528"/>
      <c r="F328" s="1528"/>
      <c r="G328" s="1528"/>
      <c r="H328" s="1528"/>
      <c r="I328" s="1528"/>
      <c r="J328" s="1528"/>
      <c r="K328" s="1528"/>
      <c r="L328" s="1528"/>
      <c r="M328" s="1528"/>
      <c r="N328" s="1528"/>
      <c r="O328" s="199" t="s">
        <v>2429</v>
      </c>
      <c r="P328" s="990"/>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979"/>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525"/>
      <c r="B331" s="1526"/>
      <c r="C331" s="1526"/>
      <c r="D331" s="1526"/>
      <c r="E331" s="1526"/>
      <c r="F331" s="1526"/>
      <c r="G331" s="1526"/>
      <c r="H331" s="1526"/>
      <c r="I331" s="1526"/>
      <c r="J331" s="1526"/>
      <c r="K331" s="1526"/>
      <c r="L331" s="1526"/>
      <c r="M331" s="1526"/>
      <c r="N331" s="1526"/>
      <c r="O331" s="1526"/>
      <c r="P331" s="1526"/>
      <c r="Q331" s="1527"/>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531"/>
      <c r="B333" s="1532"/>
      <c r="C333" s="1532"/>
      <c r="D333" s="1532"/>
      <c r="E333" s="1532"/>
      <c r="F333" s="1532"/>
      <c r="G333" s="1532"/>
      <c r="H333" s="1532"/>
      <c r="I333" s="1532"/>
      <c r="J333" s="1532"/>
      <c r="K333" s="1532"/>
      <c r="L333" s="1532"/>
      <c r="M333" s="1532"/>
      <c r="N333" s="1532"/>
      <c r="O333" s="1532"/>
      <c r="P333" s="1532"/>
      <c r="Q333" s="1533"/>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537"/>
      <c r="Q335" s="1551"/>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564" t="s">
        <v>3746</v>
      </c>
      <c r="D338" s="1564"/>
      <c r="E338" s="1564"/>
      <c r="F338" s="1564"/>
      <c r="G338" s="1564"/>
      <c r="H338" s="1564"/>
      <c r="I338" s="1564"/>
      <c r="J338" s="1564"/>
      <c r="K338" s="1564"/>
      <c r="L338" s="1564"/>
      <c r="M338" s="1564"/>
      <c r="N338" s="1564"/>
      <c r="O338" s="183" t="s">
        <v>2430</v>
      </c>
      <c r="P338" s="990"/>
      <c r="Q338" s="323"/>
      <c r="AE338" s="657"/>
      <c r="AF338" s="657"/>
    </row>
    <row r="339" spans="2:32" s="164" customFormat="1" ht="21.75" customHeight="1">
      <c r="B339" s="183" t="s">
        <v>2431</v>
      </c>
      <c r="C339" s="1564" t="s">
        <v>3510</v>
      </c>
      <c r="D339" s="1564"/>
      <c r="E339" s="1564"/>
      <c r="F339" s="1564"/>
      <c r="G339" s="1564"/>
      <c r="H339" s="1564"/>
      <c r="I339" s="1564"/>
      <c r="J339" s="1564"/>
      <c r="K339" s="1564"/>
      <c r="L339" s="1564"/>
      <c r="M339" s="1564"/>
      <c r="N339" s="1564"/>
      <c r="O339" s="183" t="s">
        <v>2431</v>
      </c>
      <c r="P339" s="990"/>
      <c r="Q339" s="323"/>
      <c r="AE339" s="657"/>
      <c r="AF339" s="657"/>
    </row>
    <row r="340" spans="2:32" s="164" customFormat="1" ht="21.75" customHeight="1">
      <c r="B340" s="183" t="s">
        <v>2432</v>
      </c>
      <c r="C340" s="1547" t="s">
        <v>3735</v>
      </c>
      <c r="D340" s="1547"/>
      <c r="E340" s="1547"/>
      <c r="F340" s="1547"/>
      <c r="G340" s="1547"/>
      <c r="H340" s="1547"/>
      <c r="I340" s="1547"/>
      <c r="J340" s="1547"/>
      <c r="K340" s="1547"/>
      <c r="L340" s="1547"/>
      <c r="M340" s="1547"/>
      <c r="N340" s="1547"/>
      <c r="O340" s="183" t="s">
        <v>2432</v>
      </c>
      <c r="P340" s="990"/>
      <c r="Q340" s="323"/>
      <c r="AE340" s="657"/>
      <c r="AF340" s="657"/>
    </row>
    <row r="341" spans="2:32" s="164" customFormat="1" ht="21.75" customHeight="1">
      <c r="B341" s="183" t="s">
        <v>3120</v>
      </c>
      <c r="C341" s="1547" t="s">
        <v>3736</v>
      </c>
      <c r="D341" s="1547"/>
      <c r="E341" s="1547"/>
      <c r="F341" s="1547"/>
      <c r="G341" s="1547"/>
      <c r="H341" s="1547"/>
      <c r="I341" s="1547"/>
      <c r="J341" s="1547"/>
      <c r="K341" s="1547"/>
      <c r="L341" s="1547"/>
      <c r="M341" s="1547"/>
      <c r="N341" s="1547"/>
      <c r="O341" s="183" t="s">
        <v>3120</v>
      </c>
      <c r="P341" s="990"/>
      <c r="Q341" s="323"/>
      <c r="AE341" s="657"/>
      <c r="AF341" s="657"/>
    </row>
    <row r="342" spans="2:32" s="164" customFormat="1" ht="33.75" customHeight="1">
      <c r="B342" s="183" t="s">
        <v>2009</v>
      </c>
      <c r="C342" s="1547" t="s">
        <v>3737</v>
      </c>
      <c r="D342" s="1547"/>
      <c r="E342" s="1547"/>
      <c r="F342" s="1547"/>
      <c r="G342" s="1547"/>
      <c r="H342" s="1547"/>
      <c r="I342" s="1547"/>
      <c r="J342" s="1547"/>
      <c r="K342" s="1547"/>
      <c r="L342" s="1547"/>
      <c r="M342" s="1547"/>
      <c r="N342" s="1547"/>
      <c r="O342" s="183" t="s">
        <v>2009</v>
      </c>
      <c r="P342" s="990"/>
      <c r="Q342" s="323"/>
      <c r="AE342" s="657"/>
      <c r="AF342" s="657"/>
    </row>
    <row r="343" spans="2:32" s="164" customFormat="1" ht="21.75" customHeight="1">
      <c r="B343" s="199" t="s">
        <v>2010</v>
      </c>
      <c r="C343" s="1547" t="s">
        <v>3738</v>
      </c>
      <c r="D343" s="1547"/>
      <c r="E343" s="1547"/>
      <c r="F343" s="1547"/>
      <c r="G343" s="1547"/>
      <c r="H343" s="1547"/>
      <c r="I343" s="1547"/>
      <c r="J343" s="1547"/>
      <c r="K343" s="1547"/>
      <c r="L343" s="1547"/>
      <c r="M343" s="1547"/>
      <c r="N343" s="1547"/>
      <c r="O343" s="199" t="s">
        <v>2010</v>
      </c>
      <c r="P343" s="990"/>
      <c r="Q343" s="323"/>
      <c r="AE343" s="657"/>
      <c r="AF343" s="657"/>
    </row>
    <row r="344" spans="2:32" s="164" customFormat="1" ht="21.75" customHeight="1">
      <c r="B344" s="199" t="s">
        <v>104</v>
      </c>
      <c r="C344" s="1547" t="s">
        <v>3739</v>
      </c>
      <c r="D344" s="1547"/>
      <c r="E344" s="1547"/>
      <c r="F344" s="1547"/>
      <c r="G344" s="1547"/>
      <c r="H344" s="1547"/>
      <c r="I344" s="1547"/>
      <c r="J344" s="1547"/>
      <c r="K344" s="1547"/>
      <c r="L344" s="1547"/>
      <c r="M344" s="1547"/>
      <c r="N344" s="1547"/>
      <c r="O344" s="199" t="s">
        <v>104</v>
      </c>
      <c r="P344" s="990"/>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525"/>
      <c r="B356" s="1526"/>
      <c r="C356" s="1526"/>
      <c r="D356" s="1526"/>
      <c r="E356" s="1526"/>
      <c r="F356" s="1526"/>
      <c r="G356" s="1526"/>
      <c r="H356" s="1526"/>
      <c r="I356" s="1526"/>
      <c r="J356" s="1526"/>
      <c r="K356" s="1526"/>
      <c r="L356" s="1526"/>
      <c r="M356" s="1526"/>
      <c r="N356" s="1526"/>
      <c r="O356" s="1526"/>
      <c r="P356" s="1526"/>
      <c r="Q356" s="1527"/>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531"/>
      <c r="B358" s="1532"/>
      <c r="C358" s="1532"/>
      <c r="D358" s="1532"/>
      <c r="E358" s="1532"/>
      <c r="F358" s="1532"/>
      <c r="G358" s="1532"/>
      <c r="H358" s="1532"/>
      <c r="I358" s="1532"/>
      <c r="J358" s="1532"/>
      <c r="K358" s="1532"/>
      <c r="L358" s="1532"/>
      <c r="M358" s="1532"/>
      <c r="N358" s="1532"/>
      <c r="O358" s="1532"/>
      <c r="P358" s="1532"/>
      <c r="Q358" s="1533"/>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537"/>
      <c r="Q360" s="1551"/>
    </row>
    <row r="361" spans="1:31" ht="11.45" customHeight="1">
      <c r="B361" s="54" t="s">
        <v>2694</v>
      </c>
      <c r="C361" s="143" t="s">
        <v>1438</v>
      </c>
      <c r="E361" s="1541"/>
      <c r="F361" s="1542"/>
      <c r="G361" s="1542"/>
      <c r="H361" s="1542"/>
      <c r="I361" s="1543"/>
      <c r="J361" s="1565" t="s">
        <v>3521</v>
      </c>
      <c r="K361" s="1566"/>
      <c r="L361" s="1567"/>
      <c r="M361" s="1541"/>
      <c r="N361" s="1542"/>
      <c r="O361" s="1542"/>
      <c r="P361" s="1542"/>
      <c r="Q361" s="1543"/>
    </row>
    <row r="362" spans="1:31" ht="11.45" customHeight="1">
      <c r="B362" s="54" t="s">
        <v>2697</v>
      </c>
      <c r="C362" s="61" t="s">
        <v>2433</v>
      </c>
      <c r="D362" s="61"/>
      <c r="E362" s="61"/>
      <c r="F362" s="61"/>
      <c r="G362" s="61"/>
      <c r="H362" s="61"/>
      <c r="I362" s="61"/>
      <c r="J362" s="61"/>
      <c r="K362" s="61"/>
      <c r="L362" s="38"/>
      <c r="M362" s="38"/>
      <c r="O362" s="654" t="s">
        <v>2697</v>
      </c>
      <c r="P362" s="979"/>
      <c r="Q362" s="210"/>
    </row>
    <row r="363" spans="1:31" ht="22.5" customHeight="1">
      <c r="B363" s="174" t="s">
        <v>1054</v>
      </c>
      <c r="C363" s="1503" t="s">
        <v>3685</v>
      </c>
      <c r="D363" s="1503"/>
      <c r="E363" s="1503"/>
      <c r="F363" s="1503"/>
      <c r="G363" s="1503"/>
      <c r="H363" s="1503"/>
      <c r="I363" s="1503"/>
      <c r="J363" s="1503"/>
      <c r="K363" s="1503"/>
      <c r="L363" s="1503"/>
      <c r="M363" s="1503"/>
      <c r="N363" s="1503"/>
      <c r="O363" s="654" t="s">
        <v>1054</v>
      </c>
      <c r="P363" s="979"/>
      <c r="Q363" s="210"/>
    </row>
    <row r="364" spans="1:31" ht="11.45" customHeight="1">
      <c r="B364" s="54" t="s">
        <v>2830</v>
      </c>
      <c r="C364" s="61" t="s">
        <v>3556</v>
      </c>
      <c r="D364" s="61"/>
      <c r="E364" s="61"/>
      <c r="F364" s="61"/>
      <c r="G364" s="61"/>
      <c r="H364" s="61"/>
      <c r="I364" s="61"/>
      <c r="J364" s="61"/>
      <c r="K364" s="61"/>
      <c r="L364" s="61"/>
      <c r="M364" s="61"/>
      <c r="O364" s="654" t="s">
        <v>2830</v>
      </c>
      <c r="P364" s="979"/>
      <c r="Q364" s="210"/>
    </row>
    <row r="365" spans="1:31" ht="21.75" customHeight="1">
      <c r="B365" s="174" t="s">
        <v>2428</v>
      </c>
      <c r="C365" s="1528" t="s">
        <v>551</v>
      </c>
      <c r="D365" s="1528"/>
      <c r="E365" s="1528"/>
      <c r="F365" s="1528"/>
      <c r="G365" s="1528"/>
      <c r="H365" s="1528"/>
      <c r="I365" s="1528"/>
      <c r="J365" s="1528"/>
      <c r="K365" s="1528"/>
      <c r="L365" s="1528"/>
      <c r="M365" s="1528"/>
      <c r="N365" s="1528"/>
      <c r="O365" s="199" t="s">
        <v>2428</v>
      </c>
      <c r="P365" s="979"/>
      <c r="Q365" s="210"/>
    </row>
    <row r="366" spans="1:31" ht="21.75" customHeight="1">
      <c r="B366" s="174" t="s">
        <v>2429</v>
      </c>
      <c r="C366" s="1503" t="s">
        <v>190</v>
      </c>
      <c r="D366" s="1503"/>
      <c r="E366" s="1503"/>
      <c r="F366" s="1503"/>
      <c r="G366" s="1503"/>
      <c r="H366" s="1503"/>
      <c r="I366" s="1503"/>
      <c r="J366" s="1503"/>
      <c r="K366" s="1503"/>
      <c r="L366" s="1503"/>
      <c r="M366" s="1503"/>
      <c r="N366" s="1503"/>
      <c r="O366" s="199" t="s">
        <v>2429</v>
      </c>
      <c r="P366" s="990"/>
      <c r="Q366" s="210"/>
    </row>
    <row r="367" spans="1:31" ht="11.45" customHeight="1">
      <c r="B367" s="54" t="s">
        <v>2657</v>
      </c>
      <c r="C367" s="38" t="s">
        <v>723</v>
      </c>
      <c r="D367" s="185"/>
      <c r="E367" s="185"/>
      <c r="F367" s="185"/>
      <c r="G367" s="185"/>
      <c r="H367" s="185"/>
      <c r="I367" s="185"/>
      <c r="J367" s="185"/>
      <c r="K367" s="185"/>
      <c r="L367" s="185"/>
      <c r="M367" s="185"/>
      <c r="O367" s="654" t="s">
        <v>2657</v>
      </c>
      <c r="P367" s="979"/>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525"/>
      <c r="B369" s="1526"/>
      <c r="C369" s="1526"/>
      <c r="D369" s="1526"/>
      <c r="E369" s="1526"/>
      <c r="F369" s="1526"/>
      <c r="G369" s="1526"/>
      <c r="H369" s="1526"/>
      <c r="I369" s="1526"/>
      <c r="J369" s="1526"/>
      <c r="K369" s="1526"/>
      <c r="L369" s="1526"/>
      <c r="M369" s="1526"/>
      <c r="N369" s="1526"/>
      <c r="O369" s="1526"/>
      <c r="P369" s="1526"/>
      <c r="Q369" s="1527"/>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531"/>
      <c r="B371" s="1532"/>
      <c r="C371" s="1532"/>
      <c r="D371" s="1532"/>
      <c r="E371" s="1532"/>
      <c r="F371" s="1532"/>
      <c r="G371" s="1532"/>
      <c r="H371" s="1532"/>
      <c r="I371" s="1532"/>
      <c r="J371" s="1532"/>
      <c r="K371" s="1532"/>
      <c r="L371" s="1532"/>
      <c r="M371" s="1532"/>
      <c r="N371" s="1532"/>
      <c r="O371" s="1532"/>
      <c r="P371" s="1532"/>
      <c r="Q371" s="1533"/>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537"/>
      <c r="Q373" s="1551"/>
    </row>
    <row r="374" spans="1:32" s="1" customFormat="1" ht="23.45" customHeight="1">
      <c r="B374" s="174" t="s">
        <v>2694</v>
      </c>
      <c r="C374" s="1528" t="s">
        <v>162</v>
      </c>
      <c r="D374" s="1528"/>
      <c r="E374" s="1528"/>
      <c r="F374" s="1528"/>
      <c r="G374" s="1528"/>
      <c r="H374" s="1528"/>
      <c r="I374" s="1528"/>
      <c r="J374" s="1528"/>
      <c r="K374" s="1528"/>
      <c r="L374" s="1528"/>
      <c r="M374" s="199" t="s">
        <v>2694</v>
      </c>
      <c r="N374" s="1594" t="s">
        <v>2466</v>
      </c>
      <c r="O374" s="1595"/>
      <c r="P374" s="1523" t="s">
        <v>2466</v>
      </c>
      <c r="Q374" s="1524"/>
      <c r="AE374" s="6"/>
      <c r="AF374" s="6"/>
    </row>
    <row r="375" spans="1:32" s="1" customFormat="1" ht="12" customHeight="1">
      <c r="B375" s="54" t="s">
        <v>2697</v>
      </c>
      <c r="C375" s="140" t="s">
        <v>1</v>
      </c>
      <c r="D375" s="185"/>
      <c r="E375" s="185"/>
      <c r="G375" s="654" t="s">
        <v>2697</v>
      </c>
      <c r="H375" s="1591"/>
      <c r="I375" s="1592"/>
      <c r="J375" s="1592"/>
      <c r="K375" s="1592"/>
      <c r="L375" s="1592"/>
      <c r="M375" s="1592"/>
      <c r="N375" s="1592"/>
      <c r="O375" s="1592"/>
      <c r="P375" s="1593"/>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979"/>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525"/>
      <c r="B378" s="1526"/>
      <c r="C378" s="1526"/>
      <c r="D378" s="1526"/>
      <c r="E378" s="1526"/>
      <c r="F378" s="1526"/>
      <c r="G378" s="1526"/>
      <c r="H378" s="1526"/>
      <c r="I378" s="1526"/>
      <c r="J378" s="1526"/>
      <c r="K378" s="1526"/>
      <c r="L378" s="1526"/>
      <c r="M378" s="1526"/>
      <c r="N378" s="1526"/>
      <c r="O378" s="1526"/>
      <c r="P378" s="1526"/>
      <c r="Q378" s="1527"/>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531"/>
      <c r="B381" s="1532"/>
      <c r="C381" s="1532"/>
      <c r="D381" s="1532"/>
      <c r="E381" s="1532"/>
      <c r="F381" s="1532"/>
      <c r="G381" s="1532"/>
      <c r="H381" s="1532"/>
      <c r="I381" s="1532"/>
      <c r="J381" s="1532"/>
      <c r="K381" s="1532"/>
      <c r="L381" s="1532"/>
      <c r="M381" s="1532"/>
      <c r="N381" s="1532"/>
      <c r="O381" s="1532"/>
      <c r="P381" s="1532"/>
      <c r="Q381" s="1533"/>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537"/>
      <c r="Q383" s="1538"/>
    </row>
    <row r="384" spans="1:32" ht="12" customHeight="1">
      <c r="A384" s="176"/>
      <c r="B384" s="54" t="s">
        <v>2694</v>
      </c>
      <c r="C384" s="61" t="s">
        <v>3524</v>
      </c>
      <c r="D384" s="607"/>
      <c r="E384" s="607"/>
      <c r="H384" s="172"/>
      <c r="O384" s="654" t="s">
        <v>2694</v>
      </c>
      <c r="P384" s="979" t="s">
        <v>4067</v>
      </c>
      <c r="Q384" s="210"/>
    </row>
    <row r="385" spans="1:31" ht="12" customHeight="1">
      <c r="A385" s="176"/>
      <c r="B385" s="54" t="s">
        <v>2697</v>
      </c>
      <c r="C385" s="61" t="s">
        <v>3525</v>
      </c>
      <c r="D385" s="607"/>
      <c r="E385" s="607"/>
      <c r="O385" s="654" t="s">
        <v>2697</v>
      </c>
      <c r="P385" s="979" t="s">
        <v>4067</v>
      </c>
      <c r="Q385" s="210"/>
    </row>
    <row r="386" spans="1:31" ht="12" customHeight="1">
      <c r="A386" s="176"/>
      <c r="B386" s="54" t="s">
        <v>1054</v>
      </c>
      <c r="C386" s="61" t="s">
        <v>3571</v>
      </c>
      <c r="D386" s="607"/>
      <c r="E386" s="607"/>
      <c r="O386" s="654" t="s">
        <v>1054</v>
      </c>
      <c r="P386" s="979" t="s">
        <v>4067</v>
      </c>
      <c r="Q386" s="210"/>
    </row>
    <row r="387" spans="1:31" ht="12" customHeight="1">
      <c r="A387" s="176"/>
      <c r="B387" s="54" t="s">
        <v>2830</v>
      </c>
      <c r="C387" s="61" t="s">
        <v>3520</v>
      </c>
      <c r="E387" s="172"/>
      <c r="O387" s="654" t="s">
        <v>2830</v>
      </c>
      <c r="P387" s="979" t="s">
        <v>4067</v>
      </c>
      <c r="Q387" s="210"/>
    </row>
    <row r="388" spans="1:31" ht="12" customHeight="1">
      <c r="B388" s="54" t="s">
        <v>2428</v>
      </c>
      <c r="C388" s="61" t="s">
        <v>2794</v>
      </c>
      <c r="E388" s="172"/>
      <c r="G388" s="654" t="s">
        <v>2428</v>
      </c>
      <c r="H388" s="1587"/>
      <c r="I388" s="1588"/>
      <c r="J388" s="1588"/>
      <c r="K388" s="1588"/>
      <c r="L388" s="1588"/>
      <c r="M388" s="1588"/>
      <c r="N388" s="1588"/>
      <c r="O388" s="1589"/>
      <c r="P388" s="979"/>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525"/>
      <c r="B390" s="1526"/>
      <c r="C390" s="1526"/>
      <c r="D390" s="1526"/>
      <c r="E390" s="1526"/>
      <c r="F390" s="1526"/>
      <c r="G390" s="1526"/>
      <c r="H390" s="1526"/>
      <c r="I390" s="1526"/>
      <c r="J390" s="1526"/>
      <c r="K390" s="1526"/>
      <c r="L390" s="1526"/>
      <c r="M390" s="1526"/>
      <c r="N390" s="1526"/>
      <c r="O390" s="1526"/>
      <c r="P390" s="1526"/>
      <c r="Q390" s="1527"/>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531"/>
      <c r="B392" s="1532"/>
      <c r="C392" s="1532"/>
      <c r="D392" s="1532"/>
      <c r="E392" s="1532"/>
      <c r="F392" s="1532"/>
      <c r="G392" s="1532"/>
      <c r="H392" s="1532"/>
      <c r="I392" s="1532"/>
      <c r="J392" s="1532"/>
      <c r="K392" s="1532"/>
      <c r="L392" s="1532"/>
      <c r="M392" s="1532"/>
      <c r="N392" s="1532"/>
      <c r="O392" s="1532"/>
      <c r="P392" s="1532"/>
      <c r="Q392" s="1533"/>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537"/>
      <c r="Q394" s="1538"/>
    </row>
    <row r="395" spans="1:31" ht="12" customHeight="1">
      <c r="A395" s="49"/>
      <c r="B395" s="54" t="s">
        <v>2694</v>
      </c>
      <c r="C395" s="47" t="s">
        <v>1057</v>
      </c>
      <c r="D395" s="49"/>
      <c r="E395" s="49"/>
      <c r="F395" s="49"/>
      <c r="G395" s="49"/>
      <c r="H395" s="49"/>
      <c r="I395" s="49"/>
      <c r="J395" s="49"/>
      <c r="K395" s="49"/>
      <c r="L395" s="49"/>
      <c r="M395" s="49"/>
      <c r="N395" s="49"/>
      <c r="O395" s="654" t="s">
        <v>2694</v>
      </c>
      <c r="P395" s="979" t="s">
        <v>4067</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979" t="s">
        <v>4067</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979" t="s">
        <v>4067</v>
      </c>
      <c r="Q398" s="210"/>
    </row>
    <row r="399" spans="1:31" ht="12" customHeight="1">
      <c r="A399" s="49"/>
      <c r="B399" s="54" t="s">
        <v>1054</v>
      </c>
      <c r="C399" s="1503" t="s">
        <v>2921</v>
      </c>
      <c r="D399" s="1503"/>
      <c r="E399" s="1503"/>
      <c r="F399" s="1503"/>
      <c r="G399" s="1503"/>
      <c r="H399" s="1503"/>
      <c r="I399" s="1503"/>
      <c r="J399" s="1503"/>
      <c r="K399" s="1503"/>
      <c r="L399" s="1503"/>
      <c r="M399" s="1503"/>
      <c r="N399" s="1503"/>
      <c r="O399" s="654" t="s">
        <v>1054</v>
      </c>
      <c r="P399" s="979" t="s">
        <v>4067</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947"/>
      <c r="H401" s="757" t="s">
        <v>266</v>
      </c>
      <c r="J401" s="166" t="s">
        <v>2927</v>
      </c>
      <c r="K401" s="38"/>
      <c r="N401" s="947"/>
      <c r="O401" s="757" t="s">
        <v>266</v>
      </c>
    </row>
    <row r="402" spans="1:32" ht="12" customHeight="1">
      <c r="A402" s="49"/>
      <c r="B402" s="54"/>
      <c r="C402" s="166" t="s">
        <v>2925</v>
      </c>
      <c r="D402" s="44"/>
      <c r="E402" s="49"/>
      <c r="F402" s="38"/>
      <c r="G402" s="953"/>
      <c r="H402" s="758"/>
      <c r="J402" s="166" t="s">
        <v>2928</v>
      </c>
      <c r="K402" s="38"/>
      <c r="N402" s="959"/>
      <c r="O402" s="759"/>
    </row>
    <row r="403" spans="1:32" ht="12" customHeight="1">
      <c r="A403" s="49"/>
      <c r="B403" s="54"/>
      <c r="C403" s="166" t="s">
        <v>2926</v>
      </c>
      <c r="D403" s="44"/>
      <c r="E403" s="49"/>
      <c r="F403" s="38"/>
      <c r="G403" s="959"/>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992"/>
      <c r="H405" s="324"/>
      <c r="J405" s="578" t="s">
        <v>1597</v>
      </c>
      <c r="K405" s="38"/>
      <c r="N405" s="995"/>
      <c r="O405" s="679"/>
    </row>
    <row r="406" spans="1:32" ht="12" customHeight="1">
      <c r="A406" s="49"/>
      <c r="B406" s="54"/>
      <c r="C406" s="578" t="s">
        <v>1596</v>
      </c>
      <c r="D406" s="38"/>
      <c r="E406" s="38"/>
      <c r="F406" s="38"/>
      <c r="G406" s="994"/>
      <c r="H406" s="325"/>
      <c r="J406" s="578" t="s">
        <v>2981</v>
      </c>
      <c r="N406" s="1548"/>
      <c r="O406" s="1549"/>
      <c r="P406" s="1549"/>
      <c r="Q406" s="1550"/>
    </row>
    <row r="407" spans="1:32" ht="12" customHeight="1">
      <c r="B407" s="173" t="s">
        <v>2570</v>
      </c>
      <c r="D407" s="173"/>
      <c r="E407" s="173"/>
      <c r="F407" s="173"/>
      <c r="G407" s="173"/>
      <c r="H407" s="813"/>
      <c r="I407" s="162"/>
      <c r="J407" s="162"/>
      <c r="K407" s="162"/>
      <c r="P407" s="804"/>
      <c r="Q407" s="59"/>
    </row>
    <row r="408" spans="1:32" ht="12" customHeight="1">
      <c r="A408" s="1525"/>
      <c r="B408" s="1526"/>
      <c r="C408" s="1526"/>
      <c r="D408" s="1526"/>
      <c r="E408" s="1526"/>
      <c r="F408" s="1526"/>
      <c r="G408" s="1526"/>
      <c r="H408" s="1526"/>
      <c r="I408" s="1526"/>
      <c r="J408" s="1526"/>
      <c r="K408" s="1526"/>
      <c r="L408" s="1526"/>
      <c r="M408" s="1526"/>
      <c r="N408" s="1526"/>
      <c r="O408" s="1526"/>
      <c r="P408" s="1526"/>
      <c r="Q408" s="1527"/>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531"/>
      <c r="B410" s="1532"/>
      <c r="C410" s="1532"/>
      <c r="D410" s="1532"/>
      <c r="E410" s="1532"/>
      <c r="F410" s="1532"/>
      <c r="G410" s="1532"/>
      <c r="H410" s="1532"/>
      <c r="I410" s="1532"/>
      <c r="J410" s="1532"/>
      <c r="K410" s="1532"/>
      <c r="L410" s="1532"/>
      <c r="M410" s="1532"/>
      <c r="N410" s="1532"/>
      <c r="O410" s="1532"/>
      <c r="P410" s="1532"/>
      <c r="Q410" s="1533"/>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537"/>
      <c r="Q412" s="1551"/>
    </row>
    <row r="413" spans="1:32" s="164" customFormat="1" ht="21.75" customHeight="1">
      <c r="B413" s="174" t="s">
        <v>2694</v>
      </c>
      <c r="C413" s="1522" t="s">
        <v>3560</v>
      </c>
      <c r="D413" s="1522"/>
      <c r="E413" s="1522"/>
      <c r="F413" s="1522"/>
      <c r="G413" s="1522"/>
      <c r="H413" s="1522"/>
      <c r="I413" s="1522"/>
      <c r="J413" s="1522"/>
      <c r="K413" s="1522"/>
      <c r="L413" s="1522"/>
      <c r="M413" s="1522"/>
      <c r="N413" s="1522"/>
      <c r="O413" s="199" t="s">
        <v>2694</v>
      </c>
      <c r="P413" s="990" t="s">
        <v>4111</v>
      </c>
      <c r="Q413" s="323"/>
      <c r="AE413" s="657"/>
      <c r="AF413" s="657"/>
    </row>
    <row r="414" spans="1:32" s="164" customFormat="1" ht="21.75" customHeight="1">
      <c r="B414" s="174" t="s">
        <v>2697</v>
      </c>
      <c r="C414" s="1522" t="s">
        <v>3561</v>
      </c>
      <c r="D414" s="1522"/>
      <c r="E414" s="1522"/>
      <c r="F414" s="1522"/>
      <c r="G414" s="1522"/>
      <c r="H414" s="1522"/>
      <c r="I414" s="1522"/>
      <c r="J414" s="1522"/>
      <c r="K414" s="1522"/>
      <c r="L414" s="1522"/>
      <c r="M414" s="1522"/>
      <c r="N414" s="1522"/>
      <c r="O414" s="199" t="s">
        <v>2697</v>
      </c>
      <c r="P414" s="990" t="s">
        <v>4111</v>
      </c>
      <c r="Q414" s="323"/>
      <c r="AE414" s="657"/>
      <c r="AF414" s="657"/>
    </row>
    <row r="415" spans="1:32" s="164" customFormat="1" ht="21.75" customHeight="1">
      <c r="B415" s="174" t="s">
        <v>1054</v>
      </c>
      <c r="C415" s="1522" t="s">
        <v>3562</v>
      </c>
      <c r="D415" s="1522"/>
      <c r="E415" s="1522"/>
      <c r="F415" s="1522"/>
      <c r="G415" s="1522"/>
      <c r="H415" s="1522"/>
      <c r="I415" s="1522"/>
      <c r="J415" s="1522"/>
      <c r="K415" s="1522"/>
      <c r="L415" s="1522"/>
      <c r="M415" s="1522"/>
      <c r="N415" s="1522"/>
      <c r="O415" s="199" t="s">
        <v>1054</v>
      </c>
      <c r="P415" s="990" t="s">
        <v>4111</v>
      </c>
      <c r="Q415" s="323"/>
      <c r="AE415" s="657"/>
      <c r="AF415" s="657"/>
    </row>
    <row r="416" spans="1:32" s="164" customFormat="1" ht="33.75" customHeight="1">
      <c r="B416" s="174" t="s">
        <v>2830</v>
      </c>
      <c r="C416" s="1522" t="s">
        <v>3563</v>
      </c>
      <c r="D416" s="1522"/>
      <c r="E416" s="1522"/>
      <c r="F416" s="1522"/>
      <c r="G416" s="1522"/>
      <c r="H416" s="1522"/>
      <c r="I416" s="1522"/>
      <c r="J416" s="1522"/>
      <c r="K416" s="1522"/>
      <c r="L416" s="1522"/>
      <c r="M416" s="1522"/>
      <c r="N416" s="1522"/>
      <c r="O416" s="199" t="s">
        <v>2830</v>
      </c>
      <c r="P416" s="990" t="s">
        <v>4111</v>
      </c>
      <c r="Q416" s="323"/>
      <c r="AE416" s="657"/>
      <c r="AF416" s="657"/>
    </row>
    <row r="417" spans="1:32" s="164" customFormat="1" ht="34.5" customHeight="1">
      <c r="B417" s="174" t="s">
        <v>2428</v>
      </c>
      <c r="C417" s="1522" t="s">
        <v>3564</v>
      </c>
      <c r="D417" s="1522"/>
      <c r="E417" s="1522"/>
      <c r="F417" s="1522"/>
      <c r="G417" s="1522"/>
      <c r="H417" s="1522"/>
      <c r="I417" s="1522"/>
      <c r="J417" s="1522"/>
      <c r="K417" s="1522"/>
      <c r="L417" s="1522"/>
      <c r="M417" s="1522"/>
      <c r="N417" s="1522"/>
      <c r="O417" s="199" t="s">
        <v>2428</v>
      </c>
      <c r="P417" s="990" t="s">
        <v>4111</v>
      </c>
      <c r="Q417" s="323"/>
      <c r="AE417" s="657"/>
      <c r="AF417" s="657"/>
    </row>
    <row r="418" spans="1:32" s="164" customFormat="1" ht="21.75" customHeight="1">
      <c r="B418" s="174" t="s">
        <v>2429</v>
      </c>
      <c r="C418" s="1522" t="s">
        <v>3565</v>
      </c>
      <c r="D418" s="1522"/>
      <c r="E418" s="1522"/>
      <c r="F418" s="1522"/>
      <c r="G418" s="1522"/>
      <c r="H418" s="1522"/>
      <c r="I418" s="1522"/>
      <c r="J418" s="1522"/>
      <c r="K418" s="1522"/>
      <c r="L418" s="1522"/>
      <c r="M418" s="1522"/>
      <c r="N418" s="1522"/>
      <c r="O418" s="199" t="s">
        <v>2429</v>
      </c>
      <c r="P418" s="990" t="s">
        <v>4111</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525"/>
      <c r="B420" s="1526"/>
      <c r="C420" s="1526"/>
      <c r="D420" s="1526"/>
      <c r="E420" s="1526"/>
      <c r="F420" s="1526"/>
      <c r="G420" s="1526"/>
      <c r="H420" s="1526"/>
      <c r="I420" s="1526"/>
      <c r="J420" s="1526"/>
      <c r="K420" s="1526"/>
      <c r="L420" s="1526"/>
      <c r="M420" s="1526"/>
      <c r="N420" s="1526"/>
      <c r="O420" s="1526"/>
      <c r="P420" s="1526"/>
      <c r="Q420" s="1527"/>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531"/>
      <c r="B422" s="1532"/>
      <c r="C422" s="1532"/>
      <c r="D422" s="1532"/>
      <c r="E422" s="1532"/>
      <c r="F422" s="1532"/>
      <c r="G422" s="1532"/>
      <c r="H422" s="1532"/>
      <c r="I422" s="1532"/>
      <c r="J422" s="1532"/>
      <c r="K422" s="1532"/>
      <c r="L422" s="1532"/>
      <c r="M422" s="1532"/>
      <c r="N422" s="1532"/>
      <c r="O422" s="1532"/>
      <c r="P422" s="1532"/>
      <c r="Q422" s="1533"/>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537"/>
      <c r="Q424" s="1551"/>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25.5" customHeight="1">
      <c r="A426" s="1525" t="s">
        <v>4163</v>
      </c>
      <c r="B426" s="1526"/>
      <c r="C426" s="1526"/>
      <c r="D426" s="1526"/>
      <c r="E426" s="1526"/>
      <c r="F426" s="1526"/>
      <c r="G426" s="1526"/>
      <c r="H426" s="1526"/>
      <c r="I426" s="1526"/>
      <c r="J426" s="1526"/>
      <c r="K426" s="1526"/>
      <c r="L426" s="1526"/>
      <c r="M426" s="1526"/>
      <c r="N426" s="1526"/>
      <c r="O426" s="1526"/>
      <c r="P426" s="1526"/>
      <c r="Q426" s="1527"/>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531"/>
      <c r="B428" s="1532"/>
      <c r="C428" s="1532"/>
      <c r="D428" s="1532"/>
      <c r="E428" s="1532"/>
      <c r="F428" s="1532"/>
      <c r="G428" s="1532"/>
      <c r="H428" s="1532"/>
      <c r="I428" s="1532"/>
      <c r="J428" s="1532"/>
      <c r="K428" s="1532"/>
      <c r="L428" s="1532"/>
      <c r="M428" s="1532"/>
      <c r="N428" s="1532"/>
      <c r="O428" s="1532"/>
      <c r="P428" s="1532"/>
      <c r="Q428" s="1533"/>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996"/>
      <c r="B432" s="996"/>
      <c r="C432" s="996"/>
      <c r="D432" s="996"/>
      <c r="E432" s="996"/>
      <c r="F432" s="996"/>
      <c r="G432" s="996"/>
      <c r="H432" s="996"/>
      <c r="I432" s="996"/>
      <c r="J432" s="996"/>
      <c r="K432" s="996"/>
      <c r="L432" s="996"/>
      <c r="M432" s="996"/>
      <c r="N432" s="996"/>
      <c r="O432" s="996"/>
      <c r="P432" s="996"/>
      <c r="Q432" s="996"/>
      <c r="AE432" s="658"/>
      <c r="AF432" s="658"/>
    </row>
    <row r="433" spans="1:32" s="181" customFormat="1" ht="12" customHeight="1">
      <c r="A433" s="996"/>
      <c r="B433" s="996"/>
      <c r="C433" s="996"/>
      <c r="D433" s="996"/>
      <c r="E433" s="996"/>
      <c r="F433" s="996"/>
      <c r="G433" s="996"/>
      <c r="H433" s="996"/>
      <c r="I433" s="996"/>
      <c r="J433" s="996"/>
      <c r="K433" s="996"/>
      <c r="L433" s="996"/>
      <c r="M433" s="996"/>
      <c r="N433" s="996"/>
      <c r="O433" s="996"/>
      <c r="P433" s="996"/>
      <c r="Q433" s="996"/>
      <c r="AE433" s="658"/>
      <c r="AF433" s="658"/>
    </row>
    <row r="434" spans="1:32" s="181" customFormat="1" ht="12" customHeight="1">
      <c r="A434" s="996"/>
      <c r="B434" s="996"/>
      <c r="C434" s="996"/>
      <c r="D434" s="996"/>
      <c r="E434" s="996"/>
      <c r="F434" s="996"/>
      <c r="G434" s="996"/>
      <c r="H434" s="996"/>
      <c r="I434" s="996"/>
      <c r="J434" s="996"/>
      <c r="K434" s="996"/>
      <c r="L434" s="996"/>
      <c r="M434" s="996"/>
      <c r="N434" s="996"/>
      <c r="O434" s="996"/>
      <c r="P434" s="996"/>
      <c r="Q434" s="996"/>
      <c r="AE434" s="658"/>
      <c r="AF434" s="658"/>
    </row>
    <row r="435" spans="1:32" s="181" customFormat="1" ht="12" customHeight="1">
      <c r="A435" s="996"/>
      <c r="B435" s="996"/>
      <c r="C435" s="996"/>
      <c r="D435" s="996"/>
      <c r="E435" s="996"/>
      <c r="F435" s="996"/>
      <c r="G435" s="996"/>
      <c r="H435" s="996"/>
      <c r="I435" s="996"/>
      <c r="J435" s="996"/>
      <c r="K435" s="996"/>
      <c r="L435" s="996"/>
      <c r="M435" s="996"/>
      <c r="N435" s="996"/>
      <c r="O435" s="996"/>
      <c r="P435" s="996"/>
      <c r="Q435" s="996"/>
      <c r="AE435" s="658"/>
      <c r="AF435" s="658"/>
    </row>
    <row r="436" spans="1:32" s="181" customFormat="1" ht="12" customHeight="1">
      <c r="A436" s="996"/>
      <c r="B436" s="996"/>
      <c r="C436" s="996"/>
      <c r="D436" s="996"/>
      <c r="E436" s="996"/>
      <c r="F436" s="996"/>
      <c r="G436" s="996"/>
      <c r="H436" s="996"/>
      <c r="I436" s="996"/>
      <c r="J436" s="996"/>
      <c r="K436" s="996"/>
      <c r="L436" s="996"/>
      <c r="M436" s="996"/>
      <c r="N436" s="996"/>
      <c r="O436" s="996"/>
      <c r="P436" s="996"/>
      <c r="Q436" s="996"/>
      <c r="AE436" s="658"/>
      <c r="AF436" s="658"/>
    </row>
    <row r="437" spans="1:32" s="181" customFormat="1" ht="12" customHeight="1">
      <c r="A437" s="996"/>
      <c r="B437" s="996"/>
      <c r="C437" s="996"/>
      <c r="D437" s="996"/>
      <c r="E437" s="996"/>
      <c r="F437" s="996"/>
      <c r="G437" s="996"/>
      <c r="H437" s="996"/>
      <c r="I437" s="996"/>
      <c r="J437" s="996"/>
      <c r="K437" s="996"/>
      <c r="L437" s="996"/>
      <c r="M437" s="996"/>
      <c r="N437" s="996"/>
      <c r="O437" s="996"/>
      <c r="P437" s="996"/>
      <c r="Q437" s="996"/>
      <c r="AE437" s="658"/>
      <c r="AF437" s="658"/>
    </row>
    <row r="438" spans="1:32" s="181" customFormat="1" ht="12" customHeight="1">
      <c r="A438" s="996"/>
      <c r="B438" s="996"/>
      <c r="C438" s="996"/>
      <c r="D438" s="996"/>
      <c r="E438" s="996"/>
      <c r="F438" s="996"/>
      <c r="G438" s="996"/>
      <c r="H438" s="996"/>
      <c r="I438" s="996"/>
      <c r="J438" s="996"/>
      <c r="K438" s="996"/>
      <c r="L438" s="996"/>
      <c r="M438" s="996"/>
      <c r="N438" s="996"/>
      <c r="O438" s="996"/>
      <c r="P438" s="996"/>
      <c r="Q438" s="996"/>
      <c r="AE438" s="658"/>
      <c r="AF438" s="658"/>
    </row>
    <row r="439" spans="1:32" s="181" customFormat="1" ht="12" customHeight="1">
      <c r="A439" s="996"/>
      <c r="B439" s="996"/>
      <c r="C439" s="996"/>
      <c r="D439" s="996"/>
      <c r="E439" s="996"/>
      <c r="F439" s="996"/>
      <c r="G439" s="996"/>
      <c r="H439" s="996"/>
      <c r="I439" s="996"/>
      <c r="J439" s="996"/>
      <c r="K439" s="996"/>
      <c r="L439" s="996"/>
      <c r="M439" s="996"/>
      <c r="N439" s="996"/>
      <c r="O439" s="996"/>
      <c r="P439" s="996"/>
      <c r="Q439" s="996"/>
      <c r="AE439" s="658"/>
      <c r="AF439" s="658"/>
    </row>
    <row r="440" spans="1:32" s="181" customFormat="1" ht="12" customHeight="1">
      <c r="A440" s="996"/>
      <c r="B440" s="996"/>
      <c r="C440" s="996"/>
      <c r="D440" s="996"/>
      <c r="E440" s="996"/>
      <c r="F440" s="996"/>
      <c r="G440" s="996"/>
      <c r="H440" s="996"/>
      <c r="I440" s="996"/>
      <c r="J440" s="996"/>
      <c r="K440" s="996"/>
      <c r="L440" s="996"/>
      <c r="M440" s="996"/>
      <c r="N440" s="996"/>
      <c r="O440" s="996"/>
      <c r="P440" s="996"/>
      <c r="Q440" s="996"/>
      <c r="AE440" s="658"/>
      <c r="AF440" s="658"/>
    </row>
    <row r="441" spans="1:32" s="181" customFormat="1" ht="12" customHeight="1">
      <c r="A441" s="996"/>
      <c r="B441" s="996"/>
      <c r="C441" s="996"/>
      <c r="D441" s="996"/>
      <c r="E441" s="996"/>
      <c r="F441" s="996"/>
      <c r="G441" s="996"/>
      <c r="H441" s="996"/>
      <c r="I441" s="996"/>
      <c r="J441" s="996"/>
      <c r="K441" s="996"/>
      <c r="L441" s="996"/>
      <c r="M441" s="996"/>
      <c r="N441" s="996"/>
      <c r="O441" s="996"/>
      <c r="P441" s="996"/>
      <c r="Q441" s="996"/>
      <c r="AE441" s="658"/>
      <c r="AF441" s="658"/>
    </row>
    <row r="442" spans="1:32" s="181" customFormat="1" ht="12" customHeight="1">
      <c r="A442" s="996"/>
      <c r="B442" s="996"/>
      <c r="C442" s="996"/>
      <c r="D442" s="996"/>
      <c r="E442" s="996"/>
      <c r="F442" s="996"/>
      <c r="G442" s="996"/>
      <c r="H442" s="996"/>
      <c r="I442" s="996"/>
      <c r="J442" s="996"/>
      <c r="K442" s="996"/>
      <c r="L442" s="996"/>
      <c r="M442" s="996"/>
      <c r="N442" s="996"/>
      <c r="O442" s="996"/>
      <c r="P442" s="996"/>
      <c r="Q442" s="996"/>
      <c r="AE442" s="658"/>
      <c r="AF442" s="658"/>
    </row>
    <row r="443" spans="1:32" s="181" customFormat="1" ht="12" customHeight="1">
      <c r="A443" s="996"/>
      <c r="B443" s="996"/>
      <c r="C443" s="996"/>
      <c r="D443" s="996"/>
      <c r="E443" s="996"/>
      <c r="F443" s="996"/>
      <c r="G443" s="996"/>
      <c r="H443" s="996"/>
      <c r="I443" s="996"/>
      <c r="J443" s="996"/>
      <c r="K443" s="996"/>
      <c r="L443" s="996"/>
      <c r="M443" s="996"/>
      <c r="N443" s="996"/>
      <c r="O443" s="996"/>
      <c r="P443" s="996"/>
      <c r="Q443" s="996"/>
      <c r="AE443" s="658"/>
      <c r="AF443" s="658"/>
    </row>
    <row r="444" spans="1:32" s="181" customFormat="1" ht="12" customHeight="1">
      <c r="A444" s="996"/>
      <c r="B444" s="996"/>
      <c r="C444" s="996"/>
      <c r="D444" s="996"/>
      <c r="E444" s="996"/>
      <c r="F444" s="996"/>
      <c r="G444" s="996"/>
      <c r="H444" s="996"/>
      <c r="I444" s="996"/>
      <c r="J444" s="996"/>
      <c r="K444" s="996"/>
      <c r="L444" s="996"/>
      <c r="M444" s="996"/>
      <c r="N444" s="996"/>
      <c r="O444" s="996"/>
      <c r="P444" s="996"/>
      <c r="Q444" s="996"/>
      <c r="AE444" s="658"/>
      <c r="AF444" s="658"/>
    </row>
    <row r="445" spans="1:32" s="181" customFormat="1" ht="12" customHeight="1">
      <c r="A445" s="997"/>
      <c r="B445" s="997"/>
      <c r="C445" s="997"/>
      <c r="D445" s="997"/>
      <c r="E445" s="997"/>
      <c r="F445" s="997"/>
      <c r="G445" s="997"/>
      <c r="H445" s="997"/>
      <c r="I445" s="997"/>
      <c r="J445" s="997"/>
      <c r="K445" s="997"/>
      <c r="L445" s="997"/>
      <c r="M445" s="997"/>
      <c r="N445" s="996"/>
      <c r="O445" s="996"/>
      <c r="P445" s="996"/>
      <c r="Q445" s="996"/>
      <c r="AE445" s="658"/>
      <c r="AF445" s="658"/>
    </row>
    <row r="446" spans="1:32" s="181" customFormat="1" ht="12" customHeight="1">
      <c r="A446" s="997"/>
      <c r="B446" s="997"/>
      <c r="C446" s="997"/>
      <c r="D446" s="997"/>
      <c r="E446" s="997"/>
      <c r="F446" s="997"/>
      <c r="G446" s="997"/>
      <c r="H446" s="997"/>
      <c r="I446" s="997"/>
      <c r="J446" s="997"/>
      <c r="K446" s="997"/>
      <c r="L446" s="997"/>
      <c r="M446" s="997"/>
      <c r="N446" s="996"/>
      <c r="O446" s="996"/>
      <c r="P446" s="996"/>
      <c r="Q446" s="99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322" t="str">
        <f>CONCATENATE("PART NINE - SCORING CRITERIA","  -  ",'Part I-Project Information'!$O$4," ",'Part I-Project Information'!$F$23,", ",'Part I-Project Information'!F26,", ",'Part I-Project Information'!J27," County")</f>
        <v>PART NINE - SCORING CRITERIA  -  2013-035 North Lake Senior Village, LP, Columbus, Muscogee County</v>
      </c>
      <c r="B1" s="1323"/>
      <c r="C1" s="1323"/>
      <c r="D1" s="1323"/>
      <c r="E1" s="1323"/>
      <c r="F1" s="1323"/>
      <c r="G1" s="1323"/>
      <c r="H1" s="1323"/>
      <c r="I1" s="1323"/>
      <c r="J1" s="1323"/>
      <c r="K1" s="1323"/>
      <c r="L1" s="1323"/>
      <c r="M1" s="1323"/>
      <c r="N1" s="1323"/>
      <c r="O1" s="1323"/>
      <c r="P1" s="1324"/>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53</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998"/>
      <c r="P10" s="65"/>
    </row>
    <row r="11" spans="1:19" s="50" customFormat="1" ht="11.25" customHeight="1">
      <c r="A11" s="230"/>
      <c r="B11" s="131" t="s">
        <v>2828</v>
      </c>
      <c r="D11" s="55"/>
      <c r="E11" s="55"/>
      <c r="F11" s="669" t="s">
        <v>3381</v>
      </c>
      <c r="G11" s="38">
        <f>P16</f>
        <v>0</v>
      </c>
      <c r="H11" s="221" t="s">
        <v>3965</v>
      </c>
      <c r="J11" s="56"/>
      <c r="M11" s="7">
        <v>1</v>
      </c>
      <c r="N11" s="77"/>
      <c r="O11" s="998"/>
      <c r="P11" s="65"/>
    </row>
    <row r="12" spans="1:19" s="49" customFormat="1" ht="11.25" customHeight="1">
      <c r="A12" s="230" t="s">
        <v>2697</v>
      </c>
      <c r="B12" s="213" t="s">
        <v>1031</v>
      </c>
      <c r="D12" s="55"/>
      <c r="E12" s="55"/>
      <c r="F12" s="669" t="s">
        <v>3381</v>
      </c>
      <c r="G12" s="38">
        <f>K16</f>
        <v>0</v>
      </c>
      <c r="H12" s="221" t="s">
        <v>3686</v>
      </c>
      <c r="J12" s="56"/>
      <c r="M12" s="7"/>
      <c r="N12" s="77" t="s">
        <v>2697</v>
      </c>
      <c r="O12" s="998"/>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30" customHeight="1">
      <c r="A14" s="1525" t="s">
        <v>4125</v>
      </c>
      <c r="B14" s="1526"/>
      <c r="C14" s="1526"/>
      <c r="D14" s="1526"/>
      <c r="E14" s="1526"/>
      <c r="F14" s="1526"/>
      <c r="G14" s="1526"/>
      <c r="H14" s="1526"/>
      <c r="I14" s="1526"/>
      <c r="J14" s="1526"/>
      <c r="K14" s="1526"/>
      <c r="L14" s="1526"/>
      <c r="M14" s="1526"/>
      <c r="N14" s="1526"/>
      <c r="O14" s="1526"/>
      <c r="P14" s="1527"/>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733" t="s">
        <v>3164</v>
      </c>
      <c r="B16" s="1733"/>
      <c r="C16" s="1733"/>
      <c r="D16" s="1733"/>
      <c r="E16" s="78" t="s">
        <v>675</v>
      </c>
      <c r="F16" s="92">
        <f>SUM(F17:F28)</f>
        <v>0</v>
      </c>
      <c r="G16" s="1734" t="s">
        <v>3165</v>
      </c>
      <c r="H16" s="1733"/>
      <c r="I16" s="1733"/>
      <c r="J16" s="78" t="s">
        <v>675</v>
      </c>
      <c r="K16" s="92">
        <f>SUM(K17:K28)</f>
        <v>0</v>
      </c>
      <c r="L16" s="812" t="s">
        <v>3964</v>
      </c>
      <c r="M16" s="115"/>
      <c r="N16" s="113"/>
      <c r="O16" s="78"/>
      <c r="P16" s="92">
        <f>SUM(P17:P28)</f>
        <v>0</v>
      </c>
      <c r="R16" s="616"/>
      <c r="S16" s="195"/>
    </row>
    <row r="17" spans="1:19" s="49" customFormat="1" ht="23.25" customHeight="1">
      <c r="A17" s="1730" t="e">
        <f>#REF!</f>
        <v>#REF!</v>
      </c>
      <c r="B17" s="1731"/>
      <c r="C17" s="1731"/>
      <c r="D17" s="1731"/>
      <c r="E17" s="1732"/>
      <c r="F17" s="281"/>
      <c r="G17" s="1728">
        <v>1</v>
      </c>
      <c r="H17" s="1729"/>
      <c r="I17" s="1729"/>
      <c r="J17" s="1729"/>
      <c r="K17" s="281"/>
      <c r="L17" s="1728">
        <v>1</v>
      </c>
      <c r="M17" s="1729"/>
      <c r="N17" s="1729"/>
      <c r="O17" s="1729"/>
      <c r="P17" s="281"/>
      <c r="Q17" s="614" t="s">
        <v>1677</v>
      </c>
      <c r="R17" s="615"/>
      <c r="S17" s="195"/>
    </row>
    <row r="18" spans="1:19" s="49" customFormat="1" ht="23.25" customHeight="1">
      <c r="A18" s="1725">
        <v>2</v>
      </c>
      <c r="B18" s="1726"/>
      <c r="C18" s="1726"/>
      <c r="D18" s="1726"/>
      <c r="E18" s="1727"/>
      <c r="F18" s="282"/>
      <c r="G18" s="1716">
        <v>2</v>
      </c>
      <c r="H18" s="1717"/>
      <c r="I18" s="1717"/>
      <c r="J18" s="1717"/>
      <c r="K18" s="282"/>
      <c r="L18" s="1716">
        <v>2</v>
      </c>
      <c r="M18" s="1717"/>
      <c r="N18" s="1717"/>
      <c r="O18" s="1717"/>
      <c r="P18" s="282"/>
      <c r="Q18" s="614"/>
      <c r="R18" s="615"/>
      <c r="S18" s="195"/>
    </row>
    <row r="19" spans="1:19" s="49" customFormat="1" ht="23.25" customHeight="1">
      <c r="A19" s="1725">
        <v>3</v>
      </c>
      <c r="B19" s="1726"/>
      <c r="C19" s="1726"/>
      <c r="D19" s="1726"/>
      <c r="E19" s="1727"/>
      <c r="F19" s="282"/>
      <c r="G19" s="1716">
        <v>3</v>
      </c>
      <c r="H19" s="1717"/>
      <c r="I19" s="1717"/>
      <c r="J19" s="1717"/>
      <c r="K19" s="282"/>
      <c r="L19" s="1716">
        <v>3</v>
      </c>
      <c r="M19" s="1717"/>
      <c r="N19" s="1717"/>
      <c r="O19" s="1717"/>
      <c r="P19" s="282"/>
      <c r="Q19" s="614"/>
      <c r="R19" s="615"/>
      <c r="S19" s="195"/>
    </row>
    <row r="20" spans="1:19" s="49" customFormat="1" ht="23.25" customHeight="1">
      <c r="A20" s="1725">
        <v>4</v>
      </c>
      <c r="B20" s="1726"/>
      <c r="C20" s="1726"/>
      <c r="D20" s="1726"/>
      <c r="E20" s="1727"/>
      <c r="F20" s="282"/>
      <c r="G20" s="1716">
        <v>4</v>
      </c>
      <c r="H20" s="1717"/>
      <c r="I20" s="1717"/>
      <c r="J20" s="1717"/>
      <c r="K20" s="282"/>
      <c r="L20" s="1716">
        <v>4</v>
      </c>
      <c r="M20" s="1717"/>
      <c r="N20" s="1717"/>
      <c r="O20" s="1717"/>
      <c r="P20" s="282"/>
      <c r="Q20" s="614"/>
      <c r="R20" s="615"/>
      <c r="S20" s="195"/>
    </row>
    <row r="21" spans="1:19" s="49" customFormat="1" ht="23.25" customHeight="1">
      <c r="A21" s="1725">
        <v>5</v>
      </c>
      <c r="B21" s="1726"/>
      <c r="C21" s="1726"/>
      <c r="D21" s="1726"/>
      <c r="E21" s="1727"/>
      <c r="F21" s="282"/>
      <c r="G21" s="1716">
        <v>5</v>
      </c>
      <c r="H21" s="1717"/>
      <c r="I21" s="1717"/>
      <c r="J21" s="1717"/>
      <c r="K21" s="282"/>
      <c r="L21" s="1716">
        <v>5</v>
      </c>
      <c r="M21" s="1717"/>
      <c r="N21" s="1717"/>
      <c r="O21" s="1717"/>
      <c r="P21" s="282"/>
      <c r="R21" s="195"/>
      <c r="S21" s="195"/>
    </row>
    <row r="22" spans="1:19" s="49" customFormat="1" ht="23.25" customHeight="1">
      <c r="A22" s="1725">
        <v>6</v>
      </c>
      <c r="B22" s="1726"/>
      <c r="C22" s="1726"/>
      <c r="D22" s="1726"/>
      <c r="E22" s="1727"/>
      <c r="F22" s="282"/>
      <c r="G22" s="1716">
        <v>6</v>
      </c>
      <c r="H22" s="1717"/>
      <c r="I22" s="1717"/>
      <c r="J22" s="1717"/>
      <c r="K22" s="282"/>
      <c r="L22" s="1716">
        <v>6</v>
      </c>
      <c r="M22" s="1717"/>
      <c r="N22" s="1717"/>
      <c r="O22" s="1717"/>
      <c r="P22" s="282"/>
      <c r="R22" s="195"/>
      <c r="S22" s="195"/>
    </row>
    <row r="23" spans="1:19" s="49" customFormat="1" ht="23.25" customHeight="1">
      <c r="A23" s="1725">
        <v>7</v>
      </c>
      <c r="B23" s="1726"/>
      <c r="C23" s="1726"/>
      <c r="D23" s="1726"/>
      <c r="E23" s="1727"/>
      <c r="F23" s="282"/>
      <c r="G23" s="1716">
        <v>7</v>
      </c>
      <c r="H23" s="1717"/>
      <c r="I23" s="1717"/>
      <c r="J23" s="1717"/>
      <c r="K23" s="282"/>
      <c r="L23" s="1716">
        <v>7</v>
      </c>
      <c r="M23" s="1717"/>
      <c r="N23" s="1717"/>
      <c r="O23" s="1717"/>
      <c r="P23" s="282"/>
      <c r="R23" s="195"/>
      <c r="S23" s="195"/>
    </row>
    <row r="24" spans="1:19" s="49" customFormat="1" ht="23.25" customHeight="1">
      <c r="A24" s="1725">
        <v>8</v>
      </c>
      <c r="B24" s="1726"/>
      <c r="C24" s="1726"/>
      <c r="D24" s="1726"/>
      <c r="E24" s="1727"/>
      <c r="F24" s="282"/>
      <c r="G24" s="1716">
        <v>8</v>
      </c>
      <c r="H24" s="1717"/>
      <c r="I24" s="1717"/>
      <c r="J24" s="1717"/>
      <c r="K24" s="282"/>
      <c r="L24" s="1716">
        <v>8</v>
      </c>
      <c r="M24" s="1717"/>
      <c r="N24" s="1717"/>
      <c r="O24" s="1717"/>
      <c r="P24" s="282"/>
      <c r="R24" s="195"/>
      <c r="S24" s="195"/>
    </row>
    <row r="25" spans="1:19" s="49" customFormat="1" ht="23.25" customHeight="1">
      <c r="A25" s="1725">
        <v>9</v>
      </c>
      <c r="B25" s="1726"/>
      <c r="C25" s="1726"/>
      <c r="D25" s="1726"/>
      <c r="E25" s="1727"/>
      <c r="F25" s="282"/>
      <c r="G25" s="1716">
        <v>9</v>
      </c>
      <c r="H25" s="1717"/>
      <c r="I25" s="1717"/>
      <c r="J25" s="1717"/>
      <c r="K25" s="282"/>
      <c r="L25" s="1716">
        <v>9</v>
      </c>
      <c r="M25" s="1717"/>
      <c r="N25" s="1717"/>
      <c r="O25" s="1717"/>
      <c r="P25" s="282"/>
      <c r="R25" s="195"/>
      <c r="S25" s="195"/>
    </row>
    <row r="26" spans="1:19" s="49" customFormat="1" ht="23.25" customHeight="1">
      <c r="A26" s="1725">
        <v>10</v>
      </c>
      <c r="B26" s="1726"/>
      <c r="C26" s="1726"/>
      <c r="D26" s="1726"/>
      <c r="E26" s="1727"/>
      <c r="F26" s="282"/>
      <c r="G26" s="1716">
        <v>10</v>
      </c>
      <c r="H26" s="1717"/>
      <c r="I26" s="1717"/>
      <c r="J26" s="1717"/>
      <c r="K26" s="282"/>
      <c r="L26" s="1716">
        <v>10</v>
      </c>
      <c r="M26" s="1717"/>
      <c r="N26" s="1717"/>
      <c r="O26" s="1717"/>
      <c r="P26" s="282"/>
      <c r="R26" s="195"/>
      <c r="S26" s="195"/>
    </row>
    <row r="27" spans="1:19" s="49" customFormat="1" ht="23.25" customHeight="1">
      <c r="A27" s="1725">
        <v>11</v>
      </c>
      <c r="B27" s="1726"/>
      <c r="C27" s="1726"/>
      <c r="D27" s="1726"/>
      <c r="E27" s="1727"/>
      <c r="F27" s="282"/>
      <c r="G27" s="1716">
        <v>11</v>
      </c>
      <c r="H27" s="1717"/>
      <c r="I27" s="1717"/>
      <c r="J27" s="1717"/>
      <c r="K27" s="282"/>
      <c r="L27" s="1716">
        <v>11</v>
      </c>
      <c r="M27" s="1717"/>
      <c r="N27" s="1717"/>
      <c r="O27" s="1717"/>
      <c r="P27" s="282"/>
      <c r="R27" s="195"/>
      <c r="S27" s="195"/>
    </row>
    <row r="28" spans="1:19" s="49" customFormat="1" ht="23.25" customHeight="1">
      <c r="A28" s="1737">
        <v>12</v>
      </c>
      <c r="B28" s="1738"/>
      <c r="C28" s="1738"/>
      <c r="D28" s="1738"/>
      <c r="E28" s="1739"/>
      <c r="F28" s="283"/>
      <c r="G28" s="1735">
        <v>12</v>
      </c>
      <c r="H28" s="1736"/>
      <c r="I28" s="1736"/>
      <c r="J28" s="1736"/>
      <c r="K28" s="283"/>
      <c r="L28" s="1735">
        <v>12</v>
      </c>
      <c r="M28" s="1736"/>
      <c r="N28" s="1736"/>
      <c r="O28" s="17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999">
        <v>13</v>
      </c>
      <c r="K31" s="549" t="s">
        <v>3543</v>
      </c>
      <c r="L31" s="573">
        <f>IF(OR('Part VI-Revenues &amp; Expenses'!$M$60="", 'Part VI-Revenues &amp; Expenses'!$M$60=0),0,I31/'Part VI-Revenues &amp; Expenses'!$M$60)</f>
        <v>0.18571428571428572</v>
      </c>
      <c r="M31" s="577">
        <v>3</v>
      </c>
      <c r="N31" s="572"/>
      <c r="O31" s="1721" t="s">
        <v>3576</v>
      </c>
      <c r="P31" s="613">
        <v>0.15</v>
      </c>
    </row>
    <row r="32" spans="1:19" s="570" customFormat="1" ht="11.25" customHeight="1">
      <c r="A32" s="569" t="s">
        <v>2697</v>
      </c>
      <c r="B32" s="137" t="s">
        <v>3426</v>
      </c>
      <c r="E32" s="571"/>
      <c r="H32" s="549" t="s">
        <v>3427</v>
      </c>
      <c r="I32" s="999"/>
      <c r="K32" s="549" t="s">
        <v>3543</v>
      </c>
      <c r="L32" s="573">
        <f>IF(OR('Part VI-Revenues &amp; Expenses'!$M$60="", 'Part VI-Revenues &amp; Expenses'!$M$60=0),0,I32/'Part VI-Revenues &amp; Expenses'!$M$60)</f>
        <v>0</v>
      </c>
      <c r="M32" s="577">
        <v>4</v>
      </c>
      <c r="N32" s="572"/>
      <c r="O32" s="1722"/>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25"/>
      <c r="B34" s="1526"/>
      <c r="C34" s="1526"/>
      <c r="D34" s="1526"/>
      <c r="E34" s="1526"/>
      <c r="F34" s="1526"/>
      <c r="G34" s="1526"/>
      <c r="H34" s="1526"/>
      <c r="I34" s="1526"/>
      <c r="J34" s="1526"/>
      <c r="K34" s="1526"/>
      <c r="L34" s="1526"/>
      <c r="M34" s="1526"/>
      <c r="N34" s="1526"/>
      <c r="O34" s="1526"/>
      <c r="P34" s="1527"/>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531"/>
      <c r="B36" s="1532"/>
      <c r="C36" s="1532"/>
      <c r="D36" s="1532"/>
      <c r="E36" s="1532"/>
      <c r="F36" s="1532"/>
      <c r="G36" s="1532"/>
      <c r="H36" s="1532"/>
      <c r="I36" s="1532"/>
      <c r="J36" s="1532"/>
      <c r="K36" s="1532"/>
      <c r="L36" s="1532"/>
      <c r="M36" s="1532"/>
      <c r="N36" s="1532"/>
      <c r="O36" s="1532"/>
      <c r="P36" s="1533"/>
      <c r="Q36" s="614" t="s">
        <v>1677</v>
      </c>
    </row>
    <row r="37" spans="1:18" ht="3" customHeight="1"/>
    <row r="38" spans="1:18" s="50" customFormat="1" ht="12.6" customHeight="1">
      <c r="A38" s="189" t="s">
        <v>3323</v>
      </c>
      <c r="B38" s="126" t="s">
        <v>2579</v>
      </c>
      <c r="D38" s="48"/>
      <c r="H38" s="1740" t="s">
        <v>775</v>
      </c>
      <c r="I38" s="1740"/>
      <c r="J38" s="1740"/>
      <c r="K38" s="17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740"/>
      <c r="I39" s="1740"/>
      <c r="J39" s="1740"/>
      <c r="K39" s="1740"/>
      <c r="L39" s="38"/>
      <c r="M39" s="71"/>
      <c r="N39" s="674"/>
      <c r="O39" s="807"/>
      <c r="P39" s="4"/>
    </row>
    <row r="40" spans="1:18" s="50" customFormat="1" ht="12" customHeight="1">
      <c r="A40" s="171" t="s">
        <v>2694</v>
      </c>
      <c r="B40" s="213" t="s">
        <v>2580</v>
      </c>
      <c r="C40" s="5"/>
      <c r="D40" s="5"/>
      <c r="E40" s="221" t="s">
        <v>3660</v>
      </c>
      <c r="F40" s="389"/>
      <c r="G40" s="389"/>
      <c r="H40" s="1740"/>
      <c r="I40" s="1740"/>
      <c r="J40" s="1740"/>
      <c r="K40" s="1740"/>
      <c r="M40" s="88">
        <v>12</v>
      </c>
      <c r="N40" s="225" t="s">
        <v>2694</v>
      </c>
      <c r="O40" s="1000">
        <v>15</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998">
        <v>0</v>
      </c>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25" t="s">
        <v>4126</v>
      </c>
      <c r="B43" s="1526"/>
      <c r="C43" s="1526"/>
      <c r="D43" s="1526"/>
      <c r="E43" s="1526"/>
      <c r="F43" s="1526"/>
      <c r="G43" s="1526"/>
      <c r="H43" s="1526"/>
      <c r="I43" s="1526"/>
      <c r="J43" s="1526"/>
      <c r="K43" s="1526"/>
      <c r="L43" s="1526"/>
      <c r="M43" s="1526"/>
      <c r="N43" s="1526"/>
      <c r="O43" s="1526"/>
      <c r="P43" s="1527"/>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531"/>
      <c r="B45" s="1532"/>
      <c r="C45" s="1532"/>
      <c r="D45" s="1532"/>
      <c r="E45" s="1532"/>
      <c r="F45" s="1532"/>
      <c r="G45" s="1532"/>
      <c r="H45" s="1532"/>
      <c r="I45" s="1532"/>
      <c r="J45" s="1532"/>
      <c r="K45" s="1532"/>
      <c r="L45" s="1532"/>
      <c r="M45" s="1532"/>
      <c r="N45" s="1532"/>
      <c r="O45" s="1532"/>
      <c r="P45" s="1533"/>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2</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000">
        <v>0</v>
      </c>
      <c r="P48" s="84"/>
      <c r="R48" s="490"/>
    </row>
    <row r="49" spans="1:18" s="50" customFormat="1" ht="12.6" customHeight="1">
      <c r="A49" s="171" t="s">
        <v>2697</v>
      </c>
      <c r="B49" s="213" t="s">
        <v>3437</v>
      </c>
      <c r="E49" s="48"/>
      <c r="K49" s="55"/>
      <c r="L49" s="490" t="str">
        <f>IF(OR($O49=$M49,$O49=0,$O49=""),"","* * Check Score! * *")</f>
        <v/>
      </c>
      <c r="M49" s="88">
        <v>2</v>
      </c>
      <c r="N49" s="654" t="s">
        <v>2697</v>
      </c>
      <c r="O49" s="1000">
        <v>2</v>
      </c>
      <c r="P49" s="84"/>
      <c r="R49" s="490"/>
    </row>
    <row r="50" spans="1:18" s="50" customFormat="1" ht="12.6" customHeight="1">
      <c r="A50" s="171" t="s">
        <v>1054</v>
      </c>
      <c r="B50" s="213" t="s">
        <v>3462</v>
      </c>
      <c r="E50" s="48"/>
      <c r="K50" s="55"/>
      <c r="L50" s="490" t="str">
        <f>IF(OR($O50=$M50,$O50=0,$O50=""),"","* * Check Score! * *")</f>
        <v/>
      </c>
      <c r="M50" s="88">
        <v>1</v>
      </c>
      <c r="N50" s="225" t="s">
        <v>1054</v>
      </c>
      <c r="O50" s="1000">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25" t="s">
        <v>4127</v>
      </c>
      <c r="B52" s="1526"/>
      <c r="C52" s="1526"/>
      <c r="D52" s="1526"/>
      <c r="E52" s="1526"/>
      <c r="F52" s="1526"/>
      <c r="G52" s="1526"/>
      <c r="H52" s="1526"/>
      <c r="I52" s="1526"/>
      <c r="J52" s="1526"/>
      <c r="K52" s="1526"/>
      <c r="L52" s="1526"/>
      <c r="M52" s="1526"/>
      <c r="N52" s="1526"/>
      <c r="O52" s="1526"/>
      <c r="P52" s="1527"/>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531"/>
      <c r="B54" s="1532"/>
      <c r="C54" s="1532"/>
      <c r="D54" s="1532"/>
      <c r="E54" s="1532"/>
      <c r="F54" s="1532"/>
      <c r="G54" s="1532"/>
      <c r="H54" s="1532"/>
      <c r="I54" s="1532"/>
      <c r="J54" s="1532"/>
      <c r="K54" s="1532"/>
      <c r="L54" s="1532"/>
      <c r="M54" s="1532"/>
      <c r="N54" s="1532"/>
      <c r="O54" s="1532"/>
      <c r="P54" s="1533"/>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000">
        <v>0</v>
      </c>
      <c r="P56" s="84"/>
      <c r="Q56" s="130" t="s">
        <v>566</v>
      </c>
    </row>
    <row r="57" spans="1:18" s="50" customFormat="1" ht="12.6" customHeight="1">
      <c r="A57" s="189"/>
      <c r="B57" s="513" t="s">
        <v>3428</v>
      </c>
      <c r="D57" s="48"/>
      <c r="E57" s="44"/>
      <c r="I57" s="1718"/>
      <c r="J57" s="1719"/>
      <c r="K57" s="1719"/>
      <c r="L57" s="1720"/>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25"/>
      <c r="B59" s="1526"/>
      <c r="C59" s="1526"/>
      <c r="D59" s="1526"/>
      <c r="E59" s="1526"/>
      <c r="F59" s="1526"/>
      <c r="G59" s="1526"/>
      <c r="H59" s="1526"/>
      <c r="I59" s="1526"/>
      <c r="J59" s="1526"/>
      <c r="K59" s="1526"/>
      <c r="L59" s="1526"/>
      <c r="M59" s="1526"/>
      <c r="N59" s="1526"/>
      <c r="O59" s="1526"/>
      <c r="P59" s="1527"/>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531"/>
      <c r="B61" s="1532"/>
      <c r="C61" s="1532"/>
      <c r="D61" s="1532"/>
      <c r="E61" s="1532"/>
      <c r="F61" s="1532"/>
      <c r="G61" s="1532"/>
      <c r="H61" s="1532"/>
      <c r="I61" s="1532"/>
      <c r="J61" s="1532"/>
      <c r="K61" s="1532"/>
      <c r="L61" s="1532"/>
      <c r="M61" s="1532"/>
      <c r="N61" s="1532"/>
      <c r="O61" s="1532"/>
      <c r="P61" s="1533"/>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142" t="s">
        <v>4128</v>
      </c>
      <c r="K63" s="1724"/>
      <c r="L63" s="1143"/>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979" t="s">
        <v>1960</v>
      </c>
      <c r="P65" s="210"/>
      <c r="Q65" s="130"/>
    </row>
    <row r="66" spans="1:17" ht="11.45" customHeight="1">
      <c r="A66" s="482" t="str">
        <f>IF($I$86="Stable Communities &lt; 10%", "X","")</f>
        <v>X</v>
      </c>
      <c r="B66" s="483" t="s">
        <v>2698</v>
      </c>
      <c r="C66" s="499" t="s">
        <v>3429</v>
      </c>
      <c r="E66" s="142"/>
      <c r="N66" s="31"/>
      <c r="O66" s="31"/>
      <c r="P66" s="31"/>
    </row>
    <row r="67" spans="1:17" ht="23.25" customHeight="1">
      <c r="B67" s="506" t="s">
        <v>3202</v>
      </c>
      <c r="C67" s="1723" t="s">
        <v>3431</v>
      </c>
      <c r="D67" s="1723"/>
      <c r="E67" s="1723"/>
      <c r="F67" s="1723"/>
      <c r="G67" s="1723"/>
      <c r="H67" s="1723"/>
      <c r="I67" s="1723"/>
      <c r="J67" s="1723"/>
      <c r="K67" s="1723"/>
      <c r="L67" s="1723"/>
      <c r="M67" s="503" t="str">
        <f>IF(AND($I$86="Stable Communities &lt; 10%",O67=""), "X","")</f>
        <v/>
      </c>
      <c r="N67" s="505" t="s">
        <v>3432</v>
      </c>
      <c r="O67" s="992" t="s">
        <v>4067</v>
      </c>
      <c r="P67" s="324"/>
    </row>
    <row r="68" spans="1:17" ht="12" customHeight="1">
      <c r="B68" s="506" t="s">
        <v>3203</v>
      </c>
      <c r="C68" s="172" t="s">
        <v>3687</v>
      </c>
      <c r="D68" s="172"/>
      <c r="E68" s="172"/>
      <c r="F68" s="172"/>
      <c r="G68" s="172"/>
      <c r="I68" s="172"/>
      <c r="L68" s="172"/>
      <c r="M68" s="503" t="str">
        <f>IF(AND($I$86="Stable Communities &lt; 10%",O68=""), "X","")</f>
        <v/>
      </c>
      <c r="N68" s="505" t="s">
        <v>3433</v>
      </c>
      <c r="O68" s="993" t="s">
        <v>4067</v>
      </c>
      <c r="P68" s="473"/>
    </row>
    <row r="69" spans="1:17" ht="12" customHeight="1">
      <c r="B69" s="680" t="s">
        <v>3204</v>
      </c>
      <c r="C69" s="172" t="s">
        <v>3614</v>
      </c>
      <c r="D69" s="172"/>
      <c r="E69" s="172"/>
      <c r="F69" s="172"/>
      <c r="G69" s="172"/>
      <c r="I69" s="172"/>
      <c r="L69" s="172"/>
      <c r="M69" s="503" t="str">
        <f>IF(AND($I$86="Stable Communities &lt; 10%",O69=""), "X","")</f>
        <v/>
      </c>
      <c r="N69" s="505" t="s">
        <v>3688</v>
      </c>
      <c r="O69" s="994" t="s">
        <v>4067</v>
      </c>
      <c r="P69" s="325"/>
    </row>
    <row r="70" spans="1:17" ht="12" customHeight="1">
      <c r="B70" s="506"/>
      <c r="C70" s="979"/>
      <c r="D70" s="172" t="s">
        <v>3618</v>
      </c>
      <c r="E70" s="172"/>
      <c r="F70" s="172"/>
      <c r="G70" s="979"/>
      <c r="H70" s="172" t="s">
        <v>3615</v>
      </c>
      <c r="I70" s="172"/>
      <c r="J70" s="979"/>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723" t="s">
        <v>3689</v>
      </c>
      <c r="D72" s="1723"/>
      <c r="E72" s="1723"/>
      <c r="F72" s="1723"/>
      <c r="G72" s="1723"/>
      <c r="H72" s="1723"/>
      <c r="I72" s="1723"/>
      <c r="J72" s="1723"/>
      <c r="K72" s="1723"/>
      <c r="L72" s="1723"/>
      <c r="M72" s="503" t="str">
        <f>IF(AND($I$86="Stable Communities &lt; 10%",O72=""), "X","")</f>
        <v/>
      </c>
      <c r="N72" s="680" t="s">
        <v>3434</v>
      </c>
      <c r="O72" s="1001" t="s">
        <v>4067</v>
      </c>
      <c r="P72" s="326"/>
    </row>
    <row r="73" spans="1:17" ht="12.75" customHeight="1">
      <c r="B73" s="506" t="s">
        <v>3203</v>
      </c>
      <c r="C73" s="172" t="s">
        <v>3614</v>
      </c>
      <c r="D73" s="172"/>
      <c r="E73" s="172"/>
      <c r="F73" s="172"/>
      <c r="G73" s="172"/>
      <c r="H73" s="979"/>
      <c r="I73" s="172" t="s">
        <v>3617</v>
      </c>
      <c r="J73" s="172"/>
      <c r="K73" s="172"/>
      <c r="L73" s="172"/>
      <c r="M73" s="503" t="str">
        <f>IF(AND($I$86="Stable Communities &lt; 10%",O73=""), "X","")</f>
        <v/>
      </c>
      <c r="N73" s="574" t="s">
        <v>3435</v>
      </c>
      <c r="O73" s="994" t="s">
        <v>4067</v>
      </c>
      <c r="P73" s="325"/>
    </row>
    <row r="74" spans="1:17" ht="12" customHeight="1">
      <c r="B74" s="506"/>
      <c r="E74" s="172"/>
      <c r="F74" s="172"/>
      <c r="H74" s="979"/>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979" t="s">
        <v>4068</v>
      </c>
      <c r="P77" s="210"/>
      <c r="Q77" s="130"/>
    </row>
    <row r="78" spans="1:17" s="50" customFormat="1" ht="11.25" customHeight="1">
      <c r="A78" s="189"/>
      <c r="B78" s="681" t="s">
        <v>2700</v>
      </c>
      <c r="C78" s="676" t="s">
        <v>3690</v>
      </c>
      <c r="D78" s="48"/>
      <c r="M78" s="2"/>
      <c r="N78" s="681" t="s">
        <v>2700</v>
      </c>
      <c r="O78" s="979" t="s">
        <v>4068</v>
      </c>
      <c r="P78" s="210"/>
      <c r="Q78" s="130"/>
    </row>
    <row r="79" spans="1:17" s="50" customFormat="1" ht="11.25" customHeight="1">
      <c r="A79" s="189"/>
      <c r="B79" s="681" t="s">
        <v>3323</v>
      </c>
      <c r="C79" s="676" t="s">
        <v>3691</v>
      </c>
      <c r="D79" s="48"/>
      <c r="M79" s="2"/>
      <c r="N79" s="681" t="s">
        <v>3323</v>
      </c>
      <c r="O79" s="979" t="s">
        <v>4068</v>
      </c>
      <c r="P79" s="210"/>
      <c r="Q79" s="130"/>
    </row>
    <row r="80" spans="1:17" s="50" customFormat="1" ht="11.25" customHeight="1">
      <c r="A80" s="189"/>
      <c r="B80" s="681" t="s">
        <v>1645</v>
      </c>
      <c r="C80" s="676" t="s">
        <v>3692</v>
      </c>
      <c r="D80" s="48"/>
      <c r="M80" s="2"/>
      <c r="N80" s="681" t="s">
        <v>1645</v>
      </c>
      <c r="O80" s="979" t="s">
        <v>4068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4" t="s">
        <v>4129</v>
      </c>
      <c r="B82" s="1705"/>
      <c r="C82" s="1705"/>
      <c r="D82" s="1705"/>
      <c r="E82" s="1705"/>
      <c r="F82" s="1705"/>
      <c r="G82" s="1705"/>
      <c r="H82" s="1705"/>
      <c r="I82" s="1705"/>
      <c r="J82" s="1705"/>
      <c r="K82" s="1705"/>
      <c r="L82" s="1705"/>
      <c r="M82" s="1705"/>
      <c r="N82" s="1705"/>
      <c r="O82" s="1705"/>
      <c r="P82" s="1706"/>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708"/>
      <c r="B84" s="1709"/>
      <c r="C84" s="1709"/>
      <c r="D84" s="1709"/>
      <c r="E84" s="1709"/>
      <c r="F84" s="1709"/>
      <c r="G84" s="1709"/>
      <c r="H84" s="1709"/>
      <c r="I84" s="1709"/>
      <c r="J84" s="1709"/>
      <c r="K84" s="1709"/>
      <c r="L84" s="1709"/>
      <c r="M84" s="1709"/>
      <c r="N84" s="1709"/>
      <c r="O84" s="1709"/>
      <c r="P84" s="1710"/>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151" t="s">
        <v>3725</v>
      </c>
      <c r="J86" s="1152"/>
      <c r="K86" s="1152"/>
      <c r="L86" s="1153"/>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715" t="s">
        <v>3623</v>
      </c>
      <c r="B87" s="1715"/>
      <c r="C87" s="1715"/>
      <c r="D87" s="1715"/>
      <c r="E87" s="1715"/>
      <c r="F87" s="1715"/>
      <c r="G87" s="1715"/>
      <c r="H87" s="1715"/>
      <c r="I87" s="1715"/>
      <c r="J87" s="1715"/>
      <c r="K87" s="1715"/>
      <c r="L87" s="1715"/>
      <c r="M87" s="1715"/>
      <c r="N87" s="1715"/>
      <c r="O87" s="1715"/>
      <c r="P87" s="1715"/>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995" t="s">
        <v>4068</v>
      </c>
      <c r="P89" s="679"/>
    </row>
    <row r="90" spans="1:18" ht="11.45" customHeight="1">
      <c r="B90" s="483" t="s">
        <v>2700</v>
      </c>
      <c r="C90" s="601" t="s">
        <v>3755</v>
      </c>
      <c r="D90" s="1002">
        <v>0.1</v>
      </c>
      <c r="E90" s="601" t="s">
        <v>3756</v>
      </c>
      <c r="H90" s="121" t="s">
        <v>3149</v>
      </c>
      <c r="K90" s="166" t="s">
        <v>3754</v>
      </c>
      <c r="L90" s="1003">
        <v>7.0900000000000005E-2</v>
      </c>
      <c r="M90" s="576"/>
      <c r="N90" s="574"/>
    </row>
    <row r="91" spans="1:18" ht="11.45" customHeight="1">
      <c r="B91" s="483" t="s">
        <v>3323</v>
      </c>
      <c r="C91" s="551" t="s">
        <v>3150</v>
      </c>
      <c r="E91" s="142"/>
      <c r="H91" s="121" t="s">
        <v>3151</v>
      </c>
      <c r="K91" s="670" t="s">
        <v>3724</v>
      </c>
      <c r="L91" s="1004" t="s">
        <v>4130</v>
      </c>
      <c r="M91" s="576"/>
    </row>
    <row r="92" spans="1:18" ht="3" customHeight="1">
      <c r="B92" s="142"/>
      <c r="C92" s="142"/>
      <c r="D92" s="142"/>
      <c r="E92" s="142"/>
      <c r="R92" s="50"/>
    </row>
    <row r="93" spans="1:18" ht="11.45" customHeight="1">
      <c r="A93" s="171" t="s">
        <v>2697</v>
      </c>
      <c r="B93" s="229" t="s">
        <v>290</v>
      </c>
      <c r="D93" s="40"/>
      <c r="E93" s="40"/>
      <c r="F93" s="40"/>
      <c r="H93" s="1756" t="s">
        <v>3769</v>
      </c>
      <c r="I93" s="1756"/>
      <c r="J93" s="1757"/>
      <c r="K93" s="1679"/>
      <c r="L93" s="1680"/>
      <c r="M93" s="1680"/>
      <c r="N93" s="1680"/>
      <c r="O93" s="1680"/>
      <c r="P93" s="1681"/>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3628</v>
      </c>
      <c r="D96" s="123"/>
      <c r="E96" s="813"/>
      <c r="G96" s="507"/>
      <c r="I96" s="1699" t="str">
        <f>'Part I-Project Information'!F34</f>
        <v>City of Columbus</v>
      </c>
      <c r="J96" s="1700"/>
      <c r="K96" s="1700"/>
      <c r="L96" s="1701"/>
      <c r="M96" s="482" t="str">
        <f>IF(AND($I$86="Statutory Redevelopment Plan",OR(O96="",I96=0)), "X","")</f>
        <v/>
      </c>
      <c r="N96" s="574" t="s">
        <v>3432</v>
      </c>
      <c r="O96" s="992" t="s">
        <v>1960</v>
      </c>
      <c r="P96" s="324"/>
    </row>
    <row r="97" spans="1:18" s="50" customFormat="1" ht="11.45" customHeight="1">
      <c r="A97" s="482"/>
      <c r="B97" s="484" t="s">
        <v>3203</v>
      </c>
      <c r="C97" s="64" t="s">
        <v>3624</v>
      </c>
      <c r="D97" s="123"/>
      <c r="E97" s="813"/>
      <c r="G97" s="507"/>
      <c r="I97" s="1695" t="s">
        <v>3625</v>
      </c>
      <c r="J97" s="1696"/>
      <c r="M97" s="482" t="str">
        <f>IF(AND($I$86="Statutory Redevelopment Plan",OR(O97="",I97="&lt;&lt;Select statute&gt;&gt;")), "X","")</f>
        <v/>
      </c>
      <c r="N97" s="484" t="s">
        <v>3203</v>
      </c>
      <c r="O97" s="993" t="s">
        <v>1960</v>
      </c>
      <c r="P97" s="473"/>
    </row>
    <row r="98" spans="1:18" s="50" customFormat="1" ht="11.45" customHeight="1">
      <c r="A98" s="482"/>
      <c r="B98" s="505" t="s">
        <v>3204</v>
      </c>
      <c r="C98" s="670" t="s">
        <v>3627</v>
      </c>
      <c r="D98" s="123"/>
      <c r="E98" s="813"/>
      <c r="G98" s="507"/>
      <c r="I98" s="1702"/>
      <c r="J98" s="1703"/>
      <c r="M98" s="482" t="str">
        <f>IF(AND($I$86="Statutory Redevelopment Plan",OR(O98="",I98="")), "X","")</f>
        <v/>
      </c>
      <c r="N98" s="505" t="s">
        <v>3204</v>
      </c>
      <c r="O98" s="994" t="s">
        <v>1960</v>
      </c>
      <c r="P98" s="325"/>
    </row>
    <row r="99" spans="1:18" s="50" customFormat="1" ht="11.45" customHeight="1">
      <c r="A99" s="482"/>
      <c r="B99" s="505" t="s">
        <v>3205</v>
      </c>
      <c r="C99" s="64" t="s">
        <v>3626</v>
      </c>
      <c r="E99" s="813"/>
      <c r="G99" s="507"/>
      <c r="J99" s="64" t="s">
        <v>3629</v>
      </c>
      <c r="K99" s="1697"/>
      <c r="L99" s="1698"/>
      <c r="M99" s="482" t="str">
        <f>IF(AND($I$86="Statutory Redevelopment Plan",OR(O99="",K99="")), "X","")</f>
        <v/>
      </c>
      <c r="N99" s="505" t="s">
        <v>3205</v>
      </c>
      <c r="O99" s="992" t="s">
        <v>1960</v>
      </c>
      <c r="P99" s="324"/>
    </row>
    <row r="100" spans="1:18" s="50" customFormat="1" ht="11.45" customHeight="1">
      <c r="A100" s="482"/>
      <c r="B100" s="505" t="s">
        <v>3206</v>
      </c>
      <c r="C100" s="64" t="s">
        <v>3630</v>
      </c>
      <c r="D100" s="123"/>
      <c r="E100" s="813"/>
      <c r="G100" s="507"/>
      <c r="J100" s="64" t="s">
        <v>3629</v>
      </c>
      <c r="K100" s="1697"/>
      <c r="L100" s="1698"/>
      <c r="M100" s="482" t="str">
        <f>IF(AND($I$86="Statutory Redevelopment Plan",OR(O100="",K100="")), "X","")</f>
        <v/>
      </c>
      <c r="N100" s="505" t="s">
        <v>3206</v>
      </c>
      <c r="O100" s="994" t="s">
        <v>1960</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54" t="s">
        <v>2466</v>
      </c>
      <c r="I102" s="1755"/>
      <c r="J102" s="585" t="s">
        <v>3694</v>
      </c>
      <c r="K102" s="1695"/>
      <c r="L102" s="1696"/>
      <c r="M102" s="577">
        <v>2</v>
      </c>
      <c r="N102" s="682" t="s">
        <v>2700</v>
      </c>
      <c r="O102" s="1005">
        <v>0</v>
      </c>
      <c r="P102" s="671"/>
      <c r="Q102" s="507" t="s">
        <v>3632</v>
      </c>
    </row>
    <row r="103" spans="1:18" s="50" customFormat="1" ht="11.45" customHeight="1">
      <c r="A103" s="482" t="str">
        <f>IF($I$87="Redevelopment Zone", "*","")</f>
        <v/>
      </c>
      <c r="B103" s="483"/>
      <c r="C103" s="136"/>
      <c r="D103" s="123"/>
      <c r="E103" s="813" t="s">
        <v>3767</v>
      </c>
      <c r="I103" s="1679"/>
      <c r="J103" s="1680"/>
      <c r="K103" s="1680"/>
      <c r="L103" s="1681"/>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679"/>
      <c r="J105" s="1680"/>
      <c r="K105" s="1680"/>
      <c r="L105" s="1681"/>
      <c r="M105" s="577">
        <v>1</v>
      </c>
      <c r="N105" s="577"/>
      <c r="O105" s="1006">
        <v>0</v>
      </c>
      <c r="P105" s="547"/>
      <c r="Q105" s="507" t="s">
        <v>3632</v>
      </c>
    </row>
    <row r="106" spans="1:18" ht="11.45" customHeight="1">
      <c r="B106" s="484" t="s">
        <v>3202</v>
      </c>
      <c r="C106" s="813" t="s">
        <v>3637</v>
      </c>
      <c r="D106" s="121"/>
      <c r="J106" s="144" t="s">
        <v>772</v>
      </c>
      <c r="K106" s="1702"/>
      <c r="L106" s="1703"/>
      <c r="M106" s="482" t="str">
        <f>IF(AND($I$86="Local Redevelopment Plan",OR(O106="",K106="")), "X","")</f>
        <v/>
      </c>
      <c r="N106" s="505" t="s">
        <v>3126</v>
      </c>
      <c r="O106" s="992" t="s">
        <v>1960</v>
      </c>
      <c r="P106" s="324"/>
    </row>
    <row r="107" spans="1:18" ht="10.9" customHeight="1">
      <c r="B107" s="484" t="s">
        <v>3203</v>
      </c>
      <c r="C107" s="485" t="s">
        <v>3224</v>
      </c>
      <c r="D107" s="121"/>
      <c r="K107" s="162" t="s">
        <v>3629</v>
      </c>
      <c r="L107" s="1007"/>
      <c r="M107" s="482" t="str">
        <f t="shared" ref="M107:M112" si="0">IF(AND($I$86="Local Redevelopment Plan",OR(O107="",L107="")), "X","")</f>
        <v/>
      </c>
      <c r="N107" s="484" t="s">
        <v>3203</v>
      </c>
      <c r="O107" s="1008" t="s">
        <v>1960</v>
      </c>
      <c r="P107" s="518"/>
    </row>
    <row r="108" spans="1:18" ht="10.9" customHeight="1">
      <c r="B108" s="484" t="s">
        <v>3204</v>
      </c>
      <c r="C108" s="485" t="s">
        <v>3225</v>
      </c>
      <c r="K108" s="162" t="s">
        <v>3629</v>
      </c>
      <c r="L108" s="1007"/>
      <c r="M108" s="482" t="str">
        <f t="shared" si="0"/>
        <v/>
      </c>
      <c r="N108" s="484" t="s">
        <v>3204</v>
      </c>
      <c r="O108" s="993" t="s">
        <v>1960</v>
      </c>
      <c r="P108" s="473"/>
    </row>
    <row r="109" spans="1:18" ht="10.9" customHeight="1">
      <c r="B109" s="484" t="s">
        <v>3205</v>
      </c>
      <c r="C109" s="485" t="s">
        <v>3226</v>
      </c>
      <c r="K109" s="162" t="s">
        <v>3629</v>
      </c>
      <c r="L109" s="1007"/>
      <c r="M109" s="482" t="str">
        <f t="shared" si="0"/>
        <v/>
      </c>
      <c r="N109" s="484" t="s">
        <v>3205</v>
      </c>
      <c r="O109" s="993" t="s">
        <v>1960</v>
      </c>
      <c r="P109" s="473"/>
    </row>
    <row r="110" spans="1:18" ht="10.9" customHeight="1">
      <c r="B110" s="484" t="s">
        <v>3206</v>
      </c>
      <c r="C110" s="68" t="s">
        <v>3227</v>
      </c>
      <c r="K110" s="162" t="s">
        <v>3629</v>
      </c>
      <c r="L110" s="1007"/>
      <c r="M110" s="482" t="str">
        <f t="shared" si="0"/>
        <v/>
      </c>
      <c r="N110" s="484" t="s">
        <v>3206</v>
      </c>
      <c r="O110" s="993" t="s">
        <v>1960</v>
      </c>
      <c r="P110" s="473"/>
    </row>
    <row r="111" spans="1:18" ht="10.9" customHeight="1">
      <c r="B111" s="484" t="s">
        <v>3222</v>
      </c>
      <c r="C111" s="485" t="s">
        <v>3228</v>
      </c>
      <c r="D111" s="121"/>
      <c r="K111" s="162" t="s">
        <v>3629</v>
      </c>
      <c r="L111" s="1007"/>
      <c r="M111" s="482" t="str">
        <f t="shared" si="0"/>
        <v/>
      </c>
      <c r="N111" s="484" t="s">
        <v>3222</v>
      </c>
      <c r="O111" s="993" t="s">
        <v>1960</v>
      </c>
      <c r="P111" s="473"/>
    </row>
    <row r="112" spans="1:18" ht="10.9" customHeight="1">
      <c r="B112" s="484" t="s">
        <v>3223</v>
      </c>
      <c r="C112" s="485" t="s">
        <v>3229</v>
      </c>
      <c r="K112" s="162" t="s">
        <v>3629</v>
      </c>
      <c r="L112" s="1007"/>
      <c r="M112" s="482" t="str">
        <f t="shared" si="0"/>
        <v/>
      </c>
      <c r="N112" s="484" t="s">
        <v>3223</v>
      </c>
      <c r="O112" s="994" t="s">
        <v>1960</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4" t="s">
        <v>4131</v>
      </c>
      <c r="B117" s="1705"/>
      <c r="C117" s="1705"/>
      <c r="D117" s="1705"/>
      <c r="E117" s="1705"/>
      <c r="F117" s="1705"/>
      <c r="G117" s="1705"/>
      <c r="H117" s="1705"/>
      <c r="I117" s="1705"/>
      <c r="J117" s="1705"/>
      <c r="K117" s="1705"/>
      <c r="L117" s="1705"/>
      <c r="M117" s="1705"/>
      <c r="N117" s="1705"/>
      <c r="O117" s="1705"/>
      <c r="P117" s="1706"/>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708"/>
      <c r="B119" s="1709"/>
      <c r="C119" s="1709"/>
      <c r="D119" s="1709"/>
      <c r="E119" s="1709"/>
      <c r="F119" s="1709"/>
      <c r="G119" s="1709"/>
      <c r="H119" s="1709"/>
      <c r="I119" s="1709"/>
      <c r="J119" s="1709"/>
      <c r="K119" s="1709"/>
      <c r="L119" s="1709"/>
      <c r="M119" s="1709"/>
      <c r="N119" s="1709"/>
      <c r="O119" s="1709"/>
      <c r="P119" s="1710"/>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006">
        <v>0</v>
      </c>
      <c r="P122" s="547"/>
      <c r="Q122" s="507" t="s">
        <v>3632</v>
      </c>
    </row>
    <row r="123" spans="1:17" s="121" customFormat="1" ht="22.9" customHeight="1">
      <c r="B123" s="509" t="s">
        <v>2698</v>
      </c>
      <c r="C123" s="1714" t="s">
        <v>3758</v>
      </c>
      <c r="D123" s="1572"/>
      <c r="E123" s="1572"/>
      <c r="F123" s="1572"/>
      <c r="G123" s="1572"/>
      <c r="H123" s="1572"/>
      <c r="I123" s="1572"/>
      <c r="J123" s="1572"/>
      <c r="K123" s="1572"/>
      <c r="L123" s="1572"/>
      <c r="M123" s="546"/>
      <c r="N123" s="509" t="s">
        <v>2698</v>
      </c>
      <c r="O123" s="979" t="s">
        <v>1960</v>
      </c>
      <c r="P123" s="210"/>
    </row>
    <row r="124" spans="1:17" s="121" customFormat="1" ht="11.45" customHeight="1">
      <c r="B124" s="225"/>
      <c r="C124" s="143" t="s">
        <v>1360</v>
      </c>
      <c r="H124" s="585" t="s">
        <v>3381</v>
      </c>
      <c r="I124" s="1009"/>
      <c r="J124" s="585" t="s">
        <v>3030</v>
      </c>
      <c r="K124" s="1711"/>
      <c r="L124" s="1712"/>
      <c r="M124" s="1713"/>
    </row>
    <row r="125" spans="1:17" s="121" customFormat="1" ht="11.45" customHeight="1">
      <c r="B125" s="225" t="s">
        <v>2700</v>
      </c>
      <c r="C125" s="143" t="s">
        <v>1361</v>
      </c>
      <c r="M125" s="8"/>
      <c r="N125" s="225" t="s">
        <v>2700</v>
      </c>
      <c r="O125" s="992" t="s">
        <v>1960</v>
      </c>
      <c r="P125" s="324"/>
    </row>
    <row r="126" spans="1:17" s="121" customFormat="1" ht="11.45" customHeight="1">
      <c r="B126" s="225" t="s">
        <v>3323</v>
      </c>
      <c r="C126" s="143" t="s">
        <v>1362</v>
      </c>
      <c r="M126" s="8"/>
      <c r="N126" s="225" t="s">
        <v>3323</v>
      </c>
      <c r="O126" s="993" t="s">
        <v>1960</v>
      </c>
      <c r="P126" s="473"/>
    </row>
    <row r="127" spans="1:17" s="121" customFormat="1" ht="11.45" customHeight="1">
      <c r="B127" s="225" t="s">
        <v>1645</v>
      </c>
      <c r="C127" s="143" t="s">
        <v>1363</v>
      </c>
      <c r="M127" s="8"/>
      <c r="N127" s="225" t="s">
        <v>1645</v>
      </c>
      <c r="O127" s="994" t="s">
        <v>1960</v>
      </c>
      <c r="P127" s="325"/>
    </row>
    <row r="128" spans="1:17" ht="12" customHeight="1">
      <c r="A128" s="229" t="s">
        <v>1788</v>
      </c>
      <c r="B128" s="804"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13"/>
      <c r="H129" s="813"/>
      <c r="I129" s="813"/>
      <c r="J129" s="813"/>
      <c r="M129" s="1010">
        <v>5</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25" t="s">
        <v>4164</v>
      </c>
      <c r="B132" s="1526"/>
      <c r="C132" s="1526"/>
      <c r="D132" s="1526"/>
      <c r="E132" s="1526"/>
      <c r="F132" s="1526"/>
      <c r="G132" s="1526"/>
      <c r="H132" s="1526"/>
      <c r="I132" s="1526"/>
      <c r="J132" s="1526"/>
      <c r="K132" s="1526"/>
      <c r="L132" s="1526"/>
      <c r="M132" s="1526"/>
      <c r="N132" s="1526"/>
      <c r="O132" s="1526"/>
      <c r="P132" s="1527"/>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531"/>
      <c r="B134" s="1532"/>
      <c r="C134" s="1532"/>
      <c r="D134" s="1532"/>
      <c r="E134" s="1532"/>
      <c r="F134" s="1532"/>
      <c r="G134" s="1532"/>
      <c r="H134" s="1532"/>
      <c r="I134" s="1532"/>
      <c r="J134" s="1532"/>
      <c r="K134" s="1532"/>
      <c r="L134" s="1532"/>
      <c r="M134" s="1532"/>
      <c r="N134" s="1532"/>
      <c r="O134" s="1532"/>
      <c r="P134" s="1533"/>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000">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682" t="s">
        <v>3459</v>
      </c>
      <c r="C139" s="1335"/>
      <c r="D139" s="1335"/>
      <c r="E139" s="1335"/>
      <c r="F139" s="1335"/>
      <c r="G139" s="1335"/>
      <c r="H139" s="1335"/>
      <c r="I139" s="1335"/>
      <c r="J139" s="1335"/>
      <c r="K139" s="1335"/>
      <c r="L139" s="1335"/>
      <c r="M139" s="1335"/>
      <c r="N139" s="1335"/>
      <c r="O139" s="506" t="s">
        <v>3203</v>
      </c>
      <c r="P139" s="599"/>
    </row>
    <row r="140" spans="1:17" s="511" customFormat="1" ht="24" customHeight="1">
      <c r="A140" s="506" t="s">
        <v>3204</v>
      </c>
      <c r="B140" s="1682" t="s">
        <v>3699</v>
      </c>
      <c r="C140" s="1335"/>
      <c r="D140" s="1335"/>
      <c r="E140" s="1335"/>
      <c r="F140" s="1335"/>
      <c r="G140" s="1335"/>
      <c r="H140" s="1335"/>
      <c r="I140" s="1335"/>
      <c r="J140" s="1335"/>
      <c r="K140" s="1335"/>
      <c r="L140" s="1335"/>
      <c r="M140" s="1335"/>
      <c r="N140" s="1335"/>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25" t="s">
        <v>4132</v>
      </c>
      <c r="B144" s="1526"/>
      <c r="C144" s="1526"/>
      <c r="D144" s="1526"/>
      <c r="E144" s="1526"/>
      <c r="F144" s="1526"/>
      <c r="G144" s="1526"/>
      <c r="H144" s="1526"/>
      <c r="I144" s="1526"/>
      <c r="J144" s="1526"/>
      <c r="K144" s="1526"/>
      <c r="L144" s="1526"/>
      <c r="M144" s="1526"/>
      <c r="N144" s="1526"/>
      <c r="O144" s="1526"/>
      <c r="P144" s="1527"/>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531"/>
      <c r="B146" s="1532"/>
      <c r="C146" s="1532"/>
      <c r="D146" s="1532"/>
      <c r="E146" s="1532"/>
      <c r="F146" s="1532"/>
      <c r="G146" s="1532"/>
      <c r="H146" s="1532"/>
      <c r="I146" s="1532"/>
      <c r="J146" s="1532"/>
      <c r="K146" s="1532"/>
      <c r="L146" s="1532"/>
      <c r="M146" s="1532"/>
      <c r="N146" s="1532"/>
      <c r="O146" s="1532"/>
      <c r="P146" s="1533"/>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979" t="s">
        <v>4068</v>
      </c>
      <c r="M149" s="8">
        <v>1</v>
      </c>
      <c r="N149" s="654" t="s">
        <v>2694</v>
      </c>
      <c r="O149" s="1000">
        <v>1</v>
      </c>
      <c r="P149" s="84"/>
      <c r="Q149" s="507"/>
      <c r="R149" s="490" t="str">
        <f>IF(OR($O149=$M149,$O149=0,$O149=""),"","* * Check Score! * *")</f>
        <v/>
      </c>
    </row>
    <row r="150" spans="1:18" s="50" customFormat="1" ht="12" customHeight="1">
      <c r="A150" s="171" t="s">
        <v>2697</v>
      </c>
      <c r="B150" s="213" t="s">
        <v>2962</v>
      </c>
      <c r="D150" s="68"/>
      <c r="H150" s="669" t="s">
        <v>3573</v>
      </c>
      <c r="K150" s="61"/>
      <c r="L150" s="979"/>
      <c r="M150" s="8">
        <v>1</v>
      </c>
      <c r="N150" s="654" t="s">
        <v>2697</v>
      </c>
      <c r="O150" s="100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25" t="s">
        <v>4133</v>
      </c>
      <c r="B152" s="1526"/>
      <c r="C152" s="1526"/>
      <c r="D152" s="1526"/>
      <c r="E152" s="1526"/>
      <c r="F152" s="1526"/>
      <c r="G152" s="1526"/>
      <c r="H152" s="1526"/>
      <c r="I152" s="1526"/>
      <c r="J152" s="1526"/>
      <c r="K152" s="1526"/>
      <c r="L152" s="1526"/>
      <c r="M152" s="1526"/>
      <c r="N152" s="1526"/>
      <c r="O152" s="1526"/>
      <c r="P152" s="1527"/>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531"/>
      <c r="B154" s="1532"/>
      <c r="C154" s="1532"/>
      <c r="D154" s="1532"/>
      <c r="E154" s="1532"/>
      <c r="F154" s="1532"/>
      <c r="G154" s="1532"/>
      <c r="H154" s="1532"/>
      <c r="I154" s="1532"/>
      <c r="J154" s="1532"/>
      <c r="K154" s="1532"/>
      <c r="L154" s="1532"/>
      <c r="M154" s="1532"/>
      <c r="N154" s="1532"/>
      <c r="O154" s="1532"/>
      <c r="P154" s="1533"/>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979" t="s">
        <v>4067</v>
      </c>
      <c r="P157" s="210"/>
      <c r="R157" s="490"/>
    </row>
    <row r="158" spans="1:18" s="50" customFormat="1" ht="12" customHeight="1">
      <c r="A158" s="171"/>
      <c r="B158" s="64" t="s">
        <v>3586</v>
      </c>
      <c r="D158" s="40"/>
      <c r="N158" s="654"/>
      <c r="O158" s="979"/>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25"/>
      <c r="B160" s="1526"/>
      <c r="C160" s="1526"/>
      <c r="D160" s="1526"/>
      <c r="E160" s="1526"/>
      <c r="F160" s="1526"/>
      <c r="G160" s="1526"/>
      <c r="H160" s="1526"/>
      <c r="I160" s="1526"/>
      <c r="J160" s="1526"/>
      <c r="K160" s="1526"/>
      <c r="L160" s="1526"/>
      <c r="M160" s="1526"/>
      <c r="N160" s="1526"/>
      <c r="O160" s="1526"/>
      <c r="P160" s="1527"/>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531"/>
      <c r="B162" s="1532"/>
      <c r="C162" s="1532"/>
      <c r="D162" s="1532"/>
      <c r="E162" s="1532"/>
      <c r="F162" s="1532"/>
      <c r="G162" s="1532"/>
      <c r="H162" s="1532"/>
      <c r="I162" s="1532"/>
      <c r="J162" s="1532"/>
      <c r="K162" s="1532"/>
      <c r="L162" s="1532"/>
      <c r="M162" s="1532"/>
      <c r="N162" s="1532"/>
      <c r="O162" s="1532"/>
      <c r="P162" s="1533"/>
      <c r="Q162" s="614" t="s">
        <v>1677</v>
      </c>
    </row>
    <row r="163" spans="1:18" ht="12" customHeight="1"/>
    <row r="164" spans="1:18" s="74" customFormat="1" ht="12.6" customHeight="1">
      <c r="A164" s="190" t="s">
        <v>257</v>
      </c>
      <c r="B164" s="126" t="s">
        <v>872</v>
      </c>
      <c r="D164" s="234" t="s">
        <v>3587</v>
      </c>
      <c r="G164" s="141"/>
      <c r="H164" s="551"/>
      <c r="I164" s="653">
        <f>'Part VI-Revenues &amp; Expenses'!$M$62</f>
        <v>70</v>
      </c>
      <c r="J164" s="772" t="s">
        <v>2489</v>
      </c>
      <c r="K164" s="775">
        <f>'Part VI-Revenues &amp; Expenses'!$M$74/'Part VI-Revenues &amp; Expenses'!$M$62</f>
        <v>1</v>
      </c>
      <c r="L164" s="772" t="s">
        <v>4062</v>
      </c>
      <c r="M164" s="2">
        <v>3</v>
      </c>
      <c r="N164" s="517" t="str">
        <f>IF(OR($O164=$M164,$O164=0,$O164=""),"","***")</f>
        <v/>
      </c>
      <c r="O164" s="1000">
        <v>0</v>
      </c>
      <c r="P164" s="84"/>
      <c r="Q164" s="130" t="s">
        <v>566</v>
      </c>
      <c r="R164" s="31"/>
    </row>
    <row r="165" spans="1:18" s="74" customFormat="1" ht="25.15" customHeight="1">
      <c r="A165" s="189"/>
      <c r="B165" s="1503" t="s">
        <v>3661</v>
      </c>
      <c r="C165" s="1707"/>
      <c r="D165" s="1707"/>
      <c r="E165" s="1707"/>
      <c r="F165" s="1707"/>
      <c r="G165" s="1707"/>
      <c r="H165" s="1707"/>
      <c r="I165" s="1707"/>
      <c r="J165" s="1707"/>
      <c r="K165" s="1707"/>
      <c r="L165" s="1707"/>
      <c r="M165" s="1707"/>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25"/>
      <c r="B167" s="1526"/>
      <c r="C167" s="1526"/>
      <c r="D167" s="1526"/>
      <c r="E167" s="1526"/>
      <c r="F167" s="1526"/>
      <c r="G167" s="1526"/>
      <c r="H167" s="1526"/>
      <c r="I167" s="1527"/>
      <c r="J167" s="1531"/>
      <c r="K167" s="1532"/>
      <c r="L167" s="1532"/>
      <c r="M167" s="1532"/>
      <c r="N167" s="1532"/>
      <c r="O167" s="1532"/>
      <c r="P167" s="1533"/>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000">
        <v>0</v>
      </c>
      <c r="P169" s="84"/>
      <c r="Q169" s="130" t="s">
        <v>566</v>
      </c>
    </row>
    <row r="170" spans="1:18" s="50" customFormat="1" ht="12.6" customHeight="1">
      <c r="B170" s="136" t="s">
        <v>2546</v>
      </c>
      <c r="D170" s="123"/>
      <c r="E170" s="1688" t="s">
        <v>2479</v>
      </c>
      <c r="F170" s="1689"/>
      <c r="G170" s="1690"/>
      <c r="H170" s="1691"/>
      <c r="I170" s="60" t="s">
        <v>2545</v>
      </c>
      <c r="O170" s="144" t="s">
        <v>3297</v>
      </c>
      <c r="P170" s="144" t="s">
        <v>3297</v>
      </c>
    </row>
    <row r="171" spans="1:18" s="121" customFormat="1" ht="11.45" customHeight="1">
      <c r="A171" s="171" t="s">
        <v>2694</v>
      </c>
      <c r="B171" s="143" t="s">
        <v>2358</v>
      </c>
      <c r="D171" s="143"/>
      <c r="E171" s="143"/>
      <c r="F171" s="143"/>
      <c r="G171" s="1692" t="s">
        <v>3309</v>
      </c>
      <c r="H171" s="1693"/>
      <c r="I171" s="1694"/>
      <c r="J171" s="1692" t="s">
        <v>1607</v>
      </c>
      <c r="K171" s="1693"/>
      <c r="L171" s="1694"/>
      <c r="N171" s="654" t="s">
        <v>2694</v>
      </c>
      <c r="O171" s="979"/>
      <c r="P171" s="210"/>
    </row>
    <row r="172" spans="1:18" s="121" customFormat="1" ht="11.45" customHeight="1">
      <c r="A172" s="171" t="s">
        <v>2697</v>
      </c>
      <c r="B172" s="143" t="s">
        <v>435</v>
      </c>
      <c r="D172" s="143"/>
      <c r="E172" s="143"/>
      <c r="F172" s="143"/>
      <c r="G172" s="143"/>
      <c r="L172" s="143"/>
      <c r="M172" s="143"/>
      <c r="N172" s="654" t="s">
        <v>2697</v>
      </c>
      <c r="O172" s="979"/>
      <c r="P172" s="210"/>
    </row>
    <row r="173" spans="1:18" s="121" customFormat="1" ht="11.45" customHeight="1">
      <c r="A173" s="171" t="s">
        <v>1054</v>
      </c>
      <c r="B173" s="143" t="s">
        <v>2318</v>
      </c>
      <c r="D173" s="143"/>
      <c r="E173" s="143"/>
      <c r="F173" s="143"/>
      <c r="G173" s="143"/>
      <c r="H173" s="143"/>
      <c r="L173" s="143"/>
      <c r="M173" s="143"/>
      <c r="N173" s="654" t="s">
        <v>1054</v>
      </c>
      <c r="O173" s="979"/>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979"/>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25"/>
      <c r="B176" s="1526"/>
      <c r="C176" s="1526"/>
      <c r="D176" s="1526"/>
      <c r="E176" s="1526"/>
      <c r="F176" s="1526"/>
      <c r="G176" s="1526"/>
      <c r="H176" s="1526"/>
      <c r="I176" s="1526"/>
      <c r="J176" s="1526"/>
      <c r="K176" s="1526"/>
      <c r="L176" s="1526"/>
      <c r="M176" s="1526"/>
      <c r="N176" s="1526"/>
      <c r="O176" s="1526"/>
      <c r="P176" s="1527"/>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531"/>
      <c r="B178" s="1532"/>
      <c r="C178" s="1532"/>
      <c r="D178" s="1532"/>
      <c r="E178" s="1532"/>
      <c r="F178" s="1532"/>
      <c r="G178" s="1532"/>
      <c r="H178" s="1532"/>
      <c r="I178" s="1532"/>
      <c r="J178" s="1532"/>
      <c r="K178" s="1532"/>
      <c r="L178" s="1532"/>
      <c r="M178" s="1532"/>
      <c r="N178" s="1532"/>
      <c r="O178" s="1532"/>
      <c r="P178" s="1533"/>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992" t="s">
        <v>4068</v>
      </c>
      <c r="P182" s="324"/>
    </row>
    <row r="183" spans="1:18" s="121" customFormat="1" ht="11.25" customHeight="1">
      <c r="B183" s="596" t="s">
        <v>2700</v>
      </c>
      <c r="C183" s="121" t="s">
        <v>738</v>
      </c>
      <c r="N183" s="225" t="s">
        <v>2700</v>
      </c>
      <c r="O183" s="993" t="s">
        <v>4068</v>
      </c>
      <c r="P183" s="473"/>
    </row>
    <row r="184" spans="1:18" s="121" customFormat="1" ht="11.25" customHeight="1">
      <c r="B184" s="596" t="s">
        <v>3323</v>
      </c>
      <c r="C184" s="121" t="s">
        <v>739</v>
      </c>
      <c r="N184" s="225" t="s">
        <v>3323</v>
      </c>
      <c r="O184" s="993" t="s">
        <v>4068</v>
      </c>
      <c r="P184" s="473"/>
    </row>
    <row r="185" spans="1:18" s="121" customFormat="1" ht="11.25" customHeight="1">
      <c r="B185" s="596" t="s">
        <v>1645</v>
      </c>
      <c r="C185" s="121" t="s">
        <v>740</v>
      </c>
      <c r="N185" s="225" t="s">
        <v>1645</v>
      </c>
      <c r="O185" s="993" t="s">
        <v>4068</v>
      </c>
      <c r="P185" s="473"/>
    </row>
    <row r="186" spans="1:18" s="121" customFormat="1" ht="11.25" customHeight="1">
      <c r="B186" s="596" t="s">
        <v>1646</v>
      </c>
      <c r="C186" s="121" t="s">
        <v>748</v>
      </c>
      <c r="N186" s="225" t="s">
        <v>1646</v>
      </c>
      <c r="O186" s="994" t="s">
        <v>4068</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3441</v>
      </c>
      <c r="I189" s="1766" t="s">
        <v>2702</v>
      </c>
      <c r="J189" s="1766"/>
      <c r="L189" s="815" t="s">
        <v>2702</v>
      </c>
      <c r="M189" s="196"/>
      <c r="N189" s="225" t="s">
        <v>2698</v>
      </c>
    </row>
    <row r="190" spans="1:18" s="50" customFormat="1" ht="11.25" customHeight="1">
      <c r="A190" s="226"/>
      <c r="B190" s="132"/>
      <c r="C190" s="484" t="s">
        <v>3202</v>
      </c>
      <c r="D190" s="44" t="s">
        <v>1930</v>
      </c>
      <c r="H190" s="64"/>
      <c r="I190" s="1686"/>
      <c r="J190" s="1687"/>
      <c r="K190" s="228"/>
      <c r="L190" s="586"/>
      <c r="M190" s="88"/>
      <c r="N190" s="484" t="s">
        <v>3202</v>
      </c>
      <c r="O190" s="992"/>
      <c r="P190" s="324"/>
      <c r="R190" s="490"/>
    </row>
    <row r="191" spans="1:18" ht="11.25" customHeight="1">
      <c r="A191" s="227"/>
      <c r="B191" s="97"/>
      <c r="C191" s="506" t="s">
        <v>3203</v>
      </c>
      <c r="D191" s="44" t="s">
        <v>1931</v>
      </c>
      <c r="H191" s="64"/>
      <c r="I191" s="1686"/>
      <c r="J191" s="1687"/>
      <c r="L191" s="586"/>
      <c r="M191" s="88"/>
      <c r="N191" s="506" t="s">
        <v>3203</v>
      </c>
      <c r="O191" s="993"/>
      <c r="P191" s="473"/>
      <c r="R191" s="490"/>
    </row>
    <row r="192" spans="1:18" ht="11.25" customHeight="1">
      <c r="B192" s="596"/>
      <c r="C192" s="484" t="s">
        <v>3204</v>
      </c>
      <c r="D192" s="44" t="s">
        <v>3438</v>
      </c>
      <c r="H192" s="64"/>
      <c r="I192" s="1686"/>
      <c r="J192" s="1687"/>
      <c r="L192" s="586"/>
      <c r="M192" s="88"/>
      <c r="N192" s="484" t="s">
        <v>3204</v>
      </c>
      <c r="O192" s="993"/>
      <c r="P192" s="473"/>
      <c r="R192" s="490"/>
    </row>
    <row r="193" spans="1:18" ht="11.25" customHeight="1">
      <c r="A193" s="227"/>
      <c r="B193" s="596"/>
      <c r="C193" s="484" t="s">
        <v>3205</v>
      </c>
      <c r="D193" s="44" t="s">
        <v>3439</v>
      </c>
      <c r="I193" s="1686"/>
      <c r="J193" s="1687"/>
      <c r="L193" s="586"/>
      <c r="M193" s="88"/>
      <c r="N193" s="484" t="s">
        <v>3205</v>
      </c>
      <c r="O193" s="993"/>
      <c r="P193" s="473"/>
      <c r="R193" s="490"/>
    </row>
    <row r="194" spans="1:18" s="50" customFormat="1" ht="11.25" customHeight="1">
      <c r="A194" s="226"/>
      <c r="B194" s="596"/>
      <c r="C194" s="506" t="s">
        <v>3206</v>
      </c>
      <c r="D194" s="44" t="s">
        <v>1932</v>
      </c>
      <c r="H194" s="64"/>
      <c r="I194" s="1686"/>
      <c r="J194" s="1687"/>
      <c r="K194" s="228"/>
      <c r="L194" s="586"/>
      <c r="M194" s="88"/>
      <c r="N194" s="506" t="s">
        <v>3206</v>
      </c>
      <c r="O194" s="993"/>
      <c r="P194" s="473"/>
      <c r="R194" s="490"/>
    </row>
    <row r="195" spans="1:18" ht="11.25" customHeight="1">
      <c r="B195" s="596"/>
      <c r="C195" s="484" t="s">
        <v>3222</v>
      </c>
      <c r="D195" s="44" t="s">
        <v>1933</v>
      </c>
      <c r="H195" s="64"/>
      <c r="I195" s="1686"/>
      <c r="J195" s="1687"/>
      <c r="L195" s="586"/>
      <c r="M195" s="88"/>
      <c r="N195" s="484" t="s">
        <v>3222</v>
      </c>
      <c r="O195" s="993"/>
      <c r="P195" s="473"/>
      <c r="R195" s="490"/>
    </row>
    <row r="196" spans="1:18" ht="11.25" customHeight="1">
      <c r="A196" s="227"/>
      <c r="B196" s="596"/>
      <c r="C196" s="484" t="s">
        <v>3223</v>
      </c>
      <c r="D196" s="44" t="s">
        <v>1934</v>
      </c>
      <c r="H196" s="64"/>
      <c r="I196" s="1686"/>
      <c r="J196" s="1687"/>
      <c r="L196" s="586"/>
      <c r="M196" s="88"/>
      <c r="N196" s="484" t="s">
        <v>3223</v>
      </c>
      <c r="O196" s="993"/>
      <c r="P196" s="473"/>
      <c r="R196" s="490"/>
    </row>
    <row r="197" spans="1:18" ht="11.25" customHeight="1">
      <c r="B197" s="596"/>
      <c r="C197" s="505" t="s">
        <v>3230</v>
      </c>
      <c r="D197" s="44" t="s">
        <v>3701</v>
      </c>
      <c r="H197" s="64"/>
      <c r="I197" s="1686"/>
      <c r="J197" s="1687"/>
      <c r="L197" s="586"/>
      <c r="M197" s="88"/>
      <c r="N197" s="505" t="s">
        <v>3230</v>
      </c>
      <c r="O197" s="993"/>
      <c r="P197" s="473"/>
      <c r="R197" s="490"/>
    </row>
    <row r="198" spans="1:18" ht="11.25" customHeight="1">
      <c r="A198" s="227"/>
      <c r="B198" s="596"/>
      <c r="C198" s="505" t="s">
        <v>3231</v>
      </c>
      <c r="D198" s="44" t="s">
        <v>3702</v>
      </c>
      <c r="H198" s="64"/>
      <c r="I198" s="1686"/>
      <c r="J198" s="1687"/>
      <c r="L198" s="586"/>
      <c r="M198" s="88"/>
      <c r="N198" s="505" t="s">
        <v>3231</v>
      </c>
      <c r="O198" s="993"/>
      <c r="P198" s="473"/>
      <c r="R198" s="490"/>
    </row>
    <row r="199" spans="1:18" ht="11.25" customHeight="1">
      <c r="A199" s="227"/>
      <c r="B199" s="596"/>
      <c r="C199" s="505" t="s">
        <v>3232</v>
      </c>
      <c r="D199" s="44" t="s">
        <v>3703</v>
      </c>
      <c r="H199" s="64"/>
      <c r="I199" s="1686"/>
      <c r="J199" s="1687"/>
      <c r="L199" s="586"/>
      <c r="M199" s="88"/>
      <c r="N199" s="505" t="s">
        <v>3232</v>
      </c>
      <c r="O199" s="993"/>
      <c r="P199" s="473"/>
      <c r="R199" s="490"/>
    </row>
    <row r="200" spans="1:18" ht="11.25" customHeight="1">
      <c r="A200" s="227"/>
      <c r="B200" s="596"/>
      <c r="C200" s="505" t="s">
        <v>771</v>
      </c>
      <c r="D200" s="44" t="s">
        <v>3704</v>
      </c>
      <c r="H200" s="64"/>
      <c r="I200" s="1686">
        <v>540000</v>
      </c>
      <c r="J200" s="1687"/>
      <c r="L200" s="586"/>
      <c r="M200" s="88"/>
      <c r="N200" s="505" t="s">
        <v>771</v>
      </c>
      <c r="O200" s="993" t="s">
        <v>4068</v>
      </c>
      <c r="P200" s="473"/>
      <c r="R200" s="490"/>
    </row>
    <row r="201" spans="1:18" ht="11.25" customHeight="1">
      <c r="A201" s="227"/>
      <c r="B201" s="596"/>
      <c r="C201" s="505" t="s">
        <v>3707</v>
      </c>
      <c r="D201" s="44" t="s">
        <v>3705</v>
      </c>
      <c r="H201" s="64"/>
      <c r="I201" s="1686"/>
      <c r="J201" s="1687"/>
      <c r="L201" s="586"/>
      <c r="M201" s="88"/>
      <c r="N201" s="505" t="s">
        <v>3707</v>
      </c>
      <c r="O201" s="993"/>
      <c r="P201" s="473"/>
      <c r="R201" s="490"/>
    </row>
    <row r="202" spans="1:18" ht="11.25" customHeight="1">
      <c r="A202" s="227"/>
      <c r="B202" s="596"/>
      <c r="C202" s="505" t="s">
        <v>3708</v>
      </c>
      <c r="D202" s="44" t="s">
        <v>3706</v>
      </c>
      <c r="H202" s="64"/>
      <c r="I202" s="1686"/>
      <c r="J202" s="1687"/>
      <c r="L202" s="586"/>
      <c r="M202" s="88"/>
      <c r="N202" s="505" t="s">
        <v>3708</v>
      </c>
      <c r="O202" s="993"/>
      <c r="P202" s="473"/>
      <c r="R202" s="490"/>
    </row>
    <row r="203" spans="1:18" ht="11.25" customHeight="1" thickBot="1">
      <c r="A203" s="227"/>
      <c r="B203" s="596"/>
      <c r="C203" s="505" t="s">
        <v>3709</v>
      </c>
      <c r="D203" s="582" t="s">
        <v>3440</v>
      </c>
      <c r="E203" s="583"/>
      <c r="F203" s="583"/>
      <c r="G203" s="583"/>
      <c r="H203" s="584"/>
      <c r="I203" s="1750"/>
      <c r="J203" s="1751"/>
      <c r="L203" s="590"/>
      <c r="M203" s="88"/>
      <c r="N203" s="505" t="s">
        <v>3709</v>
      </c>
      <c r="O203" s="994"/>
      <c r="P203" s="325"/>
      <c r="R203" s="490"/>
    </row>
    <row r="204" spans="1:18" ht="12" customHeight="1" thickBot="1">
      <c r="A204" s="227"/>
      <c r="B204" s="596"/>
      <c r="D204" s="580" t="s">
        <v>3443</v>
      </c>
      <c r="H204" s="64"/>
      <c r="I204" s="1752">
        <f>SUM(I190:J203)</f>
        <v>540000</v>
      </c>
      <c r="J204" s="175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741">
        <f>'Part IV-Uses of Funds'!$G$129</f>
        <v>10368229.580942642</v>
      </c>
      <c r="J206" s="1742"/>
      <c r="M206" s="196"/>
      <c r="N206" s="31"/>
      <c r="O206" s="31"/>
      <c r="P206" s="31"/>
    </row>
    <row r="207" spans="1:18" ht="12" customHeight="1">
      <c r="B207" s="225"/>
      <c r="C207" s="579"/>
      <c r="D207" s="600" t="s">
        <v>3445</v>
      </c>
      <c r="G207" s="589"/>
      <c r="H207" s="589"/>
      <c r="I207" s="1759">
        <f>IF($I206=0,0,$I204/$I206)</f>
        <v>5.2082180065972761E-2</v>
      </c>
      <c r="J207" s="176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979">
        <v>0</v>
      </c>
      <c r="P208" s="84"/>
      <c r="Q208" s="507" t="s">
        <v>3632</v>
      </c>
    </row>
    <row r="209" spans="1:18" s="50" customFormat="1" ht="11.25" customHeight="1">
      <c r="A209" s="171"/>
      <c r="B209" s="1503" t="s">
        <v>3710</v>
      </c>
      <c r="C209" s="1503"/>
      <c r="D209" s="1503"/>
      <c r="E209" s="1503"/>
      <c r="F209" s="1503"/>
      <c r="G209" s="1503"/>
      <c r="H209" s="1503"/>
      <c r="I209" s="1503"/>
      <c r="J209" s="1503"/>
      <c r="K209" s="1503"/>
      <c r="L209" s="1503"/>
    </row>
    <row r="210" spans="1:18" s="50" customFormat="1" ht="11.25" customHeight="1">
      <c r="A210" s="171"/>
      <c r="B210" s="1503"/>
      <c r="C210" s="1503"/>
      <c r="D210" s="1503"/>
      <c r="E210" s="1503"/>
      <c r="F210" s="1503"/>
      <c r="G210" s="1503"/>
      <c r="H210" s="1503"/>
      <c r="I210" s="1503"/>
      <c r="J210" s="1503"/>
      <c r="K210" s="1503"/>
      <c r="L210" s="1503"/>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3"/>
      <c r="F212" s="1744"/>
      <c r="G212" s="1744"/>
      <c r="H212" s="1745"/>
      <c r="K212" s="228"/>
      <c r="M212" s="7"/>
      <c r="N212" s="7"/>
      <c r="O212" s="7"/>
      <c r="P212" s="7"/>
    </row>
    <row r="213" spans="1:18" ht="12" customHeight="1">
      <c r="A213" s="227"/>
      <c r="B213" s="510" t="s">
        <v>3110</v>
      </c>
      <c r="D213" s="511"/>
      <c r="E213" s="1748"/>
      <c r="F213" s="1749"/>
      <c r="G213" s="1749"/>
      <c r="H213" s="1749"/>
      <c r="I213" s="1749"/>
      <c r="J213" s="1749"/>
      <c r="K213" s="1749"/>
      <c r="L213" s="1749"/>
      <c r="M213" s="1749"/>
      <c r="N213" s="1749"/>
      <c r="O213" s="1749"/>
      <c r="P213" s="1082"/>
    </row>
    <row r="214" spans="1:18" ht="12.6" customHeight="1">
      <c r="B214" s="44" t="s">
        <v>3547</v>
      </c>
      <c r="E214" s="585"/>
      <c r="I214" s="1746"/>
      <c r="J214" s="1747"/>
      <c r="K214" s="581">
        <f>IF($I214=0,0,$I214/$I206)</f>
        <v>0</v>
      </c>
      <c r="L214" s="586"/>
      <c r="M214" s="1764">
        <f>IF($L214=0,0,$L214/$I206)</f>
        <v>0</v>
      </c>
      <c r="N214" s="176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25" t="s">
        <v>4155</v>
      </c>
      <c r="B216" s="1526"/>
      <c r="C216" s="1526"/>
      <c r="D216" s="1526"/>
      <c r="E216" s="1526"/>
      <c r="F216" s="1526"/>
      <c r="G216" s="1526"/>
      <c r="H216" s="1526"/>
      <c r="I216" s="1526"/>
      <c r="J216" s="1526"/>
      <c r="K216" s="1526"/>
      <c r="L216" s="1526"/>
      <c r="M216" s="1526"/>
      <c r="N216" s="1526"/>
      <c r="O216" s="1526"/>
      <c r="P216" s="1527"/>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531"/>
      <c r="B218" s="1532"/>
      <c r="C218" s="1532"/>
      <c r="D218" s="1532"/>
      <c r="E218" s="1532"/>
      <c r="F218" s="1532"/>
      <c r="G218" s="1532"/>
      <c r="H218" s="1532"/>
      <c r="I218" s="1532"/>
      <c r="J218" s="1532"/>
      <c r="K218" s="1532"/>
      <c r="L218" s="1532"/>
      <c r="M218" s="1532"/>
      <c r="N218" s="1532"/>
      <c r="O218" s="1532"/>
      <c r="P218" s="1533"/>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992" t="s">
        <v>4067</v>
      </c>
      <c r="P221" s="324"/>
      <c r="R221" s="490"/>
    </row>
    <row r="222" spans="1:18" s="50" customFormat="1" ht="23.25" customHeight="1">
      <c r="A222" s="49"/>
      <c r="B222" s="1761" t="s">
        <v>3750</v>
      </c>
      <c r="C222" s="1762"/>
      <c r="D222" s="1762"/>
      <c r="E222" s="1762"/>
      <c r="F222" s="1762"/>
      <c r="G222" s="1762"/>
      <c r="H222" s="1762"/>
      <c r="I222" s="1762"/>
      <c r="J222" s="1762"/>
      <c r="K222" s="1762"/>
      <c r="L222" s="1762"/>
      <c r="M222" s="53"/>
      <c r="N222" s="73"/>
      <c r="O222" s="994"/>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992" t="s">
        <v>4067</v>
      </c>
      <c r="P224" s="324"/>
      <c r="R224" s="490"/>
    </row>
    <row r="225" spans="1:18" s="50" customFormat="1" ht="12" customHeight="1">
      <c r="A225" s="171"/>
      <c r="B225" s="64" t="s">
        <v>3768</v>
      </c>
      <c r="D225" s="40"/>
      <c r="N225" s="654"/>
      <c r="O225" s="994"/>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25"/>
      <c r="B227" s="1526"/>
      <c r="C227" s="1526"/>
      <c r="D227" s="1526"/>
      <c r="E227" s="1526"/>
      <c r="F227" s="1526"/>
      <c r="G227" s="1526"/>
      <c r="H227" s="1526"/>
      <c r="I227" s="1526"/>
      <c r="J227" s="1526"/>
      <c r="K227" s="1526"/>
      <c r="L227" s="1526"/>
      <c r="M227" s="1526"/>
      <c r="N227" s="1526"/>
      <c r="O227" s="1526"/>
      <c r="P227" s="1527"/>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531"/>
      <c r="B229" s="1532"/>
      <c r="C229" s="1532"/>
      <c r="D229" s="1532"/>
      <c r="E229" s="1532"/>
      <c r="F229" s="1532"/>
      <c r="G229" s="1532"/>
      <c r="H229" s="1532"/>
      <c r="I229" s="1532"/>
      <c r="J229" s="1532"/>
      <c r="K229" s="1532"/>
      <c r="L229" s="1532"/>
      <c r="M229" s="1532"/>
      <c r="N229" s="1532"/>
      <c r="O229" s="1532"/>
      <c r="P229" s="1533"/>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011">
        <v>3</v>
      </c>
      <c r="P232" s="621"/>
      <c r="Q232" s="507" t="s">
        <v>3632</v>
      </c>
      <c r="R232" s="130"/>
    </row>
    <row r="233" spans="1:18" s="50" customFormat="1" ht="33" customHeight="1">
      <c r="A233" s="171"/>
      <c r="B233" s="1685" t="s">
        <v>3713</v>
      </c>
      <c r="C233" s="1685"/>
      <c r="D233" s="1685"/>
      <c r="E233" s="1685"/>
      <c r="F233" s="1685"/>
      <c r="G233" s="1685"/>
      <c r="H233" s="1685"/>
      <c r="I233" s="1685"/>
      <c r="J233" s="1685"/>
      <c r="K233" s="1685"/>
      <c r="L233" s="1685"/>
      <c r="M233" s="490"/>
      <c r="N233" s="490"/>
      <c r="O233" s="1012" t="s">
        <v>4111</v>
      </c>
      <c r="P233" s="622"/>
      <c r="Q233" s="130"/>
      <c r="R233" s="490"/>
    </row>
    <row r="234" spans="1:18" s="50" customFormat="1" ht="12" customHeight="1">
      <c r="A234" s="171" t="s">
        <v>2697</v>
      </c>
      <c r="B234" s="213" t="s">
        <v>3664</v>
      </c>
      <c r="D234" s="813"/>
      <c r="F234" s="38"/>
      <c r="G234" s="123"/>
      <c r="H234" s="72"/>
      <c r="K234" s="123"/>
      <c r="L234" s="685" t="str">
        <f>IF(OR($O234=$M234,$O234=0,$O234=""),"","* * Check Score! * *")</f>
        <v/>
      </c>
      <c r="M234" s="7">
        <v>3</v>
      </c>
      <c r="N234" s="654" t="s">
        <v>2697</v>
      </c>
      <c r="O234" s="1005">
        <v>0</v>
      </c>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25"/>
      <c r="B236" s="1526"/>
      <c r="C236" s="1526"/>
      <c r="D236" s="1526"/>
      <c r="E236" s="1526"/>
      <c r="F236" s="1526"/>
      <c r="G236" s="1526"/>
      <c r="H236" s="1526"/>
      <c r="I236" s="1526"/>
      <c r="J236" s="1526"/>
      <c r="K236" s="1526"/>
      <c r="L236" s="1526"/>
      <c r="M236" s="1526"/>
      <c r="N236" s="1526"/>
      <c r="O236" s="1526"/>
      <c r="P236" s="1527"/>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531"/>
      <c r="B238" s="1532"/>
      <c r="C238" s="1532"/>
      <c r="D238" s="1532"/>
      <c r="E238" s="1532"/>
      <c r="F238" s="1532"/>
      <c r="G238" s="1532"/>
      <c r="H238" s="1532"/>
      <c r="I238" s="1532"/>
      <c r="J238" s="1532"/>
      <c r="K238" s="1532"/>
      <c r="L238" s="1532"/>
      <c r="M238" s="1532"/>
      <c r="N238" s="1532"/>
      <c r="O238" s="1532"/>
      <c r="P238" s="1533"/>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522" t="s">
        <v>3714</v>
      </c>
      <c r="D241" s="1522"/>
      <c r="E241" s="1522"/>
      <c r="F241" s="1522"/>
      <c r="G241" s="1522"/>
      <c r="H241" s="1522"/>
      <c r="I241" s="1522"/>
      <c r="J241" s="1522"/>
      <c r="K241" s="1522"/>
      <c r="L241" s="1522"/>
      <c r="M241" s="545">
        <v>3</v>
      </c>
      <c r="N241" s="199" t="s">
        <v>2694</v>
      </c>
      <c r="O241" s="1011">
        <v>0</v>
      </c>
      <c r="P241" s="621"/>
      <c r="Q241" s="221" t="s">
        <v>3632</v>
      </c>
    </row>
    <row r="242" spans="1:17" s="544" customFormat="1" ht="22.5" customHeight="1">
      <c r="A242" s="592" t="s">
        <v>1788</v>
      </c>
      <c r="B242" s="603" t="s">
        <v>2697</v>
      </c>
      <c r="C242" s="1522" t="s">
        <v>3760</v>
      </c>
      <c r="D242" s="1522"/>
      <c r="E242" s="1522"/>
      <c r="F242" s="1522"/>
      <c r="G242" s="1522"/>
      <c r="H242" s="1522"/>
      <c r="I242" s="1522"/>
      <c r="J242" s="1522"/>
      <c r="K242" s="1522"/>
      <c r="L242" s="1522"/>
      <c r="M242" s="545">
        <v>1</v>
      </c>
      <c r="N242" s="199" t="s">
        <v>2697</v>
      </c>
      <c r="O242" s="1012">
        <v>0</v>
      </c>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25"/>
      <c r="B244" s="1526"/>
      <c r="C244" s="1526"/>
      <c r="D244" s="1526"/>
      <c r="E244" s="1526"/>
      <c r="F244" s="1526"/>
      <c r="G244" s="1526"/>
      <c r="H244" s="1526"/>
      <c r="I244" s="1526"/>
      <c r="J244" s="1526"/>
      <c r="K244" s="1526"/>
      <c r="L244" s="1526"/>
      <c r="M244" s="1526"/>
      <c r="N244" s="1526"/>
      <c r="O244" s="1526"/>
      <c r="P244" s="1527"/>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531"/>
      <c r="B246" s="1532"/>
      <c r="C246" s="1532"/>
      <c r="D246" s="1532"/>
      <c r="E246" s="1532"/>
      <c r="F246" s="1532"/>
      <c r="G246" s="1532"/>
      <c r="H246" s="1532"/>
      <c r="I246" s="1532"/>
      <c r="J246" s="1532"/>
      <c r="K246" s="1532"/>
      <c r="L246" s="1532"/>
      <c r="M246" s="1532"/>
      <c r="N246" s="1532"/>
      <c r="O246" s="1532"/>
      <c r="P246" s="1533"/>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763" t="s">
        <v>3741</v>
      </c>
      <c r="E249" s="1763"/>
      <c r="F249" s="1763"/>
      <c r="G249" s="1763"/>
      <c r="H249" s="1763"/>
      <c r="I249" s="1763"/>
      <c r="J249" s="1763"/>
      <c r="K249" s="1763"/>
      <c r="L249" s="176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000"/>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522" t="s">
        <v>3715</v>
      </c>
      <c r="D253" s="1522"/>
      <c r="E253" s="1522"/>
      <c r="F253" s="1522"/>
      <c r="G253" s="1522"/>
      <c r="H253" s="1522"/>
      <c r="I253" s="1522"/>
      <c r="J253" s="1522"/>
      <c r="K253" s="1522"/>
      <c r="L253" s="1522"/>
      <c r="M253" s="595"/>
      <c r="N253" s="545"/>
      <c r="O253" s="1013"/>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564" t="s">
        <v>3589</v>
      </c>
      <c r="D255" s="1564"/>
      <c r="E255" s="1564"/>
      <c r="F255" s="1564"/>
      <c r="G255" s="1564"/>
      <c r="H255" s="1564"/>
      <c r="I255" s="1564"/>
      <c r="J255" s="1564"/>
      <c r="K255" s="1564"/>
      <c r="L255" s="1564"/>
      <c r="M255" s="545"/>
      <c r="N255" s="506" t="s">
        <v>3202</v>
      </c>
      <c r="O255" s="1014"/>
      <c r="P255" s="618"/>
    </row>
    <row r="256" spans="1:17" s="544" customFormat="1" ht="21.75" customHeight="1">
      <c r="A256" s="543"/>
      <c r="B256" s="506" t="s">
        <v>3203</v>
      </c>
      <c r="C256" s="1522" t="s">
        <v>3716</v>
      </c>
      <c r="D256" s="1522"/>
      <c r="E256" s="1522"/>
      <c r="F256" s="1522"/>
      <c r="G256" s="1522"/>
      <c r="H256" s="1522"/>
      <c r="I256" s="1522"/>
      <c r="J256" s="1522"/>
      <c r="K256" s="1522"/>
      <c r="L256" s="1522"/>
      <c r="M256" s="545"/>
      <c r="N256" s="506" t="s">
        <v>3203</v>
      </c>
      <c r="O256" s="1015"/>
      <c r="P256" s="619"/>
    </row>
    <row r="257" spans="1:18" s="544" customFormat="1" ht="21.75" customHeight="1">
      <c r="A257" s="543"/>
      <c r="B257" s="506" t="s">
        <v>3204</v>
      </c>
      <c r="C257" s="1522" t="s">
        <v>3463</v>
      </c>
      <c r="D257" s="1522"/>
      <c r="E257" s="1522"/>
      <c r="F257" s="1522"/>
      <c r="G257" s="1522"/>
      <c r="H257" s="1522"/>
      <c r="I257" s="1522"/>
      <c r="J257" s="1522"/>
      <c r="K257" s="1522"/>
      <c r="L257" s="1522"/>
      <c r="M257" s="545"/>
      <c r="N257" s="506" t="s">
        <v>3204</v>
      </c>
      <c r="O257" s="1015"/>
      <c r="P257" s="619"/>
    </row>
    <row r="258" spans="1:18" s="544" customFormat="1" ht="21.75" customHeight="1">
      <c r="A258" s="543"/>
      <c r="B258" s="680" t="s">
        <v>3205</v>
      </c>
      <c r="C258" s="1522" t="s">
        <v>3449</v>
      </c>
      <c r="D258" s="1522"/>
      <c r="E258" s="1522"/>
      <c r="F258" s="1522"/>
      <c r="G258" s="1522"/>
      <c r="H258" s="1522"/>
      <c r="I258" s="1522"/>
      <c r="J258" s="1522"/>
      <c r="K258" s="1522"/>
      <c r="L258" s="1522"/>
      <c r="M258" s="545"/>
      <c r="N258" s="680" t="s">
        <v>3205</v>
      </c>
      <c r="O258" s="1016"/>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522" t="s">
        <v>3452</v>
      </c>
      <c r="D261" s="1522"/>
      <c r="E261" s="1522"/>
      <c r="F261" s="1522"/>
      <c r="G261" s="1522"/>
      <c r="H261" s="1522"/>
      <c r="I261" s="1522"/>
      <c r="J261" s="1522"/>
      <c r="K261" s="1522"/>
      <c r="L261" s="1522"/>
      <c r="M261" s="545">
        <v>4</v>
      </c>
      <c r="N261" s="506" t="s">
        <v>3202</v>
      </c>
      <c r="O261" s="1014"/>
      <c r="P261" s="618"/>
      <c r="Q261" s="221" t="s">
        <v>3632</v>
      </c>
    </row>
    <row r="262" spans="1:18" s="544" customFormat="1" ht="34.5" customHeight="1">
      <c r="A262" s="199" t="s">
        <v>3464</v>
      </c>
      <c r="B262" s="506" t="s">
        <v>3203</v>
      </c>
      <c r="C262" s="1522" t="s">
        <v>3718</v>
      </c>
      <c r="D262" s="1522"/>
      <c r="E262" s="1522"/>
      <c r="F262" s="1522"/>
      <c r="G262" s="1522"/>
      <c r="H262" s="1522"/>
      <c r="I262" s="1522"/>
      <c r="J262" s="1522"/>
      <c r="K262" s="1522"/>
      <c r="L262" s="1522"/>
      <c r="M262" s="545">
        <v>2</v>
      </c>
      <c r="N262" s="506" t="s">
        <v>3203</v>
      </c>
      <c r="O262" s="1016"/>
      <c r="P262" s="620"/>
      <c r="Q262" s="221" t="s">
        <v>3632</v>
      </c>
    </row>
    <row r="263" spans="1:18" s="121" customFormat="1" ht="12" customHeight="1">
      <c r="B263" s="483" t="s">
        <v>2700</v>
      </c>
      <c r="C263" s="604" t="s">
        <v>3451</v>
      </c>
      <c r="L263" s="490" t="str">
        <f>IF(OR($O263=$M263,$O263=0,$O263=""),"","* * Check Score! * *")</f>
        <v/>
      </c>
      <c r="M263" s="8">
        <v>1</v>
      </c>
      <c r="N263" s="225" t="s">
        <v>2700</v>
      </c>
      <c r="O263" s="1005"/>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522" t="s">
        <v>3455</v>
      </c>
      <c r="D265" s="1522"/>
      <c r="E265" s="1522"/>
      <c r="F265" s="1522"/>
      <c r="G265" s="1522"/>
      <c r="H265" s="1522"/>
      <c r="I265" s="1522"/>
      <c r="J265" s="1522"/>
      <c r="K265" s="1522"/>
      <c r="L265" s="1522"/>
      <c r="M265" s="545">
        <v>2</v>
      </c>
      <c r="N265" s="506" t="s">
        <v>3202</v>
      </c>
      <c r="O265" s="1011"/>
      <c r="P265" s="621"/>
      <c r="Q265" s="221" t="s">
        <v>3632</v>
      </c>
    </row>
    <row r="266" spans="1:18" s="544" customFormat="1" ht="12" customHeight="1">
      <c r="A266" s="199" t="s">
        <v>3464</v>
      </c>
      <c r="B266" s="506" t="s">
        <v>3203</v>
      </c>
      <c r="C266" s="1522" t="s">
        <v>3454</v>
      </c>
      <c r="D266" s="1522"/>
      <c r="E266" s="1522"/>
      <c r="F266" s="1522"/>
      <c r="G266" s="1522"/>
      <c r="H266" s="1522"/>
      <c r="I266" s="1522"/>
      <c r="J266" s="1522"/>
      <c r="K266" s="1522"/>
      <c r="L266" s="1522"/>
      <c r="M266" s="545">
        <v>1</v>
      </c>
      <c r="N266" s="506" t="s">
        <v>3203</v>
      </c>
      <c r="O266" s="1012"/>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522" t="s">
        <v>3719</v>
      </c>
      <c r="D268" s="1522"/>
      <c r="E268" s="1522"/>
      <c r="F268" s="1522"/>
      <c r="G268" s="1522"/>
      <c r="H268" s="1522"/>
      <c r="I268" s="1522"/>
      <c r="J268" s="1522"/>
      <c r="K268" s="1522"/>
      <c r="L268" s="1522"/>
      <c r="M268" s="545">
        <v>3</v>
      </c>
      <c r="N268" s="506" t="s">
        <v>3202</v>
      </c>
      <c r="O268" s="1011"/>
      <c r="P268" s="621"/>
      <c r="Q268" s="221" t="s">
        <v>3632</v>
      </c>
    </row>
    <row r="269" spans="1:18" s="544" customFormat="1" ht="12" customHeight="1">
      <c r="A269" s="199" t="s">
        <v>3464</v>
      </c>
      <c r="B269" s="506" t="s">
        <v>3203</v>
      </c>
      <c r="C269" s="1522" t="s">
        <v>3720</v>
      </c>
      <c r="D269" s="1522"/>
      <c r="E269" s="1522"/>
      <c r="F269" s="1522"/>
      <c r="G269" s="1522"/>
      <c r="H269" s="1522"/>
      <c r="I269" s="1522"/>
      <c r="J269" s="1522"/>
      <c r="K269" s="1522"/>
      <c r="L269" s="1522"/>
      <c r="M269" s="545">
        <v>2</v>
      </c>
      <c r="N269" s="506" t="s">
        <v>3203</v>
      </c>
      <c r="O269" s="1012"/>
      <c r="P269" s="622"/>
      <c r="Q269" s="221" t="s">
        <v>3632</v>
      </c>
    </row>
    <row r="270" spans="1:18" s="121" customFormat="1" ht="12" customHeight="1">
      <c r="B270" s="483" t="s">
        <v>1646</v>
      </c>
      <c r="C270" s="604" t="s">
        <v>3457</v>
      </c>
      <c r="F270" s="578" t="s">
        <v>3458</v>
      </c>
      <c r="J270" s="1683">
        <f>'Part IV-Uses of Funds'!$B$43/'Part IV-Uses of Funds'!$G$129</f>
        <v>0.60715090757352563</v>
      </c>
      <c r="K270" s="1684"/>
      <c r="L270" s="490"/>
      <c r="M270" s="8">
        <v>2</v>
      </c>
      <c r="N270" s="225" t="s">
        <v>1646</v>
      </c>
      <c r="O270" s="1000"/>
      <c r="P270" s="84"/>
      <c r="Q270" s="221" t="s">
        <v>3632</v>
      </c>
    </row>
    <row r="271" spans="1:18" s="121" customFormat="1" ht="12" customHeight="1">
      <c r="B271" s="483" t="s">
        <v>2589</v>
      </c>
      <c r="C271" s="604" t="s">
        <v>3721</v>
      </c>
      <c r="F271" s="578"/>
      <c r="L271" s="490"/>
      <c r="M271" s="8">
        <v>3</v>
      </c>
      <c r="N271" s="225" t="s">
        <v>2589</v>
      </c>
      <c r="O271" s="1000"/>
      <c r="P271" s="84"/>
      <c r="Q271" s="221" t="s">
        <v>3632</v>
      </c>
    </row>
    <row r="272" spans="1:18" s="50" customFormat="1" ht="12" customHeight="1">
      <c r="A272" s="171"/>
      <c r="B272" s="506"/>
      <c r="C272" s="1758" t="s">
        <v>3722</v>
      </c>
      <c r="D272" s="1758"/>
      <c r="E272" s="1758"/>
      <c r="F272" s="1758"/>
      <c r="G272" s="1758"/>
      <c r="H272" s="1758"/>
      <c r="I272" s="1758"/>
      <c r="J272" s="1758"/>
      <c r="K272" s="1758"/>
      <c r="L272" s="1758"/>
      <c r="R272" s="490"/>
    </row>
    <row r="273" spans="1:18" s="50" customFormat="1" ht="12" customHeight="1">
      <c r="A273" s="171"/>
      <c r="B273" s="506"/>
      <c r="C273" s="1758"/>
      <c r="D273" s="1758"/>
      <c r="E273" s="1758"/>
      <c r="F273" s="1758"/>
      <c r="G273" s="1758"/>
      <c r="H273" s="1758"/>
      <c r="I273" s="1758"/>
      <c r="J273" s="1758"/>
      <c r="K273" s="1758"/>
      <c r="L273" s="175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25"/>
      <c r="B275" s="1526"/>
      <c r="C275" s="1526"/>
      <c r="D275" s="1526"/>
      <c r="E275" s="1526"/>
      <c r="F275" s="1526"/>
      <c r="G275" s="1526"/>
      <c r="H275" s="1526"/>
      <c r="I275" s="1526"/>
      <c r="J275" s="1526"/>
      <c r="K275" s="1526"/>
      <c r="L275" s="1526"/>
      <c r="M275" s="1526"/>
      <c r="N275" s="1526"/>
      <c r="O275" s="1526"/>
      <c r="P275" s="1527"/>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531"/>
      <c r="B277" s="1532"/>
      <c r="C277" s="1532"/>
      <c r="D277" s="1532"/>
      <c r="E277" s="1532"/>
      <c r="F277" s="1532"/>
      <c r="G277" s="1532"/>
      <c r="H277" s="1532"/>
      <c r="I277" s="1532"/>
      <c r="J277" s="1532"/>
      <c r="K277" s="1532"/>
      <c r="L277" s="1532"/>
      <c r="M277" s="1532"/>
      <c r="N277" s="1532"/>
      <c r="O277" s="1532"/>
      <c r="P277" s="1533"/>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979" t="s">
        <v>4068</v>
      </c>
      <c r="P280" s="210"/>
    </row>
    <row r="281" spans="1:18" ht="12.6" customHeight="1">
      <c r="A281" s="171" t="s">
        <v>2694</v>
      </c>
      <c r="B281" s="229" t="s">
        <v>1881</v>
      </c>
      <c r="D281" s="40"/>
      <c r="E281" s="40"/>
      <c r="F281" s="40"/>
      <c r="G281" s="40"/>
      <c r="H281" s="40"/>
      <c r="I281" s="40"/>
      <c r="J281" s="40"/>
      <c r="K281" s="40"/>
      <c r="L281" s="40"/>
      <c r="M281" s="139"/>
      <c r="N281" s="654" t="s">
        <v>2694</v>
      </c>
      <c r="O281" s="1017">
        <v>10</v>
      </c>
      <c r="P281" s="508"/>
      <c r="Q281" s="221" t="s">
        <v>3632</v>
      </c>
    </row>
    <row r="282" spans="1:18" ht="12.6" customHeight="1">
      <c r="A282" s="171" t="s">
        <v>2697</v>
      </c>
      <c r="B282" s="229" t="s">
        <v>291</v>
      </c>
      <c r="D282" s="40"/>
      <c r="E282" s="40"/>
      <c r="F282" s="40"/>
      <c r="G282" s="813"/>
      <c r="H282" s="813"/>
      <c r="I282" s="813"/>
      <c r="J282" s="813"/>
      <c r="K282" s="813"/>
      <c r="M282" s="123"/>
      <c r="N282" s="654" t="s">
        <v>2697</v>
      </c>
      <c r="O282" s="979" t="s">
        <v>4134</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25"/>
      <c r="B284" s="1526"/>
      <c r="C284" s="1526"/>
      <c r="D284" s="1526"/>
      <c r="E284" s="1526"/>
      <c r="F284" s="1526"/>
      <c r="G284" s="1526"/>
      <c r="H284" s="1526"/>
      <c r="I284" s="1526"/>
      <c r="J284" s="1526"/>
      <c r="K284" s="1526"/>
      <c r="L284" s="1526"/>
      <c r="M284" s="1526"/>
      <c r="N284" s="1526"/>
      <c r="O284" s="1526"/>
      <c r="P284" s="1527"/>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531"/>
      <c r="B286" s="1532"/>
      <c r="C286" s="1532"/>
      <c r="D286" s="1532"/>
      <c r="E286" s="1532"/>
      <c r="F286" s="1532"/>
      <c r="G286" s="1532"/>
      <c r="H286" s="1532"/>
      <c r="I286" s="1532"/>
      <c r="J286" s="1532"/>
      <c r="K286" s="1532"/>
      <c r="L286" s="1532"/>
      <c r="M286" s="1532"/>
      <c r="N286" s="1532"/>
      <c r="O286" s="1532"/>
      <c r="P286" s="1533"/>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53</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53</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895" t="s">
        <v>3749</v>
      </c>
    </row>
    <row r="2" spans="1:6" ht="16.5">
      <c r="A2" s="896" t="str">
        <f>'Part I-Project Information'!F23</f>
        <v>North Lake Senior Village, LP</v>
      </c>
    </row>
    <row r="3" spans="1:6" ht="16.5">
      <c r="A3" s="896" t="str">
        <f>CONCATENATE('Part I-Project Information'!F26,", ", 'Part I-Project Information'!J27," County")</f>
        <v>Columbus, Muscogee County</v>
      </c>
    </row>
    <row r="4" spans="1:6" ht="16.5">
      <c r="A4" s="1018" t="str">
        <f>IF('Part IX A-Scoring Criteria'!$O$221="Yes",'Part IX A-Scoring Criteria'!B221,IF('Part IX A-Scoring Criteria'!O223="Yes",'Part IX A-Scoring Criteria'!B223,""))</f>
        <v/>
      </c>
    </row>
    <row r="5" spans="1:6" ht="6.75" customHeight="1"/>
    <row r="6" spans="1:6" ht="113.25" customHeight="1">
      <c r="A6" s="1067" t="s">
        <v>3592</v>
      </c>
      <c r="B6" s="1767" t="s">
        <v>3593</v>
      </c>
      <c r="C6" s="1066"/>
      <c r="D6" s="1066"/>
      <c r="E6" s="1066"/>
      <c r="F6" s="1066"/>
    </row>
    <row r="7" spans="1:6" ht="6.6" customHeight="1">
      <c r="A7" s="1067"/>
      <c r="B7" s="1767"/>
      <c r="C7" s="1066"/>
      <c r="D7" s="1066"/>
      <c r="E7" s="1066"/>
      <c r="F7" s="1066"/>
    </row>
    <row r="8" spans="1:6" ht="134.25" customHeight="1">
      <c r="A8" s="1067"/>
      <c r="C8" s="1019"/>
    </row>
    <row r="9" spans="1:6" ht="6.6" customHeight="1">
      <c r="A9" s="1067"/>
    </row>
    <row r="10" spans="1:6" ht="111" customHeight="1">
      <c r="A10" s="1067"/>
    </row>
    <row r="11" spans="1:6" ht="6.6" customHeight="1">
      <c r="A11" s="1067"/>
    </row>
    <row r="12" spans="1:6" ht="111" customHeight="1">
      <c r="A12" s="1067"/>
    </row>
    <row r="13" spans="1:6" ht="6.6" customHeight="1">
      <c r="A13" s="1067"/>
    </row>
    <row r="14" spans="1:6" ht="111" customHeight="1">
      <c r="A14" s="1067"/>
    </row>
    <row r="15" spans="1:6" ht="6.6" customHeight="1">
      <c r="A15" s="1067"/>
    </row>
    <row r="16" spans="1:6" ht="111" customHeight="1">
      <c r="A16" s="1067"/>
    </row>
    <row r="17" spans="1:1" ht="6.6" customHeight="1">
      <c r="A17" s="1067"/>
    </row>
    <row r="18" spans="1:1" ht="111" customHeight="1">
      <c r="A18" s="1067"/>
    </row>
    <row r="19" spans="1:1" ht="6.6" customHeight="1">
      <c r="A19" s="1067"/>
    </row>
    <row r="20" spans="1:1" ht="105.75" customHeight="1">
      <c r="A20" s="1067"/>
    </row>
    <row r="21" spans="1:1" ht="6.6" customHeight="1">
      <c r="A21" s="1067"/>
    </row>
    <row r="22" spans="1:1" ht="105.75" customHeight="1">
      <c r="A22" s="1067"/>
    </row>
    <row r="23" spans="1:1" ht="6.6" customHeight="1">
      <c r="A23" s="1067"/>
    </row>
    <row r="24" spans="1:1" ht="105.75" customHeight="1">
      <c r="A24" s="1067"/>
    </row>
    <row r="25" spans="1:1" ht="6.6" customHeight="1">
      <c r="A25" s="102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021" customWidth="1"/>
    <col min="2" max="12" width="7.28515625" style="1021" customWidth="1"/>
    <col min="13" max="13" width="8.7109375" style="1021" customWidth="1"/>
    <col min="14" max="15" width="5.85546875" style="1021" customWidth="1"/>
    <col min="16" max="16384" width="8.85546875" style="1021"/>
  </cols>
  <sheetData>
    <row r="1" spans="1:26" ht="19.5">
      <c r="N1" s="1022" t="s">
        <v>1950</v>
      </c>
      <c r="O1" s="1022"/>
      <c r="P1" s="1022"/>
      <c r="Q1" s="1022"/>
      <c r="R1" s="1022"/>
      <c r="S1" s="1022"/>
      <c r="T1" s="1022"/>
      <c r="U1" s="1022"/>
      <c r="V1" s="1022"/>
      <c r="W1" s="1022"/>
      <c r="X1" s="1022"/>
      <c r="Y1" s="1022"/>
      <c r="Z1" s="1022"/>
    </row>
    <row r="3" spans="1:26">
      <c r="N3" s="1023" t="s">
        <v>1951</v>
      </c>
      <c r="O3" s="1023"/>
      <c r="P3" s="1023"/>
      <c r="Q3" s="1023"/>
      <c r="R3" s="1023"/>
      <c r="S3" s="1023"/>
      <c r="T3" s="1023"/>
      <c r="U3" s="1023"/>
      <c r="V3" s="1023"/>
      <c r="W3" s="1023"/>
      <c r="X3" s="1023"/>
      <c r="Y3" s="1023"/>
      <c r="Z3" s="1023"/>
    </row>
    <row r="4" spans="1:26">
      <c r="N4" s="1024" t="s">
        <v>1952</v>
      </c>
      <c r="O4" s="1024"/>
      <c r="P4" s="1024"/>
      <c r="Q4" s="1024"/>
      <c r="R4" s="1024"/>
      <c r="S4" s="1024"/>
      <c r="T4" s="1024"/>
      <c r="U4" s="1024"/>
      <c r="V4" s="1024"/>
      <c r="W4" s="1024"/>
      <c r="X4" s="1024"/>
      <c r="Y4" s="1024"/>
      <c r="Z4" s="1024"/>
    </row>
    <row r="6" spans="1:26">
      <c r="B6" s="1025"/>
      <c r="C6" s="1025"/>
      <c r="D6" s="1025"/>
      <c r="E6" s="1025"/>
      <c r="F6" s="1025"/>
      <c r="G6" s="1025"/>
      <c r="H6" s="1025"/>
      <c r="I6" s="1025"/>
      <c r="J6" s="1025"/>
      <c r="K6" s="1025"/>
      <c r="L6" s="1025"/>
      <c r="M6" s="1025"/>
      <c r="N6" s="1026" t="s">
        <v>891</v>
      </c>
    </row>
    <row r="7" spans="1:26" ht="57" customHeight="1">
      <c r="A7" s="1769" t="s">
        <v>3916</v>
      </c>
      <c r="B7" s="1769"/>
      <c r="C7" s="1769"/>
      <c r="D7" s="1769"/>
      <c r="E7" s="1769"/>
      <c r="F7" s="1769"/>
      <c r="G7" s="1769"/>
      <c r="H7" s="1769"/>
      <c r="I7" s="1769"/>
      <c r="J7" s="1769"/>
      <c r="K7" s="1769"/>
      <c r="L7" s="1769"/>
      <c r="M7" s="1769"/>
    </row>
    <row r="8" spans="1:26" ht="11.45" customHeight="1">
      <c r="A8" s="1025"/>
      <c r="B8" s="1025"/>
      <c r="C8" s="1025"/>
      <c r="D8" s="1025"/>
      <c r="E8" s="1025"/>
      <c r="F8" s="1025"/>
      <c r="G8" s="1025"/>
      <c r="H8" s="1025"/>
      <c r="I8" s="1025"/>
      <c r="J8" s="1025"/>
      <c r="K8" s="1025"/>
      <c r="L8" s="1025"/>
      <c r="M8" s="1025"/>
    </row>
    <row r="9" spans="1:26">
      <c r="A9" s="1025" t="s">
        <v>896</v>
      </c>
      <c r="B9" s="1025"/>
      <c r="C9" s="1025"/>
      <c r="D9" s="1025"/>
      <c r="E9" s="1025"/>
      <c r="F9" s="1025"/>
      <c r="G9" s="1025"/>
      <c r="H9" s="1025"/>
      <c r="I9" s="1025"/>
      <c r="J9" s="1025"/>
      <c r="K9" s="1025"/>
      <c r="L9" s="1025"/>
      <c r="M9" s="1025"/>
    </row>
    <row r="10" spans="1:26" ht="11.45" customHeight="1">
      <c r="A10" s="1025"/>
      <c r="B10" s="1025"/>
      <c r="C10" s="1025"/>
      <c r="D10" s="1025"/>
      <c r="E10" s="1025"/>
      <c r="F10" s="1025"/>
      <c r="G10" s="1025"/>
      <c r="H10" s="1025"/>
      <c r="I10" s="1025"/>
      <c r="J10" s="1025"/>
      <c r="K10" s="1025"/>
      <c r="L10" s="1025"/>
      <c r="M10" s="1025"/>
    </row>
    <row r="11" spans="1:26">
      <c r="A11" s="1770" t="s">
        <v>2614</v>
      </c>
      <c r="B11" s="1770"/>
      <c r="C11" s="1770"/>
      <c r="D11" s="1770"/>
      <c r="E11" s="1770"/>
      <c r="F11" s="1770"/>
      <c r="G11" s="1770"/>
      <c r="H11" s="1770"/>
      <c r="I11" s="1770"/>
      <c r="J11" s="1770"/>
      <c r="K11" s="1770"/>
      <c r="L11" s="1770"/>
      <c r="M11" s="1770"/>
    </row>
    <row r="12" spans="1:26" ht="6.75" customHeight="1">
      <c r="A12" s="1770"/>
      <c r="B12" s="1770"/>
      <c r="C12" s="1770"/>
      <c r="D12" s="1770"/>
      <c r="E12" s="1770"/>
      <c r="F12" s="1770"/>
      <c r="G12" s="1770"/>
      <c r="H12" s="1770"/>
      <c r="I12" s="1770"/>
      <c r="J12" s="1770"/>
      <c r="K12" s="1770"/>
      <c r="L12" s="1770"/>
      <c r="M12" s="1770"/>
    </row>
    <row r="13" spans="1:26" ht="44.25" customHeight="1">
      <c r="A13" s="1771" t="s">
        <v>3917</v>
      </c>
      <c r="B13" s="1771"/>
      <c r="C13" s="1771"/>
      <c r="D13" s="1771"/>
      <c r="E13" s="1771"/>
      <c r="F13" s="1771"/>
      <c r="G13" s="1771"/>
      <c r="H13" s="1771"/>
      <c r="I13" s="1771"/>
      <c r="J13" s="1771"/>
      <c r="K13" s="1771"/>
      <c r="L13" s="1771"/>
      <c r="M13" s="1771"/>
    </row>
    <row r="14" spans="1:26" ht="3" customHeight="1">
      <c r="A14" s="1770"/>
      <c r="B14" s="1770"/>
      <c r="C14" s="1770"/>
      <c r="D14" s="1770"/>
      <c r="E14" s="1770"/>
      <c r="F14" s="1770"/>
      <c r="G14" s="1770"/>
      <c r="H14" s="1770"/>
      <c r="I14" s="1770"/>
      <c r="J14" s="1770"/>
      <c r="K14" s="1770"/>
      <c r="L14" s="1770"/>
      <c r="M14" s="1770"/>
    </row>
    <row r="15" spans="1:26" ht="87.75" customHeight="1">
      <c r="A15" s="1027" t="s">
        <v>2430</v>
      </c>
      <c r="B15" s="1768" t="s">
        <v>3918</v>
      </c>
      <c r="C15" s="1768"/>
      <c r="D15" s="1768"/>
      <c r="E15" s="1768"/>
      <c r="F15" s="1768"/>
      <c r="G15" s="1768"/>
      <c r="H15" s="1768"/>
      <c r="I15" s="1768"/>
      <c r="J15" s="1768"/>
      <c r="K15" s="1768"/>
      <c r="L15" s="1768"/>
      <c r="M15" s="1768"/>
    </row>
    <row r="16" spans="1:26" ht="3" customHeight="1">
      <c r="A16" s="1770"/>
      <c r="B16" s="1770"/>
      <c r="C16" s="1770"/>
      <c r="D16" s="1770"/>
      <c r="E16" s="1770"/>
      <c r="F16" s="1770"/>
      <c r="G16" s="1770"/>
      <c r="H16" s="1770"/>
      <c r="I16" s="1770"/>
      <c r="J16" s="1770"/>
      <c r="K16" s="1770"/>
      <c r="L16" s="1770"/>
      <c r="M16" s="1770"/>
    </row>
    <row r="17" spans="1:13" ht="58.5" customHeight="1">
      <c r="A17" s="1027" t="s">
        <v>2431</v>
      </c>
      <c r="B17" s="1768" t="s">
        <v>3919</v>
      </c>
      <c r="C17" s="1768"/>
      <c r="D17" s="1768"/>
      <c r="E17" s="1768"/>
      <c r="F17" s="1768"/>
      <c r="G17" s="1768"/>
      <c r="H17" s="1768"/>
      <c r="I17" s="1768"/>
      <c r="J17" s="1768"/>
      <c r="K17" s="1768"/>
      <c r="L17" s="1768"/>
      <c r="M17" s="1768"/>
    </row>
    <row r="18" spans="1:13" ht="3" customHeight="1">
      <c r="A18" s="1770"/>
      <c r="B18" s="1770"/>
      <c r="C18" s="1770"/>
      <c r="D18" s="1770"/>
      <c r="E18" s="1770"/>
      <c r="F18" s="1770"/>
      <c r="G18" s="1770"/>
      <c r="H18" s="1770"/>
      <c r="I18" s="1770"/>
      <c r="J18" s="1770"/>
      <c r="K18" s="1770"/>
      <c r="L18" s="1770"/>
      <c r="M18" s="1770"/>
    </row>
    <row r="19" spans="1:13" ht="115.5" customHeight="1">
      <c r="A19" s="1027" t="s">
        <v>2432</v>
      </c>
      <c r="B19" s="1768" t="s">
        <v>824</v>
      </c>
      <c r="C19" s="1768"/>
      <c r="D19" s="1768"/>
      <c r="E19" s="1768"/>
      <c r="F19" s="1768"/>
      <c r="G19" s="1768"/>
      <c r="H19" s="1768"/>
      <c r="I19" s="1768"/>
      <c r="J19" s="1768"/>
      <c r="K19" s="1768"/>
      <c r="L19" s="1768"/>
      <c r="M19" s="1768"/>
    </row>
    <row r="20" spans="1:13" ht="3" customHeight="1">
      <c r="A20" s="1770"/>
      <c r="B20" s="1770"/>
      <c r="C20" s="1770"/>
      <c r="D20" s="1770"/>
      <c r="E20" s="1770"/>
      <c r="F20" s="1770"/>
      <c r="G20" s="1770"/>
      <c r="H20" s="1770"/>
      <c r="I20" s="1770"/>
      <c r="J20" s="1770"/>
      <c r="K20" s="1770"/>
      <c r="L20" s="1770"/>
      <c r="M20" s="1770"/>
    </row>
    <row r="21" spans="1:13" ht="115.5" customHeight="1">
      <c r="A21" s="1027" t="s">
        <v>3120</v>
      </c>
      <c r="B21" s="1768" t="s">
        <v>3920</v>
      </c>
      <c r="C21" s="1768"/>
      <c r="D21" s="1768"/>
      <c r="E21" s="1768"/>
      <c r="F21" s="1768"/>
      <c r="G21" s="1768"/>
      <c r="H21" s="1768"/>
      <c r="I21" s="1768"/>
      <c r="J21" s="1768"/>
      <c r="K21" s="1768"/>
      <c r="L21" s="1768"/>
      <c r="M21" s="1768"/>
    </row>
    <row r="22" spans="1:13" ht="3" customHeight="1">
      <c r="A22" s="1770"/>
      <c r="B22" s="1770"/>
      <c r="C22" s="1770"/>
      <c r="D22" s="1770"/>
      <c r="E22" s="1770"/>
      <c r="F22" s="1770"/>
      <c r="G22" s="1770"/>
      <c r="H22" s="1770"/>
      <c r="I22" s="1770"/>
      <c r="J22" s="1770"/>
      <c r="K22" s="1770"/>
      <c r="L22" s="1770"/>
      <c r="M22" s="1770"/>
    </row>
    <row r="23" spans="1:13" ht="44.25" customHeight="1">
      <c r="A23" s="1027" t="s">
        <v>2009</v>
      </c>
      <c r="B23" s="1768" t="s">
        <v>869</v>
      </c>
      <c r="C23" s="1768"/>
      <c r="D23" s="1768"/>
      <c r="E23" s="1768"/>
      <c r="F23" s="1768"/>
      <c r="G23" s="1768"/>
      <c r="H23" s="1768"/>
      <c r="I23" s="1768"/>
      <c r="J23" s="1768"/>
      <c r="K23" s="1768"/>
      <c r="L23" s="1768"/>
      <c r="M23" s="1768"/>
    </row>
    <row r="24" spans="1:13" ht="144.75" customHeight="1">
      <c r="A24" s="1027" t="s">
        <v>2010</v>
      </c>
      <c r="B24" s="1768" t="s">
        <v>3921</v>
      </c>
      <c r="C24" s="1768"/>
      <c r="D24" s="1768"/>
      <c r="E24" s="1768"/>
      <c r="F24" s="1768"/>
      <c r="G24" s="1768"/>
      <c r="H24" s="1768"/>
      <c r="I24" s="1768"/>
      <c r="J24" s="1768"/>
      <c r="K24" s="1768"/>
      <c r="L24" s="1768"/>
      <c r="M24" s="1768"/>
    </row>
    <row r="25" spans="1:13" ht="3" customHeight="1">
      <c r="A25" s="1770"/>
      <c r="B25" s="1770"/>
      <c r="C25" s="1770"/>
      <c r="D25" s="1770"/>
      <c r="E25" s="1770"/>
      <c r="F25" s="1770"/>
      <c r="G25" s="1770"/>
      <c r="H25" s="1770"/>
      <c r="I25" s="1770"/>
      <c r="J25" s="1770"/>
      <c r="K25" s="1770"/>
      <c r="L25" s="1770"/>
      <c r="M25" s="1770"/>
    </row>
    <row r="26" spans="1:13" ht="44.25" customHeight="1">
      <c r="A26" s="1027" t="s">
        <v>104</v>
      </c>
      <c r="B26" s="1768" t="s">
        <v>3922</v>
      </c>
      <c r="C26" s="1768"/>
      <c r="D26" s="1768"/>
      <c r="E26" s="1768"/>
      <c r="F26" s="1768"/>
      <c r="G26" s="1768"/>
      <c r="H26" s="1768"/>
      <c r="I26" s="1768"/>
      <c r="J26" s="1768"/>
      <c r="K26" s="1768"/>
      <c r="L26" s="1768"/>
      <c r="M26" s="1768"/>
    </row>
    <row r="27" spans="1:13" ht="3" customHeight="1">
      <c r="A27" s="1770"/>
      <c r="B27" s="1770"/>
      <c r="C27" s="1770"/>
      <c r="D27" s="1770"/>
      <c r="E27" s="1770"/>
      <c r="F27" s="1770"/>
      <c r="G27" s="1770"/>
      <c r="H27" s="1770"/>
      <c r="I27" s="1770"/>
      <c r="J27" s="1770"/>
      <c r="K27" s="1770"/>
      <c r="L27" s="1770"/>
      <c r="M27" s="1770"/>
    </row>
    <row r="28" spans="1:13" ht="15" customHeight="1">
      <c r="A28" s="1027" t="s">
        <v>678</v>
      </c>
      <c r="B28" s="1768" t="s">
        <v>1911</v>
      </c>
      <c r="C28" s="1768"/>
      <c r="D28" s="1768"/>
      <c r="E28" s="1768"/>
      <c r="F28" s="1768"/>
      <c r="G28" s="1768"/>
      <c r="H28" s="1768"/>
      <c r="I28" s="1768"/>
      <c r="J28" s="1768"/>
      <c r="K28" s="1768"/>
      <c r="L28" s="1768"/>
      <c r="M28" s="1768"/>
    </row>
    <row r="29" spans="1:13" ht="4.5" customHeight="1">
      <c r="A29" s="1770"/>
      <c r="B29" s="1770"/>
      <c r="C29" s="1770"/>
      <c r="D29" s="1770"/>
      <c r="E29" s="1770"/>
      <c r="F29" s="1770"/>
      <c r="G29" s="1770"/>
      <c r="H29" s="1770"/>
      <c r="I29" s="1770"/>
      <c r="J29" s="1770"/>
      <c r="K29" s="1770"/>
      <c r="L29" s="1770"/>
      <c r="M29" s="1770"/>
    </row>
    <row r="30" spans="1:13" ht="15" customHeight="1">
      <c r="A30" s="1770" t="s">
        <v>1912</v>
      </c>
      <c r="B30" s="1770"/>
      <c r="C30" s="1770"/>
      <c r="D30" s="1770"/>
      <c r="E30" s="1770"/>
      <c r="F30" s="1770"/>
      <c r="G30" s="1770"/>
      <c r="H30" s="1770"/>
      <c r="I30" s="1770"/>
      <c r="J30" s="1770"/>
      <c r="K30" s="1770"/>
      <c r="L30" s="1770"/>
      <c r="M30" s="1770"/>
    </row>
    <row r="31" spans="1:13" ht="3" customHeight="1">
      <c r="A31" s="1770"/>
      <c r="B31" s="1770"/>
      <c r="C31" s="1770"/>
      <c r="D31" s="1770"/>
      <c r="E31" s="1770"/>
      <c r="F31" s="1770"/>
      <c r="G31" s="1770"/>
      <c r="H31" s="1770"/>
      <c r="I31" s="1770"/>
      <c r="J31" s="1770"/>
      <c r="K31" s="1770"/>
      <c r="L31" s="1770"/>
      <c r="M31" s="1770"/>
    </row>
    <row r="32" spans="1:13" ht="28.5" customHeight="1">
      <c r="A32" s="1028" t="s">
        <v>1913</v>
      </c>
      <c r="B32" s="1768" t="s">
        <v>3923</v>
      </c>
      <c r="C32" s="1768"/>
      <c r="D32" s="1768"/>
      <c r="E32" s="1768"/>
      <c r="F32" s="1768"/>
      <c r="G32" s="1768"/>
      <c r="H32" s="1768"/>
      <c r="I32" s="1768"/>
      <c r="J32" s="1768"/>
      <c r="K32" s="1768"/>
      <c r="L32" s="1768"/>
      <c r="M32" s="1768"/>
    </row>
    <row r="33" spans="1:13" ht="3" customHeight="1">
      <c r="A33" s="1770"/>
      <c r="B33" s="1770"/>
      <c r="C33" s="1770"/>
      <c r="D33" s="1770"/>
      <c r="E33" s="1770"/>
      <c r="F33" s="1770"/>
      <c r="G33" s="1770"/>
      <c r="H33" s="1770"/>
      <c r="I33" s="1770"/>
      <c r="J33" s="1770"/>
      <c r="K33" s="1770"/>
      <c r="L33" s="1770"/>
      <c r="M33" s="1770"/>
    </row>
    <row r="34" spans="1:13" ht="43.5" customHeight="1">
      <c r="A34" s="1028" t="s">
        <v>1913</v>
      </c>
      <c r="B34" s="1768" t="s">
        <v>3924</v>
      </c>
      <c r="C34" s="1768"/>
      <c r="D34" s="1768"/>
      <c r="E34" s="1768"/>
      <c r="F34" s="1768"/>
      <c r="G34" s="1768"/>
      <c r="H34" s="1768"/>
      <c r="I34" s="1768"/>
      <c r="J34" s="1768"/>
      <c r="K34" s="1768"/>
      <c r="L34" s="1768"/>
      <c r="M34" s="1768"/>
    </row>
    <row r="35" spans="1:13" ht="3" customHeight="1">
      <c r="A35" s="1770"/>
      <c r="B35" s="1770"/>
      <c r="C35" s="1770"/>
      <c r="D35" s="1770"/>
      <c r="E35" s="1770"/>
      <c r="F35" s="1770"/>
      <c r="G35" s="1770"/>
      <c r="H35" s="1770"/>
      <c r="I35" s="1770"/>
      <c r="J35" s="1770"/>
      <c r="K35" s="1770"/>
      <c r="L35" s="1770"/>
      <c r="M35" s="1770"/>
    </row>
    <row r="36" spans="1:13" ht="72.75" customHeight="1">
      <c r="A36" s="1028" t="s">
        <v>1913</v>
      </c>
      <c r="B36" s="1768" t="s">
        <v>3925</v>
      </c>
      <c r="C36" s="1768"/>
      <c r="D36" s="1768"/>
      <c r="E36" s="1768"/>
      <c r="F36" s="1768"/>
      <c r="G36" s="1768"/>
      <c r="H36" s="1768"/>
      <c r="I36" s="1768"/>
      <c r="J36" s="1768"/>
      <c r="K36" s="1768"/>
      <c r="L36" s="1768"/>
      <c r="M36" s="1768"/>
    </row>
    <row r="37" spans="1:13" ht="9" customHeight="1">
      <c r="A37" s="1770"/>
      <c r="B37" s="1770"/>
      <c r="C37" s="1770"/>
      <c r="D37" s="1770"/>
      <c r="E37" s="1770"/>
      <c r="F37" s="1770"/>
      <c r="G37" s="1770"/>
      <c r="H37" s="1770"/>
      <c r="I37" s="1770"/>
      <c r="J37" s="1770"/>
      <c r="K37" s="1770"/>
      <c r="L37" s="1770"/>
      <c r="M37" s="1770"/>
    </row>
    <row r="38" spans="1:13" ht="29.25" customHeight="1">
      <c r="A38" s="1768" t="s">
        <v>1342</v>
      </c>
      <c r="B38" s="1768"/>
      <c r="C38" s="1768"/>
      <c r="D38" s="1768"/>
      <c r="E38" s="1768"/>
      <c r="F38" s="1768"/>
      <c r="G38" s="1768"/>
      <c r="H38" s="1768"/>
      <c r="I38" s="1768"/>
      <c r="J38" s="1768"/>
      <c r="K38" s="1768"/>
      <c r="L38" s="1768"/>
      <c r="M38" s="1768"/>
    </row>
    <row r="39" spans="1:13" ht="3" customHeight="1">
      <c r="A39" s="1770"/>
      <c r="B39" s="1770"/>
      <c r="C39" s="1770"/>
      <c r="D39" s="1770"/>
      <c r="E39" s="1770"/>
      <c r="F39" s="1770"/>
      <c r="G39" s="1770"/>
      <c r="H39" s="1770"/>
      <c r="I39" s="1770"/>
      <c r="J39" s="1770"/>
      <c r="K39" s="1770"/>
      <c r="L39" s="1770"/>
      <c r="M39" s="1770"/>
    </row>
    <row r="40" spans="1:13" ht="29.25" customHeight="1">
      <c r="A40" s="1768" t="s">
        <v>3926</v>
      </c>
      <c r="B40" s="1768"/>
      <c r="C40" s="1768"/>
      <c r="D40" s="1768"/>
      <c r="E40" s="1768"/>
      <c r="F40" s="1768"/>
      <c r="G40" s="1768"/>
      <c r="H40" s="1768"/>
      <c r="I40" s="1768"/>
      <c r="J40" s="1768"/>
      <c r="K40" s="1768"/>
      <c r="L40" s="1768"/>
      <c r="M40" s="1768"/>
    </row>
    <row r="41" spans="1:13" ht="3" customHeight="1">
      <c r="A41" s="1770"/>
      <c r="B41" s="1770"/>
      <c r="C41" s="1770"/>
      <c r="D41" s="1770"/>
      <c r="E41" s="1770"/>
      <c r="F41" s="1770"/>
      <c r="G41" s="1770"/>
      <c r="H41" s="1770"/>
      <c r="I41" s="1770"/>
      <c r="J41" s="1770"/>
      <c r="K41" s="1770"/>
      <c r="L41" s="1770"/>
      <c r="M41" s="1770"/>
    </row>
    <row r="42" spans="1:13">
      <c r="A42" s="1770" t="s">
        <v>1318</v>
      </c>
      <c r="B42" s="1770"/>
      <c r="C42" s="1770"/>
      <c r="D42" s="1770"/>
      <c r="E42" s="1770"/>
      <c r="F42" s="1770"/>
      <c r="G42" s="1770"/>
      <c r="H42" s="1770"/>
      <c r="I42" s="1770"/>
      <c r="J42" s="1770"/>
      <c r="K42" s="1770"/>
      <c r="L42" s="1770"/>
      <c r="M42" s="1770"/>
    </row>
    <row r="43" spans="1:13">
      <c r="A43" s="1029"/>
      <c r="B43" s="1029"/>
      <c r="C43" s="1029"/>
      <c r="D43" s="1029"/>
      <c r="E43" s="1029"/>
      <c r="F43" s="1029"/>
      <c r="G43" s="1029"/>
      <c r="H43" s="1029"/>
      <c r="I43" s="1029"/>
      <c r="J43" s="1029"/>
      <c r="K43" s="1029"/>
      <c r="L43" s="1029"/>
      <c r="M43" s="1029"/>
    </row>
    <row r="44" spans="1:13">
      <c r="A44" s="1773"/>
      <c r="B44" s="1773"/>
      <c r="C44" s="1773"/>
      <c r="D44" s="1773"/>
      <c r="E44" s="1773"/>
      <c r="F44" s="1773"/>
      <c r="G44" s="1030"/>
      <c r="H44" s="1773"/>
      <c r="I44" s="1773"/>
      <c r="J44" s="1773"/>
      <c r="K44" s="1773"/>
      <c r="L44" s="1773"/>
      <c r="M44" s="1773"/>
    </row>
    <row r="45" spans="1:13" ht="12" customHeight="1">
      <c r="A45" s="1774" t="s">
        <v>1319</v>
      </c>
      <c r="B45" s="1774"/>
      <c r="C45" s="1774"/>
      <c r="D45" s="1774"/>
      <c r="E45" s="1774"/>
      <c r="F45" s="1774"/>
      <c r="G45" s="1030"/>
      <c r="H45" s="1774" t="s">
        <v>2691</v>
      </c>
      <c r="I45" s="1774"/>
      <c r="J45" s="1774"/>
      <c r="K45" s="1774"/>
      <c r="L45" s="1774"/>
      <c r="M45" s="1774"/>
    </row>
    <row r="46" spans="1:13">
      <c r="A46" s="1030"/>
      <c r="B46" s="1030"/>
      <c r="C46" s="1030"/>
      <c r="D46" s="1030"/>
      <c r="E46" s="1030"/>
      <c r="F46" s="1030"/>
      <c r="G46" s="1030"/>
      <c r="H46" s="1030"/>
      <c r="I46" s="1030"/>
      <c r="J46" s="1030"/>
      <c r="K46" s="1030"/>
      <c r="L46" s="1030"/>
      <c r="M46" s="1030"/>
    </row>
    <row r="47" spans="1:13">
      <c r="A47" s="1773"/>
      <c r="B47" s="1773"/>
      <c r="C47" s="1773"/>
      <c r="D47" s="1773"/>
      <c r="E47" s="1773"/>
      <c r="F47" s="1773"/>
      <c r="G47" s="1030"/>
      <c r="H47" s="1775"/>
      <c r="I47" s="1775"/>
      <c r="J47" s="1775"/>
      <c r="K47" s="1775"/>
      <c r="L47" s="1775"/>
      <c r="M47" s="1775"/>
    </row>
    <row r="48" spans="1:13" ht="12" customHeight="1">
      <c r="A48" s="1774" t="s">
        <v>1320</v>
      </c>
      <c r="B48" s="1774"/>
      <c r="C48" s="1774"/>
      <c r="D48" s="1774"/>
      <c r="E48" s="1774"/>
      <c r="F48" s="1774"/>
      <c r="G48" s="1030"/>
      <c r="H48" s="1774" t="s">
        <v>1321</v>
      </c>
      <c r="I48" s="1774"/>
      <c r="J48" s="1774"/>
      <c r="K48" s="1774"/>
      <c r="L48" s="1774"/>
      <c r="M48" s="1774"/>
    </row>
    <row r="49" spans="1:13" ht="11.45" customHeight="1">
      <c r="A49" s="1770"/>
      <c r="B49" s="1770"/>
      <c r="C49" s="1770"/>
      <c r="D49" s="1770"/>
      <c r="E49" s="1770"/>
      <c r="F49" s="1770"/>
      <c r="G49" s="1770"/>
      <c r="H49" s="1770"/>
      <c r="I49" s="1770"/>
      <c r="J49" s="1770"/>
      <c r="K49" s="1770"/>
      <c r="L49" s="1770"/>
      <c r="M49" s="1770"/>
    </row>
    <row r="50" spans="1:13" ht="11.45" customHeight="1">
      <c r="A50" s="1025"/>
      <c r="B50" s="1025"/>
      <c r="C50" s="1025"/>
      <c r="D50" s="1025"/>
      <c r="E50" s="1025"/>
      <c r="F50" s="1025"/>
      <c r="G50" s="1025"/>
      <c r="H50" s="1772" t="s">
        <v>1322</v>
      </c>
      <c r="I50" s="1772"/>
      <c r="J50" s="1772"/>
      <c r="K50" s="1772"/>
      <c r="L50" s="1772"/>
      <c r="M50" s="1772"/>
    </row>
    <row r="51" spans="1:13" ht="11.45" customHeight="1">
      <c r="A51" s="1025"/>
      <c r="B51" s="1025"/>
      <c r="C51" s="1025"/>
      <c r="D51" s="1025"/>
      <c r="E51" s="1025"/>
      <c r="F51" s="1025"/>
      <c r="G51" s="1025"/>
    </row>
    <row r="52" spans="1:13" ht="11.45" customHeight="1">
      <c r="A52" s="1025"/>
      <c r="B52" s="1025"/>
      <c r="C52" s="1025"/>
      <c r="D52" s="1025"/>
      <c r="E52" s="1025"/>
      <c r="F52" s="1025"/>
      <c r="G52" s="1025"/>
      <c r="H52" s="1025"/>
      <c r="I52" s="1025"/>
      <c r="J52" s="1025"/>
      <c r="K52" s="1025"/>
      <c r="L52" s="1025"/>
      <c r="M52" s="1025"/>
    </row>
    <row r="53" spans="1:13" ht="11.45" customHeight="1">
      <c r="A53" s="1025"/>
      <c r="B53" s="1025"/>
      <c r="C53" s="1025"/>
      <c r="D53" s="1025"/>
      <c r="E53" s="1025"/>
      <c r="F53" s="1025"/>
      <c r="G53" s="1025"/>
      <c r="H53" s="1025"/>
      <c r="I53" s="1025"/>
      <c r="J53" s="1025"/>
      <c r="K53" s="1025"/>
      <c r="L53" s="1025"/>
      <c r="M53" s="102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22" zoomScale="96" zoomScaleNormal="96" workbookViewId="0">
      <selection activeCell="J50" sqref="J5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779" t="s">
        <v>914</v>
      </c>
      <c r="B2" s="1780"/>
      <c r="C2" s="1780"/>
      <c r="D2" s="1780"/>
      <c r="E2" s="1780"/>
      <c r="F2" s="1780"/>
      <c r="G2" s="1780"/>
      <c r="H2" s="1780"/>
      <c r="I2" s="1780"/>
      <c r="J2" s="1780"/>
      <c r="K2" s="1780"/>
      <c r="L2" s="1780"/>
      <c r="M2" s="1780"/>
      <c r="N2" s="1780"/>
      <c r="O2" s="1780"/>
      <c r="P2" s="1780"/>
      <c r="Q2" s="1780"/>
      <c r="R2" s="1781"/>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10397226</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11436936</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777">
        <v>6500</v>
      </c>
      <c r="R25" s="1778"/>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777">
        <v>5500</v>
      </c>
      <c r="R26" s="1778"/>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777">
        <v>1000</v>
      </c>
      <c r="R27" s="1778"/>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777">
        <v>500</v>
      </c>
      <c r="R28" s="1778"/>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777">
        <v>7000</v>
      </c>
      <c r="R29" s="1778"/>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777">
        <v>6000</v>
      </c>
      <c r="R30" s="1778"/>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776">
        <v>0.08</v>
      </c>
      <c r="R39" s="1776"/>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776">
        <v>0.08</v>
      </c>
      <c r="R40" s="1776"/>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777">
        <v>2700</v>
      </c>
      <c r="R41" s="1778"/>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777">
        <v>1500</v>
      </c>
      <c r="R42" s="1778"/>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777">
        <v>1800000</v>
      </c>
      <c r="R46" s="1778"/>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776">
        <v>0.15</v>
      </c>
      <c r="R47" s="1776"/>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776">
        <v>0.15</v>
      </c>
      <c r="R48" s="1776"/>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776">
        <v>0.15</v>
      </c>
      <c r="R49" s="1776"/>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776">
        <v>0.15</v>
      </c>
      <c r="R50" s="1776"/>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776">
        <v>0.15</v>
      </c>
      <c r="R51" s="1776"/>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776">
        <v>0.15</v>
      </c>
      <c r="R52" s="1776"/>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776" t="s">
        <v>3130</v>
      </c>
      <c r="R53" s="1776"/>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777">
        <v>3000</v>
      </c>
      <c r="R59" s="1778"/>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776">
        <v>0.02</v>
      </c>
      <c r="R64" s="1776"/>
    </row>
    <row r="65" spans="1:26" s="369" customFormat="1" ht="11.45" customHeight="1">
      <c r="A65" s="218"/>
      <c r="B65" s="218" t="s">
        <v>2462</v>
      </c>
      <c r="C65" s="218"/>
      <c r="D65" s="218"/>
      <c r="E65" s="218"/>
      <c r="F65" s="218"/>
      <c r="G65" s="218"/>
      <c r="H65" s="218"/>
      <c r="J65" s="218" t="s">
        <v>2461</v>
      </c>
      <c r="K65" s="218"/>
      <c r="L65" s="218"/>
      <c r="M65" s="218"/>
      <c r="N65" s="218"/>
      <c r="O65" s="218"/>
      <c r="Q65" s="1776">
        <v>7.0000000000000007E-2</v>
      </c>
      <c r="R65" s="1776"/>
    </row>
    <row r="66" spans="1:26" s="369" customFormat="1" ht="11.45" customHeight="1">
      <c r="A66" s="218"/>
      <c r="B66" s="218" t="s">
        <v>2463</v>
      </c>
      <c r="C66" s="218"/>
      <c r="D66" s="218"/>
      <c r="E66" s="218"/>
      <c r="F66" s="218"/>
      <c r="G66" s="218"/>
      <c r="H66" s="218"/>
      <c r="J66" s="218" t="s">
        <v>2461</v>
      </c>
      <c r="K66" s="218"/>
      <c r="L66" s="218"/>
      <c r="M66" s="218"/>
      <c r="N66" s="218"/>
      <c r="O66" s="218"/>
      <c r="Q66" s="1776">
        <v>7.0000000000000007E-2</v>
      </c>
      <c r="R66" s="1776"/>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776">
        <v>0.03</v>
      </c>
      <c r="R67" s="1776"/>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776">
        <v>0.03</v>
      </c>
      <c r="R68" s="1776"/>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776">
        <v>0</v>
      </c>
      <c r="R69" s="1776"/>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776">
        <v>0.1</v>
      </c>
      <c r="R71" s="1776"/>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776">
        <v>0.3</v>
      </c>
      <c r="R72" s="1776"/>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776">
        <v>0.25</v>
      </c>
      <c r="R73" s="1776"/>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776">
        <v>0.15</v>
      </c>
      <c r="R74" s="1776"/>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895" t="s">
        <v>1379</v>
      </c>
    </row>
    <row r="2" spans="1:6" ht="16.5">
      <c r="A2" s="896" t="str">
        <f>'Part I-Project Information'!F23</f>
        <v>North Lake Senior Village, LP</v>
      </c>
    </row>
    <row r="3" spans="1:6" ht="16.5">
      <c r="A3" s="896" t="str">
        <f>CONCATENATE('Part I-Project Information'!F26,", ", 'Part I-Project Information'!J27," County")</f>
        <v>Columbus, Muscogee County</v>
      </c>
    </row>
    <row r="4" spans="1:6" ht="12" customHeight="1"/>
    <row r="5" spans="1:6" ht="111" customHeight="1">
      <c r="A5" s="1067" t="s">
        <v>4156</v>
      </c>
      <c r="B5" s="1066" t="s">
        <v>3596</v>
      </c>
      <c r="C5" s="1066"/>
      <c r="D5" s="1066"/>
      <c r="E5" s="1066"/>
      <c r="F5" s="1066"/>
    </row>
    <row r="6" spans="1:6" ht="6.6" customHeight="1">
      <c r="A6" s="1067"/>
      <c r="B6" s="1066"/>
      <c r="C6" s="1066"/>
      <c r="D6" s="1066"/>
      <c r="E6" s="1066"/>
      <c r="F6" s="1066"/>
    </row>
    <row r="7" spans="1:6" ht="93" customHeight="1">
      <c r="A7" s="1067"/>
    </row>
    <row r="8" spans="1:6" ht="6.6" customHeight="1">
      <c r="A8" s="1067"/>
    </row>
    <row r="9" spans="1:6" ht="93" customHeight="1">
      <c r="A9" s="1067"/>
    </row>
    <row r="10" spans="1:6" ht="6.6" customHeight="1">
      <c r="A10" s="1067"/>
    </row>
    <row r="11" spans="1:6" ht="93" customHeight="1">
      <c r="A11" s="1067"/>
    </row>
    <row r="12" spans="1:6" ht="6.6" customHeight="1">
      <c r="A12" s="1067"/>
    </row>
    <row r="13" spans="1:6" ht="93" customHeight="1">
      <c r="A13" s="1067"/>
    </row>
    <row r="14" spans="1:6" ht="6.6" customHeight="1">
      <c r="A14" s="1067"/>
    </row>
    <row r="15" spans="1:6" ht="93" customHeight="1">
      <c r="A15" s="1067"/>
    </row>
    <row r="16" spans="1:6" ht="6.6" customHeight="1">
      <c r="A16" s="1067"/>
    </row>
    <row r="17" spans="1:1" ht="93" customHeight="1">
      <c r="A17" s="1067"/>
    </row>
    <row r="18" spans="1:1" ht="6.6" customHeight="1">
      <c r="A18" s="1067"/>
    </row>
    <row r="19" spans="1:1" ht="93" customHeight="1">
      <c r="A19" s="1067"/>
    </row>
    <row r="20" spans="1:1" ht="6.6" customHeight="1">
      <c r="A20" s="1067"/>
    </row>
    <row r="21" spans="1:1" ht="93" customHeight="1">
      <c r="A21" s="1067"/>
    </row>
    <row r="22" spans="1:1" ht="6.6" customHeight="1">
      <c r="A22" s="1067"/>
    </row>
    <row r="23" spans="1:1" ht="93" customHeight="1">
      <c r="A23" s="1067"/>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1126" t="str">
        <f>CONCATENATE("PART ONE - PROJECT INFORMATION"," - ",$O$4," ",$F$23,", ",'Part I-Project Information'!F26,", ",'Part I-Project Information'!J27," County")</f>
        <v>PART ONE - PROJECT INFORMATION - 2013-035 North Lake Senior Village, LP, Columbus, Muscogee County</v>
      </c>
      <c r="B1" s="1127"/>
      <c r="C1" s="1127"/>
      <c r="D1" s="1127"/>
      <c r="E1" s="1127"/>
      <c r="F1" s="1127"/>
      <c r="G1" s="1127"/>
      <c r="H1" s="1127"/>
      <c r="I1" s="1127"/>
      <c r="J1" s="1127"/>
      <c r="K1" s="1127"/>
      <c r="L1" s="1127"/>
      <c r="M1" s="1127"/>
      <c r="N1" s="1127"/>
      <c r="O1" s="1127"/>
      <c r="P1" s="1128"/>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1154" t="s">
        <v>3549</v>
      </c>
      <c r="P3" s="1154"/>
    </row>
    <row r="4" spans="1:16" s="386" customFormat="1" ht="12" customHeight="1" thickBot="1">
      <c r="A4" s="687"/>
      <c r="B4" s="389"/>
      <c r="C4" s="389"/>
      <c r="F4" s="390"/>
      <c r="G4" s="352" t="s">
        <v>569</v>
      </c>
      <c r="H4" s="792"/>
      <c r="I4" s="792"/>
      <c r="J4" s="792"/>
      <c r="O4" s="1130" t="s">
        <v>4174</v>
      </c>
      <c r="P4" s="1131"/>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1138">
        <f>'Part IV-Uses of Funds'!J172</f>
        <v>842060.7332054578</v>
      </c>
      <c r="K6" s="1139"/>
      <c r="M6" s="792"/>
    </row>
    <row r="7" spans="1:16" s="1" customFormat="1" ht="13.15" customHeight="1">
      <c r="A7" s="5"/>
      <c r="C7" s="5"/>
      <c r="D7" s="31"/>
      <c r="E7" s="481"/>
      <c r="F7" s="386" t="s">
        <v>1717</v>
      </c>
      <c r="J7" s="1144">
        <f>'Part III-Sources of Funds'!J5</f>
        <v>0</v>
      </c>
      <c r="K7" s="1145"/>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151" t="s">
        <v>4096</v>
      </c>
      <c r="G9" s="1152"/>
      <c r="H9" s="1153"/>
      <c r="I9" s="426"/>
      <c r="J9" s="773" t="s">
        <v>3966</v>
      </c>
      <c r="K9" s="398"/>
      <c r="L9" s="792"/>
      <c r="O9" s="1140" t="s">
        <v>4143</v>
      </c>
      <c r="P9" s="1141"/>
    </row>
    <row r="10" spans="1:16" s="386" customFormat="1" ht="12.75" customHeight="1">
      <c r="A10" s="687"/>
      <c r="B10" s="389"/>
      <c r="H10" s="792"/>
      <c r="J10" s="774" t="s">
        <v>3733</v>
      </c>
      <c r="K10" s="350"/>
      <c r="M10" s="792"/>
      <c r="O10" s="1142" t="s">
        <v>4067</v>
      </c>
      <c r="P10" s="1143"/>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073" t="s">
        <v>4064</v>
      </c>
      <c r="G14" s="1074"/>
      <c r="H14" s="1074"/>
      <c r="I14" s="1074"/>
      <c r="J14" s="1074"/>
      <c r="K14" s="1074"/>
      <c r="L14" s="1075"/>
      <c r="M14" s="778" t="s">
        <v>2691</v>
      </c>
      <c r="N14" s="1073" t="s">
        <v>2554</v>
      </c>
      <c r="O14" s="1074"/>
      <c r="P14" s="1075"/>
    </row>
    <row r="15" spans="1:16" s="386" customFormat="1" ht="13.15" customHeight="1">
      <c r="C15" s="392" t="s">
        <v>2692</v>
      </c>
      <c r="F15" s="1073" t="s">
        <v>4065</v>
      </c>
      <c r="G15" s="1074"/>
      <c r="H15" s="1074"/>
      <c r="I15" s="1074"/>
      <c r="J15" s="1074"/>
      <c r="K15" s="1074"/>
      <c r="L15" s="1075"/>
      <c r="M15" s="778" t="s">
        <v>2413</v>
      </c>
      <c r="O15" s="1087">
        <v>4042285483</v>
      </c>
      <c r="P15" s="1088"/>
    </row>
    <row r="16" spans="1:16" s="386" customFormat="1" ht="13.15" customHeight="1">
      <c r="C16" s="392" t="s">
        <v>798</v>
      </c>
      <c r="F16" s="1148" t="s">
        <v>1626</v>
      </c>
      <c r="G16" s="1149"/>
      <c r="H16" s="1150"/>
      <c r="M16" s="778" t="s">
        <v>2498</v>
      </c>
      <c r="O16" s="1117">
        <v>4043933275</v>
      </c>
      <c r="P16" s="1119"/>
    </row>
    <row r="17" spans="1:16" s="386" customFormat="1" ht="13.15" customHeight="1">
      <c r="C17" s="392" t="s">
        <v>2495</v>
      </c>
      <c r="F17" s="897" t="s">
        <v>1242</v>
      </c>
      <c r="I17" s="792" t="s">
        <v>2954</v>
      </c>
      <c r="J17" s="1102">
        <v>303423243</v>
      </c>
      <c r="K17" s="1122"/>
      <c r="M17" s="778" t="s">
        <v>2690</v>
      </c>
      <c r="O17" s="1117">
        <v>4042021357</v>
      </c>
      <c r="P17" s="1119"/>
    </row>
    <row r="18" spans="1:16" s="386" customFormat="1" ht="13.15" customHeight="1">
      <c r="B18" s="786"/>
      <c r="C18" s="392" t="s">
        <v>2412</v>
      </c>
      <c r="F18" s="1117">
        <v>4042285483</v>
      </c>
      <c r="G18" s="1118"/>
      <c r="H18" s="1119"/>
      <c r="I18" s="781" t="s">
        <v>2411</v>
      </c>
      <c r="J18" s="898"/>
      <c r="K18" s="792" t="s">
        <v>2695</v>
      </c>
      <c r="L18" s="1073" t="s">
        <v>4066</v>
      </c>
      <c r="M18" s="1074"/>
      <c r="N18" s="1074"/>
      <c r="O18" s="1074"/>
      <c r="P18" s="107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068" t="s">
        <v>4102</v>
      </c>
      <c r="G23" s="1132"/>
      <c r="H23" s="1132"/>
      <c r="I23" s="1132"/>
      <c r="J23" s="1132"/>
      <c r="K23" s="1132"/>
      <c r="L23" s="1069"/>
      <c r="M23" s="778" t="s">
        <v>2911</v>
      </c>
      <c r="O23" s="1073" t="s">
        <v>4067</v>
      </c>
      <c r="P23" s="1075"/>
    </row>
    <row r="24" spans="1:16" s="386" customFormat="1" ht="13.15" customHeight="1">
      <c r="A24" s="399"/>
      <c r="B24" s="389"/>
      <c r="C24" s="386" t="s">
        <v>3603</v>
      </c>
      <c r="D24" s="400"/>
      <c r="F24" s="1073" t="s">
        <v>4103</v>
      </c>
      <c r="G24" s="1074"/>
      <c r="H24" s="1074"/>
      <c r="I24" s="1074"/>
      <c r="J24" s="1074"/>
      <c r="K24" s="1074"/>
      <c r="L24" s="1075"/>
      <c r="M24" s="778" t="s">
        <v>2765</v>
      </c>
      <c r="O24" s="1073" t="s">
        <v>4067</v>
      </c>
      <c r="P24" s="1075"/>
    </row>
    <row r="25" spans="1:16" s="386" customFormat="1" ht="13.15" customHeight="1">
      <c r="A25" s="399"/>
      <c r="B25" s="389"/>
      <c r="C25" s="386" t="s">
        <v>3747</v>
      </c>
      <c r="D25" s="400"/>
      <c r="F25" s="1073"/>
      <c r="G25" s="1074"/>
      <c r="H25" s="1074"/>
      <c r="I25" s="1074"/>
      <c r="J25" s="1074"/>
      <c r="K25" s="1074"/>
      <c r="L25" s="1075"/>
      <c r="M25" s="778" t="s">
        <v>3748</v>
      </c>
      <c r="O25" s="1146"/>
      <c r="P25" s="1147"/>
    </row>
    <row r="26" spans="1:16" s="386" customFormat="1" ht="13.15" customHeight="1">
      <c r="A26" s="687"/>
      <c r="B26" s="389"/>
      <c r="C26" s="386" t="s">
        <v>798</v>
      </c>
      <c r="F26" s="1073" t="s">
        <v>177</v>
      </c>
      <c r="G26" s="1074"/>
      <c r="H26" s="1075"/>
      <c r="I26" s="404" t="s">
        <v>3604</v>
      </c>
      <c r="J26" s="1102">
        <v>319090000</v>
      </c>
      <c r="K26" s="1122"/>
      <c r="L26" s="472" t="str">
        <f>IF(AND(NOT(F23=""),NOT(F26="Select from list"),J26=""),"Enter Zip!","")</f>
        <v/>
      </c>
      <c r="M26" s="778" t="s">
        <v>3011</v>
      </c>
      <c r="O26" s="1133">
        <v>4.79</v>
      </c>
      <c r="P26" s="1134"/>
    </row>
    <row r="27" spans="1:16" s="386" customFormat="1" ht="13.15" customHeight="1">
      <c r="A27" s="687"/>
      <c r="B27" s="389"/>
      <c r="C27" s="1098" t="s">
        <v>2764</v>
      </c>
      <c r="D27" s="1098"/>
      <c r="F27" s="899" t="s">
        <v>4068</v>
      </c>
      <c r="I27" s="401" t="s">
        <v>799</v>
      </c>
      <c r="J27" s="1135" t="str">
        <f>IF($F$26="","",VLOOKUP($F$26,$N$177:$O$780,2,FALSE))</f>
        <v>Muscogee</v>
      </c>
      <c r="K27" s="1136"/>
      <c r="M27" s="402" t="s">
        <v>3023</v>
      </c>
      <c r="O27" s="1073">
        <v>102.05</v>
      </c>
      <c r="P27" s="1082"/>
    </row>
    <row r="28" spans="1:16" s="386" customFormat="1" ht="13.15" customHeight="1">
      <c r="A28" s="687"/>
      <c r="B28" s="389"/>
      <c r="C28" s="386" t="s">
        <v>2018</v>
      </c>
      <c r="F28" s="900" t="s">
        <v>4067</v>
      </c>
      <c r="H28" s="394" t="s">
        <v>3411</v>
      </c>
      <c r="I28" s="565" t="str">
        <f>VLOOKUP($J$27,$C$177:$F$336,4)</f>
        <v>MSA</v>
      </c>
      <c r="J28" s="1167" t="str">
        <f>IF($F$26="","",VLOOKUP($J$27,$C$177:$H$336,3,FALSE))</f>
        <v>Columbus</v>
      </c>
      <c r="K28" s="1168"/>
      <c r="L28" s="1169"/>
      <c r="M28" s="778" t="s">
        <v>578</v>
      </c>
      <c r="N28" s="901" t="s">
        <v>4067</v>
      </c>
      <c r="O28" s="394" t="s">
        <v>579</v>
      </c>
      <c r="P28" s="901" t="s">
        <v>4067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1137" t="s">
        <v>3957</v>
      </c>
      <c r="G30" s="1137"/>
      <c r="H30" s="1129" t="s">
        <v>1041</v>
      </c>
      <c r="I30" s="1129"/>
      <c r="J30" s="1129" t="s">
        <v>1042</v>
      </c>
      <c r="K30" s="1129"/>
      <c r="L30" s="764" t="s">
        <v>3605</v>
      </c>
    </row>
    <row r="31" spans="1:16" s="386" customFormat="1" ht="13.15" customHeight="1">
      <c r="A31" s="687"/>
      <c r="B31" s="389"/>
      <c r="C31" s="386" t="s">
        <v>3956</v>
      </c>
      <c r="D31" s="389"/>
      <c r="F31" s="1080">
        <v>3</v>
      </c>
      <c r="G31" s="1081"/>
      <c r="H31" s="1080">
        <v>29</v>
      </c>
      <c r="I31" s="1081"/>
      <c r="J31" s="1080">
        <v>134</v>
      </c>
      <c r="K31" s="1081"/>
      <c r="L31" s="760" t="s">
        <v>1709</v>
      </c>
      <c r="N31" s="1083" t="s">
        <v>1710</v>
      </c>
      <c r="O31" s="1083"/>
      <c r="P31" s="1083"/>
    </row>
    <row r="32" spans="1:16" s="386" customFormat="1" ht="12.75" customHeight="1">
      <c r="A32" s="687"/>
      <c r="B32" s="389"/>
      <c r="C32" s="392" t="s">
        <v>1043</v>
      </c>
      <c r="F32" s="1080"/>
      <c r="G32" s="1081"/>
      <c r="H32" s="1080"/>
      <c r="I32" s="1081"/>
      <c r="J32" s="1080"/>
      <c r="K32" s="1081"/>
      <c r="L32" s="760" t="s">
        <v>3955</v>
      </c>
      <c r="N32" s="1084" t="s">
        <v>3953</v>
      </c>
      <c r="O32" s="1084"/>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076" t="s">
        <v>4104</v>
      </c>
      <c r="G34" s="1077"/>
      <c r="H34" s="1077"/>
      <c r="I34" s="1077"/>
      <c r="J34" s="1078"/>
      <c r="K34" s="1079"/>
      <c r="M34" s="749" t="s">
        <v>3621</v>
      </c>
      <c r="N34" s="1099" t="s">
        <v>4107</v>
      </c>
      <c r="O34" s="1100"/>
      <c r="P34" s="1101"/>
    </row>
    <row r="35" spans="1:19" s="386" customFormat="1" ht="13.15" customHeight="1">
      <c r="A35" s="687"/>
      <c r="B35" s="687"/>
      <c r="C35" s="386" t="s">
        <v>818</v>
      </c>
      <c r="F35" s="1070" t="s">
        <v>4105</v>
      </c>
      <c r="G35" s="1071"/>
      <c r="H35" s="1072"/>
      <c r="I35" s="782" t="s">
        <v>2691</v>
      </c>
      <c r="J35" s="1099" t="s">
        <v>4095</v>
      </c>
      <c r="K35" s="1100"/>
      <c r="L35" s="1101"/>
      <c r="M35" s="392" t="s">
        <v>2496</v>
      </c>
      <c r="N35" s="1070" t="s">
        <v>4108</v>
      </c>
      <c r="O35" s="1071"/>
      <c r="P35" s="1072"/>
    </row>
    <row r="36" spans="1:19" s="386" customFormat="1" ht="13.15" customHeight="1">
      <c r="A36" s="687"/>
      <c r="B36" s="687"/>
      <c r="C36" s="386" t="s">
        <v>2692</v>
      </c>
      <c r="F36" s="1070" t="s">
        <v>4106</v>
      </c>
      <c r="G36" s="1071"/>
      <c r="H36" s="1071"/>
      <c r="I36" s="1071"/>
      <c r="J36" s="1177"/>
      <c r="K36" s="1178"/>
      <c r="M36" s="424" t="s">
        <v>798</v>
      </c>
      <c r="N36" s="1099" t="s">
        <v>177</v>
      </c>
      <c r="O36" s="1100"/>
      <c r="P36" s="1101"/>
    </row>
    <row r="37" spans="1:19" s="386" customFormat="1" ht="13.15" customHeight="1">
      <c r="A37" s="687"/>
      <c r="B37" s="687"/>
      <c r="C37" s="778" t="s">
        <v>2954</v>
      </c>
      <c r="F37" s="1085">
        <v>319012736</v>
      </c>
      <c r="G37" s="1086"/>
      <c r="H37" s="781" t="s">
        <v>2693</v>
      </c>
      <c r="I37" s="1095">
        <v>7066534712</v>
      </c>
      <c r="J37" s="1096"/>
      <c r="K37" s="1097"/>
      <c r="M37" s="392" t="s">
        <v>2498</v>
      </c>
      <c r="N37" s="1174">
        <v>7066534970</v>
      </c>
      <c r="O37" s="1175"/>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898" t="s">
        <v>4067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70</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902"/>
      <c r="Q46" s="792"/>
    </row>
    <row r="47" spans="1:19" s="386" customFormat="1" ht="3.6" customHeight="1">
      <c r="A47" s="687"/>
      <c r="P47" s="786"/>
    </row>
    <row r="48" spans="1:19" s="386" customFormat="1" ht="13.15" customHeight="1">
      <c r="A48" s="687"/>
      <c r="B48" s="399" t="s">
        <v>1054</v>
      </c>
      <c r="C48" s="398" t="s">
        <v>3004</v>
      </c>
      <c r="D48" s="786"/>
      <c r="I48" s="1160"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70</v>
      </c>
      <c r="I49" s="1161"/>
      <c r="J49" s="687"/>
      <c r="K49" s="396" t="s">
        <v>3032</v>
      </c>
      <c r="M49" s="786"/>
      <c r="N49" s="786"/>
      <c r="O49" s="786"/>
      <c r="P49" s="410">
        <f>'Part VI-Revenues &amp; Expenses'!$M$96</f>
        <v>63700</v>
      </c>
    </row>
    <row r="50" spans="1:16" s="386" customFormat="1" ht="13.15" customHeight="1">
      <c r="A50" s="687"/>
      <c r="B50" s="406"/>
      <c r="D50" s="411" t="s">
        <v>419</v>
      </c>
      <c r="E50" s="411"/>
      <c r="H50" s="410">
        <f>'Part VI-Revenues &amp; Expenses'!$M$57</f>
        <v>13</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57</v>
      </c>
      <c r="I51" s="410">
        <f>'Part VI-Revenues &amp; Expenses'!$M$64</f>
        <v>0</v>
      </c>
      <c r="K51" s="396" t="s">
        <v>3033</v>
      </c>
      <c r="M51" s="786"/>
      <c r="N51" s="786"/>
      <c r="O51" s="786"/>
      <c r="P51" s="410">
        <f>+P49+P50</f>
        <v>63700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70</v>
      </c>
      <c r="J53" s="687"/>
      <c r="K53" s="396" t="s">
        <v>1861</v>
      </c>
      <c r="M53" s="786"/>
      <c r="N53" s="786"/>
      <c r="O53" s="786"/>
      <c r="P53" s="410">
        <f>+P51+P52</f>
        <v>63700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70</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903">
        <v>1</v>
      </c>
      <c r="K57" s="396" t="s">
        <v>1536</v>
      </c>
      <c r="O57" s="786"/>
      <c r="P57" s="903">
        <v>15000</v>
      </c>
    </row>
    <row r="58" spans="1:16" s="386" customFormat="1" ht="13.15" customHeight="1">
      <c r="A58" s="687"/>
      <c r="B58" s="687"/>
      <c r="D58" s="783" t="s">
        <v>2709</v>
      </c>
      <c r="H58" s="903"/>
      <c r="I58" s="786"/>
      <c r="K58" s="396" t="s">
        <v>276</v>
      </c>
      <c r="O58" s="786"/>
      <c r="P58" s="410">
        <f>+P53+P57</f>
        <v>78700</v>
      </c>
    </row>
    <row r="59" spans="1:16" s="386" customFormat="1" ht="13.15" customHeight="1">
      <c r="A59" s="687"/>
      <c r="B59" s="687"/>
      <c r="D59" s="783" t="s">
        <v>2710</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903">
        <v>138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3595</v>
      </c>
      <c r="D65" s="779"/>
      <c r="E65" s="779"/>
      <c r="F65" s="786"/>
      <c r="G65" s="792"/>
      <c r="H65" s="1093" t="s">
        <v>4109</v>
      </c>
      <c r="I65" s="1094"/>
      <c r="K65" s="1098" t="s">
        <v>2467</v>
      </c>
      <c r="L65" s="1098"/>
      <c r="N65" s="1073"/>
      <c r="O65" s="1074"/>
      <c r="P65" s="107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903">
        <v>4</v>
      </c>
      <c r="K67" s="1098" t="s">
        <v>687</v>
      </c>
      <c r="L67" s="1098"/>
      <c r="P67" s="414">
        <f>IF('Part VI-Revenues &amp; Expenses'!$M$62=0,0,$H67/'Part VI-Revenues &amp; Expenses'!$M$62)</f>
        <v>5.7142857142857141E-2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903">
        <v>2</v>
      </c>
      <c r="K69" s="1098" t="s">
        <v>687</v>
      </c>
      <c r="L69" s="1098"/>
      <c r="P69" s="414">
        <f>IF('Part VI-Revenues &amp; Expenses'!$M$62=0,0,$H69/'Part VI-Revenues &amp; Expenses'!$M$62)</f>
        <v>2.8571428571428571E-2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903"/>
      <c r="K71" s="1098" t="s">
        <v>687</v>
      </c>
      <c r="L71" s="1098"/>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171" t="s">
        <v>1264</v>
      </c>
      <c r="I75" s="1172"/>
      <c r="J75" s="1173"/>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898"/>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3639</v>
      </c>
      <c r="F81" s="411" t="s">
        <v>3398</v>
      </c>
      <c r="H81" s="898" t="s">
        <v>4067</v>
      </c>
      <c r="I81" s="394" t="s">
        <v>3397</v>
      </c>
      <c r="J81" s="898" t="s">
        <v>4067</v>
      </c>
      <c r="L81" s="394" t="s">
        <v>565</v>
      </c>
      <c r="M81" s="898"/>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3640</v>
      </c>
      <c r="F83" s="778" t="s">
        <v>3534</v>
      </c>
      <c r="H83" s="898" t="s">
        <v>4067</v>
      </c>
      <c r="I83" s="672" t="s">
        <v>3641</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073"/>
      <c r="F88" s="1074"/>
      <c r="G88" s="1074"/>
      <c r="H88" s="1074"/>
      <c r="I88" s="1074"/>
      <c r="J88" s="1074"/>
      <c r="K88" s="1074"/>
      <c r="L88" s="1075"/>
      <c r="M88" s="1170" t="s">
        <v>720</v>
      </c>
      <c r="N88" s="1170"/>
      <c r="O88" s="1106"/>
      <c r="P88" s="1107"/>
    </row>
    <row r="89" spans="1:16" s="386" customFormat="1" ht="13.15" customHeight="1">
      <c r="C89" s="392" t="s">
        <v>1424</v>
      </c>
      <c r="D89" s="400"/>
      <c r="E89" s="1073"/>
      <c r="F89" s="1074"/>
      <c r="G89" s="1074"/>
      <c r="H89" s="1074"/>
      <c r="I89" s="1074"/>
      <c r="J89" s="1074"/>
      <c r="K89" s="1074"/>
      <c r="L89" s="1075"/>
      <c r="M89" s="1170" t="s">
        <v>1201</v>
      </c>
      <c r="N89" s="1170"/>
      <c r="O89" s="1068"/>
      <c r="P89" s="1069"/>
    </row>
    <row r="90" spans="1:16" s="386" customFormat="1" ht="13.15" customHeight="1">
      <c r="C90" s="392" t="s">
        <v>798</v>
      </c>
      <c r="E90" s="1073"/>
      <c r="F90" s="1091"/>
      <c r="G90" s="1092"/>
      <c r="H90" s="781" t="s">
        <v>2495</v>
      </c>
      <c r="I90" s="898"/>
      <c r="J90" s="417" t="s">
        <v>2954</v>
      </c>
      <c r="K90" s="1102"/>
      <c r="L90" s="1092"/>
      <c r="M90" s="353"/>
      <c r="N90" s="353"/>
      <c r="O90" s="353"/>
      <c r="P90" s="353"/>
    </row>
    <row r="91" spans="1:16" s="386" customFormat="1" ht="13.15" customHeight="1">
      <c r="C91" s="386" t="s">
        <v>2913</v>
      </c>
      <c r="E91" s="1073"/>
      <c r="F91" s="1091"/>
      <c r="G91" s="1092"/>
      <c r="H91" s="792" t="s">
        <v>2691</v>
      </c>
      <c r="I91" s="1073"/>
      <c r="J91" s="1091"/>
      <c r="K91" s="1092"/>
      <c r="L91" s="799" t="s">
        <v>2695</v>
      </c>
      <c r="M91" s="1073"/>
      <c r="N91" s="1091"/>
      <c r="O91" s="1091"/>
      <c r="P91" s="1092"/>
    </row>
    <row r="92" spans="1:16" s="386" customFormat="1" ht="13.15" customHeight="1">
      <c r="C92" s="392" t="s">
        <v>2912</v>
      </c>
      <c r="E92" s="1117"/>
      <c r="F92" s="1118"/>
      <c r="G92" s="1119"/>
      <c r="H92" s="792" t="s">
        <v>2498</v>
      </c>
      <c r="I92" s="1095"/>
      <c r="J92" s="1092"/>
      <c r="K92" s="417" t="s">
        <v>2499</v>
      </c>
      <c r="L92" s="1095"/>
      <c r="M92" s="1092"/>
      <c r="N92" s="417" t="s">
        <v>2690</v>
      </c>
      <c r="O92" s="1095"/>
      <c r="P92" s="1092"/>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904">
        <v>3</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905">
        <v>2093215</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123" t="s">
        <v>4069</v>
      </c>
      <c r="D104" s="1120"/>
      <c r="E104" s="1120"/>
      <c r="F104" s="1120" t="s">
        <v>4144</v>
      </c>
      <c r="G104" s="1120"/>
      <c r="H104" s="1120"/>
      <c r="I104" s="1121"/>
      <c r="J104" s="1089">
        <v>6</v>
      </c>
      <c r="K104" s="1090"/>
      <c r="L104" s="1090"/>
      <c r="M104" s="1090"/>
      <c r="N104" s="1090"/>
      <c r="O104" s="1090"/>
      <c r="P104" s="1114"/>
    </row>
    <row r="105" spans="1:16" s="386" customFormat="1" ht="13.15" customHeight="1">
      <c r="A105" s="687"/>
      <c r="B105" s="687"/>
      <c r="C105" s="1123" t="s">
        <v>4069</v>
      </c>
      <c r="D105" s="1120"/>
      <c r="E105" s="1120"/>
      <c r="F105" s="1120" t="s">
        <v>4070</v>
      </c>
      <c r="G105" s="1120"/>
      <c r="H105" s="1120"/>
      <c r="I105" s="1121"/>
      <c r="J105" s="1123">
        <v>7</v>
      </c>
      <c r="K105" s="1120"/>
      <c r="L105" s="1120"/>
      <c r="M105" s="1120"/>
      <c r="N105" s="1120"/>
      <c r="O105" s="1120"/>
      <c r="P105" s="1121"/>
    </row>
    <row r="106" spans="1:16" s="386" customFormat="1" ht="13.15" customHeight="1">
      <c r="A106" s="687"/>
      <c r="B106" s="687"/>
      <c r="C106" s="1123"/>
      <c r="D106" s="1120"/>
      <c r="E106" s="1120"/>
      <c r="F106" s="1120"/>
      <c r="G106" s="1120"/>
      <c r="H106" s="1120"/>
      <c r="I106" s="1121"/>
      <c r="J106" s="1123">
        <v>8</v>
      </c>
      <c r="K106" s="1120"/>
      <c r="L106" s="1120"/>
      <c r="M106" s="1120"/>
      <c r="N106" s="1120"/>
      <c r="O106" s="1120"/>
      <c r="P106" s="1121"/>
    </row>
    <row r="107" spans="1:16" s="386" customFormat="1" ht="13.15" customHeight="1">
      <c r="A107" s="687"/>
      <c r="B107" s="687"/>
      <c r="C107" s="1123">
        <v>4</v>
      </c>
      <c r="D107" s="1120"/>
      <c r="E107" s="1120"/>
      <c r="F107" s="1120"/>
      <c r="G107" s="1120"/>
      <c r="H107" s="1120"/>
      <c r="I107" s="1121"/>
      <c r="J107" s="1123">
        <v>9</v>
      </c>
      <c r="K107" s="1120"/>
      <c r="L107" s="1120"/>
      <c r="M107" s="1120"/>
      <c r="N107" s="1120"/>
      <c r="O107" s="1120"/>
      <c r="P107" s="1121"/>
    </row>
    <row r="108" spans="1:16" s="386" customFormat="1" ht="13.15" customHeight="1">
      <c r="A108" s="687"/>
      <c r="B108" s="687"/>
      <c r="C108" s="1176">
        <v>5</v>
      </c>
      <c r="D108" s="1164"/>
      <c r="E108" s="1164"/>
      <c r="F108" s="1164"/>
      <c r="G108" s="1164"/>
      <c r="H108" s="1164"/>
      <c r="I108" s="1165"/>
      <c r="J108" s="1176">
        <v>10</v>
      </c>
      <c r="K108" s="1164"/>
      <c r="L108" s="1164"/>
      <c r="M108" s="1164"/>
      <c r="N108" s="1164"/>
      <c r="O108" s="1164"/>
      <c r="P108" s="116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1166" t="s">
        <v>2551</v>
      </c>
      <c r="D110" s="1166"/>
      <c r="E110" s="1166"/>
      <c r="F110" s="1166"/>
      <c r="G110" s="1166"/>
      <c r="H110" s="1166"/>
      <c r="I110" s="1166"/>
      <c r="J110" s="1166"/>
      <c r="K110" s="1166"/>
      <c r="L110" s="1166"/>
      <c r="M110" s="1166"/>
      <c r="N110" s="1166"/>
      <c r="O110" s="1166"/>
      <c r="P110" s="1166"/>
    </row>
    <row r="111" spans="1:16" s="386" customFormat="1" ht="13.15" customHeight="1">
      <c r="A111" s="687"/>
      <c r="B111" s="687"/>
      <c r="C111" s="1166"/>
      <c r="D111" s="1166"/>
      <c r="E111" s="1166"/>
      <c r="F111" s="1166"/>
      <c r="G111" s="1166"/>
      <c r="H111" s="1166"/>
      <c r="I111" s="1166"/>
      <c r="J111" s="1166"/>
      <c r="K111" s="1166"/>
      <c r="L111" s="1166"/>
      <c r="M111" s="1166"/>
      <c r="N111" s="1166"/>
      <c r="O111" s="1166"/>
      <c r="P111" s="1166"/>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089">
        <v>1</v>
      </c>
      <c r="D113" s="1090"/>
      <c r="E113" s="1090"/>
      <c r="F113" s="1090"/>
      <c r="G113" s="1090"/>
      <c r="H113" s="1090"/>
      <c r="I113" s="1114"/>
      <c r="J113" s="1089">
        <v>6</v>
      </c>
      <c r="K113" s="1090"/>
      <c r="L113" s="1090"/>
      <c r="M113" s="1090"/>
      <c r="N113" s="1090"/>
      <c r="O113" s="1090"/>
      <c r="P113" s="1114"/>
    </row>
    <row r="114" spans="1:16" s="386" customFormat="1" ht="13.15" customHeight="1">
      <c r="A114" s="687"/>
      <c r="B114" s="687"/>
      <c r="C114" s="1123">
        <v>2</v>
      </c>
      <c r="D114" s="1120"/>
      <c r="E114" s="1120"/>
      <c r="F114" s="1120"/>
      <c r="G114" s="1120"/>
      <c r="H114" s="1120"/>
      <c r="I114" s="1121"/>
      <c r="J114" s="1123">
        <v>7</v>
      </c>
      <c r="K114" s="1120"/>
      <c r="L114" s="1120"/>
      <c r="M114" s="1120"/>
      <c r="N114" s="1120"/>
      <c r="O114" s="1120"/>
      <c r="P114" s="1121"/>
    </row>
    <row r="115" spans="1:16" s="386" customFormat="1" ht="13.15" customHeight="1">
      <c r="A115" s="687"/>
      <c r="B115" s="687"/>
      <c r="C115" s="1123">
        <v>3</v>
      </c>
      <c r="D115" s="1120"/>
      <c r="E115" s="1120"/>
      <c r="F115" s="1120"/>
      <c r="G115" s="1120"/>
      <c r="H115" s="1120"/>
      <c r="I115" s="1121"/>
      <c r="J115" s="1123">
        <v>8</v>
      </c>
      <c r="K115" s="1120"/>
      <c r="L115" s="1120"/>
      <c r="M115" s="1120"/>
      <c r="N115" s="1120"/>
      <c r="O115" s="1120"/>
      <c r="P115" s="1121"/>
    </row>
    <row r="116" spans="1:16" s="386" customFormat="1" ht="13.15" customHeight="1">
      <c r="A116" s="687"/>
      <c r="B116" s="687"/>
      <c r="C116" s="1123">
        <v>4</v>
      </c>
      <c r="D116" s="1120"/>
      <c r="E116" s="1120"/>
      <c r="F116" s="1120"/>
      <c r="G116" s="1120"/>
      <c r="H116" s="1120"/>
      <c r="I116" s="1121"/>
      <c r="J116" s="1123">
        <v>9</v>
      </c>
      <c r="K116" s="1120"/>
      <c r="L116" s="1120"/>
      <c r="M116" s="1120"/>
      <c r="N116" s="1120"/>
      <c r="O116" s="1120"/>
      <c r="P116" s="1121"/>
    </row>
    <row r="117" spans="1:16" s="386" customFormat="1" ht="13.15" customHeight="1">
      <c r="A117" s="687"/>
      <c r="B117" s="687"/>
      <c r="C117" s="1176">
        <v>5</v>
      </c>
      <c r="D117" s="1164"/>
      <c r="E117" s="1164"/>
      <c r="F117" s="1164"/>
      <c r="G117" s="1164"/>
      <c r="H117" s="1164"/>
      <c r="I117" s="1165"/>
      <c r="J117" s="1176">
        <v>10</v>
      </c>
      <c r="K117" s="1164"/>
      <c r="L117" s="1164"/>
      <c r="M117" s="1164"/>
      <c r="N117" s="1164"/>
      <c r="O117" s="1164"/>
      <c r="P117" s="1165"/>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898"/>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898"/>
      <c r="M121" s="792"/>
      <c r="N121" s="786"/>
      <c r="O121" s="786"/>
      <c r="P121" s="397"/>
    </row>
    <row r="122" spans="1:16" s="386" customFormat="1" ht="13.15" customHeight="1">
      <c r="A122" s="687"/>
      <c r="B122" s="687"/>
      <c r="C122" s="783" t="s">
        <v>3187</v>
      </c>
      <c r="D122" s="783"/>
      <c r="E122" s="783"/>
      <c r="F122" s="792"/>
      <c r="H122" s="906"/>
      <c r="N122" s="786"/>
      <c r="O122" s="786"/>
      <c r="P122" s="397"/>
    </row>
    <row r="123" spans="1:16" s="386" customFormat="1" ht="13.15" customHeight="1">
      <c r="A123" s="687"/>
      <c r="B123" s="687"/>
      <c r="C123" s="420" t="s">
        <v>2402</v>
      </c>
      <c r="D123" s="392"/>
      <c r="H123" s="1073"/>
      <c r="I123" s="1075"/>
      <c r="P123" s="397"/>
    </row>
    <row r="124" spans="1:16" s="386" customFormat="1" ht="13.15" customHeight="1">
      <c r="A124" s="687"/>
      <c r="B124" s="687"/>
      <c r="C124" s="783" t="s">
        <v>3188</v>
      </c>
      <c r="D124" s="783"/>
      <c r="E124" s="783"/>
      <c r="F124" s="792"/>
      <c r="H124" s="906"/>
      <c r="K124" s="353" t="s">
        <v>2973</v>
      </c>
      <c r="O124" s="1073" t="s">
        <v>617</v>
      </c>
      <c r="P124" s="1075"/>
    </row>
    <row r="125" spans="1:16" s="386" customFormat="1" ht="13.15" customHeight="1">
      <c r="A125" s="687"/>
      <c r="B125" s="687"/>
      <c r="C125" s="783" t="s">
        <v>3186</v>
      </c>
      <c r="F125" s="792"/>
      <c r="H125" s="904"/>
      <c r="K125" s="353" t="s">
        <v>2974</v>
      </c>
      <c r="O125" s="1073" t="s">
        <v>617</v>
      </c>
      <c r="P125" s="1075"/>
    </row>
    <row r="126" spans="1:16" s="386" customFormat="1" ht="13.15" customHeight="1">
      <c r="A126" s="687"/>
      <c r="B126" s="687"/>
      <c r="C126" s="783" t="s">
        <v>2884</v>
      </c>
      <c r="D126" s="783"/>
      <c r="E126" s="783"/>
      <c r="F126" s="792"/>
      <c r="H126" s="1106"/>
      <c r="I126" s="1107"/>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904"/>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3606</v>
      </c>
      <c r="D130" s="783"/>
      <c r="E130" s="783"/>
      <c r="F130" s="792"/>
      <c r="G130" s="792"/>
      <c r="N130" s="786"/>
      <c r="O130" s="786"/>
      <c r="P130" s="397"/>
    </row>
    <row r="131" spans="1:16" s="386" customFormat="1" ht="13.15" customHeight="1">
      <c r="A131" s="687"/>
      <c r="B131" s="687"/>
      <c r="C131" s="783" t="s">
        <v>911</v>
      </c>
      <c r="D131" s="783"/>
      <c r="E131" s="783"/>
      <c r="F131" s="792"/>
      <c r="G131" s="792"/>
      <c r="H131" s="904"/>
      <c r="K131" s="783" t="s">
        <v>1992</v>
      </c>
      <c r="L131" s="783"/>
      <c r="M131" s="792"/>
      <c r="N131" s="792"/>
      <c r="O131" s="904"/>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904" t="s">
        <v>4067</v>
      </c>
      <c r="N136" s="786"/>
      <c r="O136" s="786"/>
      <c r="P136" s="397"/>
    </row>
    <row r="137" spans="1:16" s="386" customFormat="1" ht="12.6" customHeight="1">
      <c r="A137" s="687"/>
      <c r="B137" s="687"/>
      <c r="C137" s="386" t="s">
        <v>795</v>
      </c>
      <c r="K137" s="903"/>
      <c r="L137" s="392" t="s">
        <v>2491</v>
      </c>
      <c r="P137" s="421">
        <f>IF('Part VI-Revenues &amp; Expenses'!$M$60=0,0,$K137/'Part VI-Revenues &amp; Expenses'!$M$60)</f>
        <v>0</v>
      </c>
    </row>
    <row r="138" spans="1:16" s="386" customFormat="1" ht="12.6" customHeight="1">
      <c r="A138" s="687"/>
      <c r="B138" s="687"/>
      <c r="C138" s="386" t="s">
        <v>2885</v>
      </c>
      <c r="K138" s="903"/>
      <c r="L138" s="392" t="s">
        <v>2491</v>
      </c>
      <c r="P138" s="421">
        <f>IF('Part VI-Revenues &amp; Expenses'!$M$60=0,0,$K138/'Part VI-Revenues &amp; Expenses'!$M$60)</f>
        <v>0</v>
      </c>
    </row>
    <row r="139" spans="1:16" s="386" customFormat="1" ht="12.6" customHeight="1">
      <c r="A139" s="687"/>
      <c r="B139" s="687"/>
      <c r="C139" s="386" t="s">
        <v>2492</v>
      </c>
      <c r="E139" s="1073"/>
      <c r="F139" s="1074"/>
      <c r="G139" s="1074"/>
      <c r="H139" s="1074"/>
      <c r="I139" s="1074"/>
      <c r="J139" s="1074"/>
      <c r="K139" s="1075"/>
      <c r="L139" s="422" t="s">
        <v>2493</v>
      </c>
      <c r="M139" s="1073"/>
      <c r="N139" s="1074"/>
      <c r="O139" s="1074"/>
      <c r="P139" s="1075"/>
    </row>
    <row r="140" spans="1:16" s="386" customFormat="1" ht="12.6" customHeight="1">
      <c r="A140" s="687"/>
      <c r="B140" s="687"/>
      <c r="C140" s="392" t="s">
        <v>2494</v>
      </c>
      <c r="D140" s="400"/>
      <c r="E140" s="1073"/>
      <c r="F140" s="1074"/>
      <c r="G140" s="1074"/>
      <c r="H140" s="1074"/>
      <c r="I140" s="1074"/>
      <c r="J140" s="1074"/>
      <c r="K140" s="1179"/>
      <c r="L140" s="778" t="s">
        <v>2496</v>
      </c>
      <c r="M140" s="1068"/>
      <c r="N140" s="1132"/>
      <c r="O140" s="1132"/>
      <c r="P140" s="1069"/>
    </row>
    <row r="141" spans="1:16" s="386" customFormat="1" ht="12.6" customHeight="1">
      <c r="A141" s="687"/>
      <c r="B141" s="687"/>
      <c r="C141" s="392" t="s">
        <v>798</v>
      </c>
      <c r="E141" s="1073"/>
      <c r="F141" s="1074"/>
      <c r="G141" s="1074"/>
      <c r="H141" s="1075"/>
      <c r="I141" s="417" t="s">
        <v>2954</v>
      </c>
      <c r="J141" s="1102"/>
      <c r="K141" s="1122"/>
      <c r="L141" s="422" t="s">
        <v>2499</v>
      </c>
      <c r="M141" s="1117"/>
      <c r="N141" s="1118"/>
      <c r="O141" s="1119"/>
    </row>
    <row r="142" spans="1:16" s="386" customFormat="1" ht="12.6" customHeight="1">
      <c r="A142" s="687"/>
      <c r="B142" s="687"/>
      <c r="C142" s="392" t="s">
        <v>2497</v>
      </c>
      <c r="E142" s="1117"/>
      <c r="F142" s="1118"/>
      <c r="G142" s="1119"/>
      <c r="H142" s="423" t="s">
        <v>2498</v>
      </c>
      <c r="I142" s="1117"/>
      <c r="J142" s="1118"/>
      <c r="K142" s="1119"/>
      <c r="L142" s="424" t="s">
        <v>2690</v>
      </c>
      <c r="M142" s="1117"/>
      <c r="N142" s="1118"/>
      <c r="O142" s="1119"/>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3619</v>
      </c>
      <c r="D144" s="779"/>
      <c r="E144" s="779"/>
      <c r="F144" s="779"/>
      <c r="G144" s="779"/>
      <c r="I144" s="904"/>
      <c r="J144" s="1158" t="s">
        <v>1067</v>
      </c>
      <c r="K144" s="1159"/>
      <c r="L144" s="904"/>
      <c r="M144" s="1155" t="s">
        <v>3057</v>
      </c>
      <c r="N144" s="1156"/>
      <c r="O144" s="1157"/>
      <c r="P144" s="906"/>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3620</v>
      </c>
      <c r="D146" s="779"/>
      <c r="E146" s="779"/>
      <c r="F146" s="779"/>
      <c r="G146" s="779"/>
      <c r="I146" s="904" t="s">
        <v>4068</v>
      </c>
      <c r="J146" s="1158" t="s">
        <v>1067</v>
      </c>
      <c r="K146" s="1159"/>
      <c r="L146" s="904">
        <v>2035</v>
      </c>
      <c r="M146" s="1155" t="s">
        <v>3057</v>
      </c>
      <c r="N146" s="1156"/>
      <c r="O146" s="1157"/>
      <c r="P146" s="906">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904" t="s">
        <v>4067</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1116" t="s">
        <v>2689</v>
      </c>
      <c r="D150" s="1116"/>
      <c r="E150" s="1116"/>
      <c r="F150" s="1116"/>
      <c r="G150" s="779"/>
      <c r="I150" s="904" t="s">
        <v>4067</v>
      </c>
      <c r="J150" s="428" t="s">
        <v>3938</v>
      </c>
      <c r="L150" s="1115" t="s">
        <v>1924</v>
      </c>
      <c r="M150" s="1115"/>
      <c r="N150" s="779"/>
      <c r="O150" s="779"/>
      <c r="P150" s="907"/>
    </row>
    <row r="151" spans="1:16" s="386" customFormat="1" ht="12.6" customHeight="1">
      <c r="B151" s="687"/>
      <c r="L151" s="1098" t="s">
        <v>1190</v>
      </c>
      <c r="M151" s="1098"/>
      <c r="N151" s="779"/>
      <c r="O151" s="779"/>
      <c r="P151" s="907"/>
    </row>
    <row r="152" spans="1:16" s="386" customFormat="1" ht="12.6" customHeight="1">
      <c r="A152" s="687"/>
      <c r="B152" s="687"/>
      <c r="L152" s="1098" t="s">
        <v>2487</v>
      </c>
      <c r="M152" s="1098"/>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904"/>
      <c r="L154" s="786" t="s">
        <v>3673</v>
      </c>
      <c r="M154" s="786"/>
      <c r="P154" s="904"/>
    </row>
    <row r="155" spans="1:16" s="386" customFormat="1" ht="12.6" customHeight="1">
      <c r="A155" s="687"/>
      <c r="B155" s="687"/>
      <c r="C155" s="786" t="s">
        <v>2936</v>
      </c>
      <c r="I155" s="904"/>
      <c r="L155" s="786" t="s">
        <v>2076</v>
      </c>
      <c r="M155" s="786"/>
      <c r="N155" s="786"/>
      <c r="P155" s="904" t="s">
        <v>4068</v>
      </c>
    </row>
    <row r="156" spans="1:16" s="386" customFormat="1" ht="12.6" customHeight="1">
      <c r="A156" s="687"/>
      <c r="C156" s="786" t="s">
        <v>3672</v>
      </c>
      <c r="I156" s="904"/>
      <c r="L156" s="786" t="s">
        <v>1995</v>
      </c>
      <c r="M156" s="786"/>
      <c r="N156" s="786"/>
      <c r="P156" s="904"/>
    </row>
    <row r="157" spans="1:16" s="386" customFormat="1" ht="12.6" customHeight="1">
      <c r="A157" s="687"/>
      <c r="B157" s="687"/>
      <c r="C157" s="786" t="s">
        <v>1716</v>
      </c>
      <c r="D157" s="429"/>
      <c r="I157" s="904"/>
      <c r="K157" s="398"/>
      <c r="L157" s="786" t="s">
        <v>3591</v>
      </c>
      <c r="N157" s="1162"/>
      <c r="O157" s="1163"/>
      <c r="P157" s="904"/>
    </row>
    <row r="158" spans="1:16" s="386" customFormat="1" ht="12.6" customHeight="1">
      <c r="A158" s="687"/>
      <c r="B158" s="389"/>
      <c r="C158" s="786" t="s">
        <v>2506</v>
      </c>
      <c r="I158" s="904"/>
      <c r="J158" s="428" t="s">
        <v>3939</v>
      </c>
      <c r="O158" s="1124"/>
      <c r="P158" s="1125"/>
    </row>
    <row r="159" spans="1:16" s="386" customFormat="1" ht="12.6" customHeight="1">
      <c r="A159" s="687"/>
      <c r="B159" s="687"/>
      <c r="C159" s="786" t="s">
        <v>3671</v>
      </c>
      <c r="I159" s="904"/>
      <c r="J159" s="428" t="s">
        <v>3939</v>
      </c>
      <c r="O159" s="1124"/>
      <c r="P159" s="1125"/>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106"/>
      <c r="I162" s="1107"/>
      <c r="N162" s="786"/>
      <c r="O162" s="786"/>
      <c r="P162" s="397"/>
    </row>
    <row r="163" spans="1:21" s="386" customFormat="1" ht="12.6" customHeight="1">
      <c r="A163" s="687"/>
      <c r="B163" s="687"/>
      <c r="C163" s="392" t="s">
        <v>305</v>
      </c>
      <c r="D163" s="783"/>
      <c r="E163" s="783"/>
      <c r="F163" s="792"/>
      <c r="G163" s="792"/>
      <c r="H163" s="1106"/>
      <c r="I163" s="1107"/>
      <c r="N163" s="786"/>
      <c r="O163" s="786"/>
      <c r="P163" s="397"/>
    </row>
    <row r="164" spans="1:21" s="386" customFormat="1" ht="12.6" customHeight="1">
      <c r="A164" s="687"/>
      <c r="B164" s="687"/>
      <c r="C164" s="392" t="s">
        <v>3024</v>
      </c>
      <c r="D164" s="783"/>
      <c r="E164" s="783"/>
      <c r="F164" s="792"/>
      <c r="G164" s="792"/>
      <c r="H164" s="1106">
        <v>42156</v>
      </c>
      <c r="I164" s="1107"/>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108"/>
      <c r="B167" s="1109"/>
      <c r="C167" s="1109"/>
      <c r="D167" s="1109"/>
      <c r="E167" s="1109"/>
      <c r="F167" s="1109"/>
      <c r="G167" s="1109"/>
      <c r="H167" s="1109"/>
      <c r="I167" s="1109"/>
      <c r="J167" s="1110"/>
      <c r="K167" s="1111"/>
      <c r="L167" s="1112"/>
      <c r="M167" s="1112"/>
      <c r="N167" s="1112"/>
      <c r="O167" s="1112"/>
      <c r="P167" s="1113"/>
      <c r="Q167" s="1066" t="s">
        <v>3596</v>
      </c>
      <c r="R167" s="1066"/>
      <c r="S167" s="1066"/>
      <c r="T167" s="1066"/>
      <c r="U167" s="1066"/>
    </row>
    <row r="168" spans="1:21" ht="12" customHeight="1">
      <c r="Q168" s="1066"/>
      <c r="R168" s="1066"/>
      <c r="S168" s="1066"/>
      <c r="T168" s="1066"/>
      <c r="U168" s="106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908"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908"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909"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908"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909"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909"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909"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908"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908"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909"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908"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909"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908"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909"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909"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909"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909" t="s">
        <v>2857</v>
      </c>
    </row>
    <row r="354" spans="2:16" s="723" customFormat="1" ht="12" customHeight="1">
      <c r="B354" s="722"/>
      <c r="J354" s="735" t="s">
        <v>1552</v>
      </c>
      <c r="K354" s="736"/>
      <c r="L354" s="727"/>
      <c r="M354" s="728"/>
      <c r="N354" s="626" t="s">
        <v>3370</v>
      </c>
      <c r="O354" s="626" t="s">
        <v>3320</v>
      </c>
      <c r="P354" s="909"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909" t="s">
        <v>2857</v>
      </c>
    </row>
    <row r="370" spans="2:16" s="723" customFormat="1" ht="12" customHeight="1">
      <c r="B370" s="722"/>
      <c r="J370" s="735" t="s">
        <v>2645</v>
      </c>
      <c r="K370" s="736"/>
      <c r="L370" s="727"/>
      <c r="M370" s="728"/>
      <c r="N370" s="626" t="s">
        <v>3371</v>
      </c>
      <c r="O370" s="626" t="s">
        <v>2891</v>
      </c>
      <c r="P370" s="909" t="s">
        <v>2857</v>
      </c>
    </row>
    <row r="371" spans="2:16" s="723" customFormat="1" ht="12" customHeight="1">
      <c r="B371" s="722"/>
      <c r="J371" s="735" t="s">
        <v>2647</v>
      </c>
      <c r="K371" s="736"/>
      <c r="L371" s="727"/>
      <c r="M371" s="728"/>
      <c r="N371" s="626" t="s">
        <v>3372</v>
      </c>
      <c r="O371" s="626" t="s">
        <v>3268</v>
      </c>
      <c r="P371" s="909"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909"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909"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908"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909"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909"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909"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909"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909"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909"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909"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909"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909" t="s">
        <v>2857</v>
      </c>
    </row>
    <row r="477" spans="2:16" s="723" customFormat="1" ht="12" customHeight="1">
      <c r="B477" s="722"/>
      <c r="J477" s="735" t="s">
        <v>3177</v>
      </c>
      <c r="K477" s="736"/>
      <c r="L477" s="727"/>
      <c r="M477" s="728"/>
      <c r="N477" s="626" t="s">
        <v>1463</v>
      </c>
      <c r="O477" s="626" t="s">
        <v>1518</v>
      </c>
      <c r="P477" s="909"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909"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908" t="s">
        <v>1218</v>
      </c>
    </row>
    <row r="490" spans="2:16" s="723" customFormat="1" ht="12" customHeight="1">
      <c r="B490" s="722"/>
      <c r="J490" s="735" t="s">
        <v>1965</v>
      </c>
      <c r="K490" s="736"/>
      <c r="L490" s="727"/>
      <c r="M490" s="728"/>
      <c r="N490" s="737" t="s">
        <v>1222</v>
      </c>
      <c r="O490" s="737" t="s">
        <v>1268</v>
      </c>
      <c r="P490" s="90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909"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909"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90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909"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909"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909"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90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909" t="s">
        <v>2857</v>
      </c>
    </row>
    <row r="566" spans="2:16" s="723" customFormat="1" ht="12" customHeight="1">
      <c r="B566" s="722"/>
      <c r="J566" s="735" t="s">
        <v>2043</v>
      </c>
      <c r="K566" s="736"/>
      <c r="L566" s="727"/>
      <c r="M566" s="728"/>
      <c r="N566" s="626" t="s">
        <v>1469</v>
      </c>
      <c r="O566" s="626" t="s">
        <v>808</v>
      </c>
      <c r="P566" s="909" t="s">
        <v>2857</v>
      </c>
    </row>
    <row r="567" spans="2:16" s="723" customFormat="1" ht="12" customHeight="1">
      <c r="B567" s="722"/>
      <c r="J567" s="735" t="s">
        <v>2045</v>
      </c>
      <c r="K567" s="736"/>
      <c r="L567" s="727"/>
      <c r="M567" s="728"/>
      <c r="N567" s="626" t="s">
        <v>1470</v>
      </c>
      <c r="O567" s="626" t="s">
        <v>808</v>
      </c>
      <c r="P567" s="909"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908"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909"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909" t="s">
        <v>2857</v>
      </c>
    </row>
    <row r="596" spans="2:20" s="723" customFormat="1" ht="12" customHeight="1">
      <c r="B596" s="722"/>
      <c r="J596" s="735" t="s">
        <v>1884</v>
      </c>
      <c r="K596" s="736"/>
      <c r="L596" s="727"/>
      <c r="M596" s="728"/>
      <c r="N596" s="626" t="s">
        <v>1472</v>
      </c>
      <c r="O596" s="626" t="s">
        <v>2349</v>
      </c>
      <c r="P596" s="909" t="s">
        <v>2857</v>
      </c>
      <c r="R596" s="626" t="s">
        <v>3360</v>
      </c>
      <c r="S596" s="626" t="s">
        <v>351</v>
      </c>
      <c r="T596" s="909"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909" t="s">
        <v>2857</v>
      </c>
    </row>
    <row r="598" spans="2:20" s="723" customFormat="1" ht="12" customHeight="1">
      <c r="B598" s="722"/>
      <c r="J598" s="735" t="s">
        <v>2015</v>
      </c>
      <c r="K598" s="736"/>
      <c r="L598" s="727"/>
      <c r="M598" s="728"/>
      <c r="N598" s="737" t="s">
        <v>2016</v>
      </c>
      <c r="O598" s="737" t="s">
        <v>347</v>
      </c>
      <c r="P598" s="728" t="s">
        <v>990</v>
      </c>
      <c r="R598" s="626" t="s">
        <v>3362</v>
      </c>
      <c r="S598" s="626"/>
      <c r="T598" s="909"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909"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909"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909"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909"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909"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909"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909"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909"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909"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909"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909" t="s">
        <v>2857</v>
      </c>
    </row>
    <row r="610" spans="2:20" s="723" customFormat="1" ht="12" customHeight="1">
      <c r="B610" s="722"/>
      <c r="J610" s="735" t="s">
        <v>1432</v>
      </c>
      <c r="K610" s="736"/>
      <c r="L610" s="727"/>
      <c r="M610" s="728"/>
      <c r="N610" s="737" t="s">
        <v>2514</v>
      </c>
      <c r="O610" s="737" t="s">
        <v>116</v>
      </c>
      <c r="P610" s="908" t="s">
        <v>1218</v>
      </c>
      <c r="R610" s="626" t="s">
        <v>3373</v>
      </c>
      <c r="S610" s="626" t="s">
        <v>2719</v>
      </c>
      <c r="T610" s="909"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909" t="s">
        <v>2857</v>
      </c>
    </row>
    <row r="612" spans="2:20" s="723" customFormat="1" ht="12" customHeight="1">
      <c r="B612" s="722"/>
      <c r="J612" s="735" t="s">
        <v>2515</v>
      </c>
      <c r="K612" s="736"/>
      <c r="L612" s="727"/>
      <c r="M612" s="728"/>
      <c r="N612" s="626" t="s">
        <v>1473</v>
      </c>
      <c r="O612" s="626" t="s">
        <v>1352</v>
      </c>
      <c r="P612" s="909" t="s">
        <v>2857</v>
      </c>
      <c r="R612" s="626" t="s">
        <v>1300</v>
      </c>
      <c r="S612" s="626" t="s">
        <v>1511</v>
      </c>
      <c r="T612" s="909"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909"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909" t="s">
        <v>2857</v>
      </c>
    </row>
    <row r="615" spans="2:20" s="723" customFormat="1" ht="12" customHeight="1">
      <c r="B615" s="722"/>
      <c r="J615" s="735" t="s">
        <v>436</v>
      </c>
      <c r="K615" s="736"/>
      <c r="L615" s="727"/>
      <c r="M615" s="728"/>
      <c r="N615" s="626" t="s">
        <v>1474</v>
      </c>
      <c r="O615" s="626" t="s">
        <v>128</v>
      </c>
      <c r="P615" s="909" t="s">
        <v>2857</v>
      </c>
      <c r="R615" s="626" t="s">
        <v>1456</v>
      </c>
      <c r="S615" s="626" t="s">
        <v>2717</v>
      </c>
      <c r="T615" s="909" t="s">
        <v>2857</v>
      </c>
    </row>
    <row r="616" spans="2:20" s="723" customFormat="1" ht="12" customHeight="1">
      <c r="B616" s="722"/>
      <c r="J616" s="735" t="s">
        <v>4</v>
      </c>
      <c r="K616" s="736"/>
      <c r="L616" s="727"/>
      <c r="M616" s="728"/>
      <c r="N616" s="737" t="s">
        <v>5</v>
      </c>
      <c r="O616" s="737" t="s">
        <v>1751</v>
      </c>
      <c r="P616" s="728" t="s">
        <v>5</v>
      </c>
      <c r="R616" s="626" t="s">
        <v>1457</v>
      </c>
      <c r="S616" s="626" t="s">
        <v>1504</v>
      </c>
      <c r="T616" s="909" t="s">
        <v>2857</v>
      </c>
    </row>
    <row r="617" spans="2:20" s="723" customFormat="1" ht="12" customHeight="1">
      <c r="B617" s="722"/>
      <c r="J617" s="735" t="s">
        <v>6</v>
      </c>
      <c r="K617" s="736"/>
      <c r="L617" s="727"/>
      <c r="M617" s="728"/>
      <c r="N617" s="737" t="s">
        <v>7</v>
      </c>
      <c r="O617" s="737" t="s">
        <v>3157</v>
      </c>
      <c r="P617" s="728" t="s">
        <v>1005</v>
      </c>
      <c r="Q617" s="910"/>
      <c r="R617" s="626" t="s">
        <v>1458</v>
      </c>
      <c r="S617" s="626" t="s">
        <v>1977</v>
      </c>
      <c r="T617" s="909" t="s">
        <v>2857</v>
      </c>
    </row>
    <row r="618" spans="2:20" s="723" customFormat="1" ht="12" customHeight="1">
      <c r="B618" s="722"/>
      <c r="J618" s="735" t="s">
        <v>8</v>
      </c>
      <c r="K618" s="736"/>
      <c r="L618" s="727"/>
      <c r="M618" s="728"/>
      <c r="N618" s="737" t="s">
        <v>9</v>
      </c>
      <c r="O618" s="737" t="s">
        <v>2626</v>
      </c>
      <c r="P618" s="728" t="s">
        <v>1006</v>
      </c>
      <c r="R618" s="626" t="s">
        <v>1459</v>
      </c>
      <c r="S618" s="626" t="s">
        <v>3265</v>
      </c>
      <c r="T618" s="909" t="s">
        <v>2857</v>
      </c>
    </row>
    <row r="619" spans="2:20" s="723" customFormat="1" ht="12" customHeight="1">
      <c r="B619" s="722"/>
      <c r="J619" s="735" t="s">
        <v>10</v>
      </c>
      <c r="K619" s="736"/>
      <c r="L619" s="727"/>
      <c r="M619" s="728"/>
      <c r="N619" s="626" t="s">
        <v>1475</v>
      </c>
      <c r="O619" s="626" t="s">
        <v>808</v>
      </c>
      <c r="P619" s="909" t="s">
        <v>2857</v>
      </c>
      <c r="R619" s="626" t="s">
        <v>1460</v>
      </c>
      <c r="S619" s="626" t="s">
        <v>175</v>
      </c>
      <c r="T619" s="909" t="s">
        <v>2857</v>
      </c>
    </row>
    <row r="620" spans="2:20" s="723" customFormat="1" ht="12" customHeight="1">
      <c r="B620" s="722"/>
      <c r="J620" s="735" t="s">
        <v>2860</v>
      </c>
      <c r="K620" s="736"/>
      <c r="L620" s="727"/>
      <c r="M620" s="728"/>
      <c r="N620" s="626" t="s">
        <v>1476</v>
      </c>
      <c r="O620" s="626" t="s">
        <v>348</v>
      </c>
      <c r="P620" s="909" t="s">
        <v>2857</v>
      </c>
      <c r="R620" s="626" t="s">
        <v>1461</v>
      </c>
      <c r="S620" s="626" t="s">
        <v>1768</v>
      </c>
      <c r="T620" s="909"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909"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909"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909"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909"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909"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909" t="s">
        <v>2857</v>
      </c>
    </row>
    <row r="627" spans="2:20" s="723" customFormat="1" ht="12" customHeight="1">
      <c r="B627" s="722"/>
      <c r="J627" s="735" t="s">
        <v>1971</v>
      </c>
      <c r="K627" s="736"/>
      <c r="L627" s="727"/>
      <c r="M627" s="728"/>
      <c r="N627" s="737" t="s">
        <v>1970</v>
      </c>
      <c r="O627" s="737" t="s">
        <v>2904</v>
      </c>
      <c r="P627" s="728" t="s">
        <v>1013</v>
      </c>
      <c r="R627" s="626" t="s">
        <v>1466</v>
      </c>
      <c r="S627" s="626"/>
      <c r="T627" s="909"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909"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909"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909" t="s">
        <v>2857</v>
      </c>
    </row>
    <row r="631" spans="2:20" s="723" customFormat="1" ht="12" customHeight="1">
      <c r="B631" s="722"/>
      <c r="J631" s="735" t="s">
        <v>68</v>
      </c>
      <c r="K631" s="736"/>
      <c r="L631" s="727"/>
      <c r="M631" s="728"/>
      <c r="N631" s="737" t="s">
        <v>67</v>
      </c>
      <c r="O631" s="737" t="s">
        <v>1759</v>
      </c>
      <c r="P631" s="728" t="s">
        <v>1017</v>
      </c>
      <c r="R631" s="626" t="s">
        <v>1468</v>
      </c>
      <c r="S631" s="626" t="s">
        <v>808</v>
      </c>
      <c r="T631" s="909" t="s">
        <v>2857</v>
      </c>
    </row>
    <row r="632" spans="2:20" s="723" customFormat="1" ht="12" customHeight="1">
      <c r="B632" s="722"/>
      <c r="J632" s="735" t="s">
        <v>70</v>
      </c>
      <c r="K632" s="736"/>
      <c r="L632" s="727"/>
      <c r="M632" s="728"/>
      <c r="N632" s="737" t="s">
        <v>69</v>
      </c>
      <c r="O632" s="737" t="s">
        <v>112</v>
      </c>
      <c r="P632" s="728" t="s">
        <v>1018</v>
      </c>
      <c r="R632" s="626" t="s">
        <v>1469</v>
      </c>
      <c r="S632" s="626" t="s">
        <v>808</v>
      </c>
      <c r="T632" s="909" t="s">
        <v>2857</v>
      </c>
    </row>
    <row r="633" spans="2:20" s="723" customFormat="1" ht="12" customHeight="1">
      <c r="B633" s="722"/>
      <c r="J633" s="735" t="s">
        <v>72</v>
      </c>
      <c r="K633" s="736"/>
      <c r="L633" s="727"/>
      <c r="M633" s="728"/>
      <c r="N633" s="737" t="s">
        <v>71</v>
      </c>
      <c r="O633" s="737" t="s">
        <v>1272</v>
      </c>
      <c r="P633" s="728" t="s">
        <v>1019</v>
      </c>
      <c r="R633" s="626" t="s">
        <v>1470</v>
      </c>
      <c r="S633" s="626" t="s">
        <v>808</v>
      </c>
      <c r="T633" s="909" t="s">
        <v>2857</v>
      </c>
    </row>
    <row r="634" spans="2:20" s="723" customFormat="1" ht="12" customHeight="1">
      <c r="B634" s="722"/>
      <c r="J634" s="735" t="s">
        <v>74</v>
      </c>
      <c r="K634" s="736"/>
      <c r="L634" s="727"/>
      <c r="M634" s="728"/>
      <c r="N634" s="737" t="s">
        <v>73</v>
      </c>
      <c r="O634" s="737" t="s">
        <v>1977</v>
      </c>
      <c r="P634" s="728" t="s">
        <v>1020</v>
      </c>
      <c r="R634" s="626" t="s">
        <v>1471</v>
      </c>
      <c r="S634" s="626" t="s">
        <v>808</v>
      </c>
      <c r="T634" s="909"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909"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909"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909" t="s">
        <v>2857</v>
      </c>
    </row>
    <row r="638" spans="2:20" s="723" customFormat="1" ht="12" customHeight="1">
      <c r="B638" s="722"/>
      <c r="J638" s="735" t="s">
        <v>1594</v>
      </c>
      <c r="K638" s="736"/>
      <c r="L638" s="727"/>
      <c r="M638" s="728"/>
      <c r="N638" s="626" t="s">
        <v>1477</v>
      </c>
      <c r="O638" s="626" t="s">
        <v>352</v>
      </c>
      <c r="P638" s="909" t="s">
        <v>2857</v>
      </c>
      <c r="R638" s="626" t="s">
        <v>1475</v>
      </c>
      <c r="S638" s="626" t="s">
        <v>808</v>
      </c>
      <c r="T638" s="909"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909"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909"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909"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909"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909"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909"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909"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909" t="s">
        <v>2857</v>
      </c>
    </row>
    <row r="647" spans="2:20" s="723" customFormat="1" ht="12" customHeight="1">
      <c r="B647" s="722"/>
      <c r="J647" s="735" t="s">
        <v>2213</v>
      </c>
      <c r="K647" s="736"/>
      <c r="L647" s="727"/>
      <c r="M647" s="728"/>
      <c r="N647" s="737" t="s">
        <v>1226</v>
      </c>
      <c r="O647" s="737" t="s">
        <v>1747</v>
      </c>
      <c r="P647" s="908" t="s">
        <v>1218</v>
      </c>
      <c r="R647" s="626" t="s">
        <v>1483</v>
      </c>
      <c r="S647" s="626" t="s">
        <v>2620</v>
      </c>
      <c r="T647" s="909" t="s">
        <v>2857</v>
      </c>
    </row>
    <row r="648" spans="2:20" s="723" customFormat="1" ht="12" customHeight="1">
      <c r="B648" s="722"/>
      <c r="J648" s="735" t="s">
        <v>2214</v>
      </c>
      <c r="K648" s="736"/>
      <c r="L648" s="727"/>
      <c r="M648" s="728"/>
      <c r="N648" s="626" t="s">
        <v>1226</v>
      </c>
      <c r="O648" s="626" t="s">
        <v>1747</v>
      </c>
      <c r="P648" s="909" t="s">
        <v>2857</v>
      </c>
      <c r="R648" s="626" t="s">
        <v>1484</v>
      </c>
      <c r="S648" s="626" t="s">
        <v>2717</v>
      </c>
      <c r="T648" s="909"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909"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909" t="s">
        <v>2857</v>
      </c>
    </row>
    <row r="651" spans="2:20" s="723" customFormat="1" ht="12" customHeight="1">
      <c r="B651" s="722"/>
      <c r="J651" s="735" t="s">
        <v>2219</v>
      </c>
      <c r="K651" s="736"/>
      <c r="L651" s="727"/>
      <c r="M651" s="728"/>
      <c r="N651" s="626" t="s">
        <v>1479</v>
      </c>
      <c r="O651" s="626" t="s">
        <v>1977</v>
      </c>
      <c r="P651" s="909" t="s">
        <v>2857</v>
      </c>
      <c r="R651" s="626" t="s">
        <v>1487</v>
      </c>
      <c r="S651" s="626" t="s">
        <v>3268</v>
      </c>
      <c r="T651" s="909"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909"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909"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909"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909"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909"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909"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909" t="s">
        <v>2857</v>
      </c>
    </row>
    <row r="694" spans="2:16" s="723" customFormat="1" ht="12" customHeight="1">
      <c r="B694" s="722"/>
      <c r="J694" s="735" t="s">
        <v>3286</v>
      </c>
      <c r="K694" s="736"/>
      <c r="L694" s="727"/>
      <c r="M694" s="728"/>
      <c r="N694" s="626" t="s">
        <v>1484</v>
      </c>
      <c r="O694" s="626" t="s">
        <v>2717</v>
      </c>
      <c r="P694" s="909"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910"/>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908"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1103"/>
      <c r="K716" s="1104"/>
      <c r="L716" s="1104"/>
      <c r="M716" s="1105"/>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909"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909"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90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909"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90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909"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909"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1182" t="str">
        <f>CONCATENATE("PART TWO - DEVELOPMENT TEAM INFORMATION","  -  ",'Part I-Project Information'!$O$4," ",'Part I-Project Information'!$F$23,", ",'Part I-Project Information'!F26,", ",'Part I-Project Information'!J27," County")</f>
        <v>PART TWO - DEVELOPMENT TEAM INFORMATION  -  2013-035 North Lake Senior Village, LP, Columbus, Muscogee County</v>
      </c>
      <c r="B1" s="1183"/>
      <c r="C1" s="1183"/>
      <c r="D1" s="1183"/>
      <c r="E1" s="1183"/>
      <c r="F1" s="1183"/>
      <c r="G1" s="1183"/>
      <c r="H1" s="1183"/>
      <c r="I1" s="1183"/>
      <c r="J1" s="1183"/>
      <c r="K1" s="1183"/>
      <c r="L1" s="1183"/>
      <c r="M1" s="1183"/>
      <c r="N1" s="1183"/>
      <c r="O1" s="1183"/>
      <c r="P1" s="1183"/>
      <c r="Q1" s="1183"/>
      <c r="R1" s="1183"/>
      <c r="S1" s="1184"/>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073" t="s">
        <v>4102</v>
      </c>
      <c r="I5" s="1091"/>
      <c r="J5" s="1091"/>
      <c r="K5" s="1091"/>
      <c r="L5" s="1091"/>
      <c r="M5" s="1091"/>
      <c r="N5" s="1092"/>
      <c r="O5" s="778" t="s">
        <v>2701</v>
      </c>
      <c r="P5" s="778"/>
      <c r="Q5" s="1073" t="s">
        <v>4064</v>
      </c>
      <c r="R5" s="1091"/>
      <c r="S5" s="1092"/>
    </row>
    <row r="6" spans="1:26" s="386" customFormat="1" ht="12.6" customHeight="1">
      <c r="D6" s="431"/>
      <c r="E6" s="392" t="s">
        <v>1424</v>
      </c>
      <c r="F6" s="400"/>
      <c r="H6" s="1073" t="s">
        <v>4065</v>
      </c>
      <c r="I6" s="1091"/>
      <c r="J6" s="1091"/>
      <c r="K6" s="1091"/>
      <c r="L6" s="1091"/>
      <c r="M6" s="1091"/>
      <c r="N6" s="1092"/>
      <c r="O6" s="778" t="s">
        <v>2441</v>
      </c>
      <c r="Q6" s="1073" t="s">
        <v>4071</v>
      </c>
      <c r="R6" s="1091"/>
      <c r="S6" s="1092"/>
    </row>
    <row r="7" spans="1:26" s="386" customFormat="1" ht="12.6" customHeight="1">
      <c r="D7" s="431"/>
      <c r="E7" s="392" t="s">
        <v>798</v>
      </c>
      <c r="H7" s="1073" t="s">
        <v>1626</v>
      </c>
      <c r="I7" s="1091"/>
      <c r="J7" s="1092"/>
      <c r="K7" s="911" t="s">
        <v>1068</v>
      </c>
      <c r="L7" s="1073"/>
      <c r="M7" s="1091"/>
      <c r="N7" s="1092"/>
      <c r="O7" s="778" t="s">
        <v>2499</v>
      </c>
      <c r="Q7" s="1117">
        <v>4042285483</v>
      </c>
      <c r="R7" s="1118"/>
      <c r="S7" s="1119"/>
    </row>
    <row r="8" spans="1:26" s="386" customFormat="1" ht="12.6" customHeight="1">
      <c r="D8" s="431"/>
      <c r="E8" s="392" t="s">
        <v>2495</v>
      </c>
      <c r="H8" s="898" t="s">
        <v>1242</v>
      </c>
      <c r="I8" s="792" t="s">
        <v>1711</v>
      </c>
      <c r="J8" s="1102">
        <v>303423243</v>
      </c>
      <c r="K8" s="1092"/>
      <c r="L8" s="351" t="s">
        <v>3744</v>
      </c>
      <c r="M8" s="1180"/>
      <c r="N8" s="1181"/>
      <c r="O8" s="778" t="s">
        <v>2690</v>
      </c>
      <c r="Q8" s="1117">
        <v>4042021357</v>
      </c>
      <c r="R8" s="1118"/>
      <c r="S8" s="1119"/>
    </row>
    <row r="9" spans="1:26" s="386" customFormat="1" ht="12.6" customHeight="1">
      <c r="D9" s="431"/>
      <c r="E9" s="392" t="s">
        <v>2696</v>
      </c>
      <c r="H9" s="1117">
        <v>4042285483</v>
      </c>
      <c r="I9" s="1119"/>
      <c r="J9" s="912"/>
      <c r="K9" s="792" t="s">
        <v>2498</v>
      </c>
      <c r="L9" s="1095">
        <v>4043933275</v>
      </c>
      <c r="M9" s="1197"/>
      <c r="N9" s="394" t="s">
        <v>2695</v>
      </c>
      <c r="O9" s="1068" t="s">
        <v>4066</v>
      </c>
      <c r="P9" s="1132"/>
      <c r="Q9" s="1132"/>
      <c r="R9" s="1132"/>
      <c r="S9" s="1069"/>
    </row>
    <row r="10" spans="1:26" s="386" customFormat="1" ht="13.15" customHeight="1">
      <c r="D10" s="431"/>
      <c r="E10" s="377" t="s">
        <v>3743</v>
      </c>
      <c r="H10" s="425"/>
      <c r="K10" s="351" t="s">
        <v>3745</v>
      </c>
      <c r="M10" s="904">
        <v>11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913" t="s">
        <v>1710</v>
      </c>
      <c r="W12" s="913"/>
      <c r="X12" s="913"/>
      <c r="Y12" s="913"/>
      <c r="Z12" s="913"/>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914"/>
      <c r="X14" s="914"/>
      <c r="Y14" s="914"/>
      <c r="Z14" s="914"/>
    </row>
    <row r="15" spans="1:26" s="386" customFormat="1" ht="4.1500000000000004" customHeight="1">
      <c r="D15" s="433"/>
      <c r="E15" s="434"/>
      <c r="H15" s="915"/>
      <c r="I15" s="915"/>
      <c r="J15" s="915"/>
      <c r="K15" s="780"/>
      <c r="L15" s="915"/>
      <c r="M15" s="915"/>
      <c r="N15" s="780"/>
      <c r="O15" s="916"/>
      <c r="P15" s="916"/>
      <c r="Q15" s="792"/>
      <c r="R15" s="916"/>
      <c r="S15" s="916"/>
    </row>
    <row r="16" spans="1:26" s="386" customFormat="1" ht="12.6" customHeight="1">
      <c r="D16" s="389" t="s">
        <v>2831</v>
      </c>
      <c r="E16" s="386" t="s">
        <v>2560</v>
      </c>
      <c r="H16" s="1073" t="s">
        <v>4110</v>
      </c>
      <c r="I16" s="1091"/>
      <c r="J16" s="1091"/>
      <c r="K16" s="1091"/>
      <c r="L16" s="1091"/>
      <c r="M16" s="1091"/>
      <c r="N16" s="1092"/>
      <c r="O16" s="778" t="s">
        <v>2701</v>
      </c>
      <c r="P16" s="778"/>
      <c r="Q16" s="1073" t="s">
        <v>4064</v>
      </c>
      <c r="R16" s="1091"/>
      <c r="S16" s="1092"/>
    </row>
    <row r="17" spans="4:19" s="386" customFormat="1" ht="12.6" customHeight="1">
      <c r="D17" s="431"/>
      <c r="E17" s="392" t="s">
        <v>1424</v>
      </c>
      <c r="F17" s="400"/>
      <c r="H17" s="1073" t="s">
        <v>4065</v>
      </c>
      <c r="I17" s="1091"/>
      <c r="J17" s="1091"/>
      <c r="K17" s="1091"/>
      <c r="L17" s="1091"/>
      <c r="M17" s="1091"/>
      <c r="N17" s="1092"/>
      <c r="O17" s="778" t="s">
        <v>2441</v>
      </c>
      <c r="Q17" s="1073" t="s">
        <v>4071</v>
      </c>
      <c r="R17" s="1091"/>
      <c r="S17" s="1092"/>
    </row>
    <row r="18" spans="4:19" s="386" customFormat="1" ht="12.6" customHeight="1">
      <c r="D18" s="431"/>
      <c r="E18" s="392" t="s">
        <v>798</v>
      </c>
      <c r="H18" s="1073" t="s">
        <v>1626</v>
      </c>
      <c r="I18" s="1091"/>
      <c r="J18" s="1092"/>
      <c r="O18" s="778" t="s">
        <v>2499</v>
      </c>
      <c r="Q18" s="1117">
        <v>4042285483</v>
      </c>
      <c r="R18" s="1118"/>
      <c r="S18" s="1119"/>
    </row>
    <row r="19" spans="4:19" s="386" customFormat="1" ht="12.6" customHeight="1">
      <c r="D19" s="389"/>
      <c r="E19" s="392" t="s">
        <v>2495</v>
      </c>
      <c r="H19" s="898" t="s">
        <v>1242</v>
      </c>
      <c r="I19" s="792" t="s">
        <v>1711</v>
      </c>
      <c r="J19" s="1102">
        <v>303423243</v>
      </c>
      <c r="K19" s="1092"/>
      <c r="L19" s="351" t="s">
        <v>1713</v>
      </c>
      <c r="N19" s="904">
        <v>11</v>
      </c>
      <c r="O19" s="778" t="s">
        <v>2690</v>
      </c>
      <c r="Q19" s="1117">
        <v>4042021357</v>
      </c>
      <c r="R19" s="1118"/>
      <c r="S19" s="1119"/>
    </row>
    <row r="20" spans="4:19" s="386" customFormat="1" ht="12.6" customHeight="1">
      <c r="D20" s="431"/>
      <c r="E20" s="392" t="s">
        <v>2696</v>
      </c>
      <c r="H20" s="1117">
        <v>4042285483</v>
      </c>
      <c r="I20" s="1119"/>
      <c r="J20" s="912"/>
      <c r="K20" s="792" t="s">
        <v>2498</v>
      </c>
      <c r="L20" s="1095">
        <v>4043933275</v>
      </c>
      <c r="M20" s="1092"/>
      <c r="N20" s="394" t="s">
        <v>2695</v>
      </c>
      <c r="O20" s="1068" t="s">
        <v>4066</v>
      </c>
      <c r="P20" s="1132"/>
      <c r="Q20" s="1132"/>
      <c r="R20" s="1132"/>
      <c r="S20" s="1069"/>
    </row>
    <row r="21" spans="4:19" ht="4.1500000000000004" customHeight="1">
      <c r="D21" s="415"/>
      <c r="H21" s="917"/>
      <c r="I21" s="917"/>
      <c r="J21" s="917"/>
      <c r="K21" s="792"/>
      <c r="L21" s="917"/>
      <c r="M21" s="917"/>
      <c r="N21" s="780"/>
      <c r="O21" s="916"/>
      <c r="P21" s="916"/>
      <c r="Q21" s="792"/>
      <c r="R21" s="916"/>
      <c r="S21" s="916"/>
    </row>
    <row r="22" spans="4:19" s="386" customFormat="1" ht="12.6" customHeight="1">
      <c r="D22" s="389" t="s">
        <v>2832</v>
      </c>
      <c r="E22" s="386" t="s">
        <v>2561</v>
      </c>
      <c r="F22" s="786"/>
      <c r="H22" s="1073"/>
      <c r="I22" s="1091"/>
      <c r="J22" s="1091"/>
      <c r="K22" s="1091"/>
      <c r="L22" s="1091"/>
      <c r="M22" s="1091"/>
      <c r="N22" s="1092"/>
      <c r="O22" s="778" t="s">
        <v>2701</v>
      </c>
      <c r="P22" s="778"/>
      <c r="Q22" s="1073"/>
      <c r="R22" s="1091"/>
      <c r="S22" s="1092"/>
    </row>
    <row r="23" spans="4:19" s="386" customFormat="1" ht="12.6" customHeight="1">
      <c r="D23" s="431"/>
      <c r="E23" s="392" t="s">
        <v>1424</v>
      </c>
      <c r="F23" s="400"/>
      <c r="H23" s="1073"/>
      <c r="I23" s="1091"/>
      <c r="J23" s="1091"/>
      <c r="K23" s="1091"/>
      <c r="L23" s="1091"/>
      <c r="M23" s="1091"/>
      <c r="N23" s="1092"/>
      <c r="O23" s="778" t="s">
        <v>2441</v>
      </c>
      <c r="Q23" s="1073"/>
      <c r="R23" s="1091"/>
      <c r="S23" s="1092"/>
    </row>
    <row r="24" spans="4:19" s="386" customFormat="1" ht="12.6" customHeight="1">
      <c r="D24" s="431"/>
      <c r="E24" s="392" t="s">
        <v>798</v>
      </c>
      <c r="H24" s="1073"/>
      <c r="I24" s="1091"/>
      <c r="J24" s="1092"/>
      <c r="O24" s="778" t="s">
        <v>2499</v>
      </c>
      <c r="Q24" s="1117"/>
      <c r="R24" s="1118"/>
      <c r="S24" s="1119"/>
    </row>
    <row r="25" spans="4:19" s="386" customFormat="1" ht="12.6" customHeight="1">
      <c r="E25" s="392" t="s">
        <v>2495</v>
      </c>
      <c r="H25" s="898"/>
      <c r="I25" s="417" t="s">
        <v>2954</v>
      </c>
      <c r="J25" s="1102"/>
      <c r="K25" s="1092"/>
      <c r="O25" s="778" t="s">
        <v>2690</v>
      </c>
      <c r="Q25" s="1117"/>
      <c r="R25" s="1118"/>
      <c r="S25" s="1119"/>
    </row>
    <row r="26" spans="4:19" s="386" customFormat="1" ht="12.6" customHeight="1">
      <c r="D26" s="431"/>
      <c r="E26" s="392" t="s">
        <v>2696</v>
      </c>
      <c r="H26" s="1117"/>
      <c r="I26" s="1119"/>
      <c r="J26" s="912"/>
      <c r="K26" s="792" t="s">
        <v>2498</v>
      </c>
      <c r="L26" s="1095"/>
      <c r="M26" s="1092"/>
      <c r="N26" s="394" t="s">
        <v>2695</v>
      </c>
      <c r="O26" s="1068"/>
      <c r="P26" s="1132"/>
      <c r="Q26" s="1132"/>
      <c r="R26" s="1132"/>
      <c r="S26" s="1069"/>
    </row>
    <row r="27" spans="4:19" s="386" customFormat="1" ht="4.1500000000000004" customHeight="1">
      <c r="D27" s="431"/>
      <c r="E27" s="786"/>
      <c r="F27" s="786"/>
      <c r="G27" s="778"/>
      <c r="H27" s="917"/>
      <c r="I27" s="917"/>
      <c r="J27" s="917"/>
      <c r="K27" s="792"/>
      <c r="L27" s="917"/>
      <c r="M27" s="917"/>
      <c r="N27" s="780"/>
      <c r="O27" s="916"/>
      <c r="P27" s="916"/>
      <c r="Q27" s="792"/>
      <c r="R27" s="916"/>
      <c r="S27" s="916"/>
    </row>
    <row r="28" spans="4:19" s="386" customFormat="1" ht="12.6" customHeight="1">
      <c r="D28" s="389" t="s">
        <v>2427</v>
      </c>
      <c r="E28" s="386" t="s">
        <v>2561</v>
      </c>
      <c r="F28" s="786"/>
      <c r="H28" s="1073"/>
      <c r="I28" s="1091"/>
      <c r="J28" s="1091"/>
      <c r="K28" s="1091"/>
      <c r="L28" s="1091"/>
      <c r="M28" s="1091"/>
      <c r="N28" s="1092"/>
      <c r="O28" s="778" t="s">
        <v>2701</v>
      </c>
      <c r="P28" s="778"/>
      <c r="Q28" s="1073"/>
      <c r="R28" s="1091"/>
      <c r="S28" s="1092"/>
    </row>
    <row r="29" spans="4:19" s="386" customFormat="1" ht="12.6" customHeight="1">
      <c r="D29" s="431"/>
      <c r="E29" s="392" t="s">
        <v>1424</v>
      </c>
      <c r="F29" s="400"/>
      <c r="H29" s="1073"/>
      <c r="I29" s="1091"/>
      <c r="J29" s="1091"/>
      <c r="K29" s="1091"/>
      <c r="L29" s="1091"/>
      <c r="M29" s="1091"/>
      <c r="N29" s="1092"/>
      <c r="O29" s="778" t="s">
        <v>2441</v>
      </c>
      <c r="Q29" s="1073"/>
      <c r="R29" s="1091"/>
      <c r="S29" s="1092"/>
    </row>
    <row r="30" spans="4:19" s="386" customFormat="1" ht="12.6" customHeight="1">
      <c r="D30" s="431"/>
      <c r="E30" s="392" t="s">
        <v>798</v>
      </c>
      <c r="H30" s="1073"/>
      <c r="I30" s="1091"/>
      <c r="J30" s="1092"/>
      <c r="O30" s="778" t="s">
        <v>2499</v>
      </c>
      <c r="Q30" s="1117"/>
      <c r="R30" s="1118"/>
      <c r="S30" s="1119"/>
    </row>
    <row r="31" spans="4:19" s="386" customFormat="1" ht="12.6" customHeight="1">
      <c r="E31" s="392" t="s">
        <v>2495</v>
      </c>
      <c r="H31" s="898"/>
      <c r="I31" s="417" t="s">
        <v>2954</v>
      </c>
      <c r="J31" s="1102"/>
      <c r="K31" s="1092"/>
      <c r="O31" s="778" t="s">
        <v>2690</v>
      </c>
      <c r="Q31" s="1117"/>
      <c r="R31" s="1118"/>
      <c r="S31" s="1119"/>
    </row>
    <row r="32" spans="4:19" s="386" customFormat="1" ht="12.6" customHeight="1">
      <c r="D32" s="431"/>
      <c r="E32" s="392" t="s">
        <v>2696</v>
      </c>
      <c r="H32" s="1117"/>
      <c r="I32" s="1119"/>
      <c r="J32" s="912"/>
      <c r="K32" s="792" t="s">
        <v>2498</v>
      </c>
      <c r="L32" s="1095"/>
      <c r="M32" s="1092"/>
      <c r="N32" s="394" t="s">
        <v>2695</v>
      </c>
      <c r="O32" s="1068"/>
      <c r="P32" s="1132"/>
      <c r="Q32" s="1132"/>
      <c r="R32" s="1132"/>
      <c r="S32" s="1069"/>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915"/>
      <c r="I35" s="915"/>
      <c r="J35" s="915"/>
      <c r="K35" s="780"/>
      <c r="L35" s="915"/>
      <c r="M35" s="915"/>
      <c r="N35" s="780"/>
      <c r="O35" s="916"/>
      <c r="P35" s="916"/>
      <c r="Q35" s="792"/>
      <c r="R35" s="916"/>
      <c r="S35" s="916"/>
    </row>
    <row r="36" spans="3:19" s="386" customFormat="1" ht="12.6" customHeight="1">
      <c r="D36" s="389" t="s">
        <v>2831</v>
      </c>
      <c r="E36" s="386" t="s">
        <v>1055</v>
      </c>
      <c r="H36" s="1073" t="s">
        <v>4072</v>
      </c>
      <c r="I36" s="1091"/>
      <c r="J36" s="1091"/>
      <c r="K36" s="1091"/>
      <c r="L36" s="1091"/>
      <c r="M36" s="1091"/>
      <c r="N36" s="1092"/>
      <c r="O36" s="778" t="s">
        <v>2701</v>
      </c>
      <c r="P36" s="778"/>
      <c r="Q36" s="1073" t="s">
        <v>4074</v>
      </c>
      <c r="R36" s="1091"/>
      <c r="S36" s="1092"/>
    </row>
    <row r="37" spans="3:19" s="386" customFormat="1" ht="12.6" customHeight="1">
      <c r="D37" s="431"/>
      <c r="E37" s="392" t="s">
        <v>1424</v>
      </c>
      <c r="F37" s="400"/>
      <c r="H37" s="1073" t="s">
        <v>4073</v>
      </c>
      <c r="I37" s="1091"/>
      <c r="J37" s="1091"/>
      <c r="K37" s="1091"/>
      <c r="L37" s="1091"/>
      <c r="M37" s="1091"/>
      <c r="N37" s="1092"/>
      <c r="O37" s="778" t="s">
        <v>2441</v>
      </c>
      <c r="Q37" s="1073" t="s">
        <v>4075</v>
      </c>
      <c r="R37" s="1091"/>
      <c r="S37" s="1092"/>
    </row>
    <row r="38" spans="3:19" s="386" customFormat="1" ht="12.6" customHeight="1">
      <c r="D38" s="431"/>
      <c r="E38" s="392" t="s">
        <v>798</v>
      </c>
      <c r="H38" s="1073" t="s">
        <v>3317</v>
      </c>
      <c r="I38" s="1091"/>
      <c r="J38" s="1092"/>
      <c r="O38" s="778" t="s">
        <v>2499</v>
      </c>
      <c r="Q38" s="1174">
        <v>5734432021</v>
      </c>
      <c r="R38" s="1198"/>
      <c r="S38" s="1175"/>
    </row>
    <row r="39" spans="3:19" s="386" customFormat="1" ht="12.6" customHeight="1">
      <c r="E39" s="392" t="s">
        <v>2495</v>
      </c>
      <c r="H39" s="898" t="s">
        <v>1776</v>
      </c>
      <c r="I39" s="417" t="s">
        <v>2954</v>
      </c>
      <c r="J39" s="1102">
        <v>652034924</v>
      </c>
      <c r="K39" s="1092"/>
      <c r="O39" s="778" t="s">
        <v>2690</v>
      </c>
      <c r="Q39" s="1174">
        <v>5734248811</v>
      </c>
      <c r="R39" s="1198"/>
      <c r="S39" s="1175"/>
    </row>
    <row r="40" spans="3:19" s="386" customFormat="1" ht="12.6" customHeight="1">
      <c r="D40" s="431"/>
      <c r="E40" s="392" t="s">
        <v>2696</v>
      </c>
      <c r="H40" s="1117">
        <v>5734432021</v>
      </c>
      <c r="I40" s="1119"/>
      <c r="J40" s="912"/>
      <c r="K40" s="792" t="s">
        <v>2498</v>
      </c>
      <c r="L40" s="1095"/>
      <c r="M40" s="1092"/>
      <c r="N40" s="394" t="s">
        <v>2695</v>
      </c>
      <c r="O40" s="1068" t="s">
        <v>4076</v>
      </c>
      <c r="P40" s="1132"/>
      <c r="Q40" s="1132"/>
      <c r="R40" s="1132"/>
      <c r="S40" s="1069"/>
    </row>
    <row r="41" spans="3:19" ht="4.1500000000000004" customHeight="1">
      <c r="H41" s="917"/>
      <c r="I41" s="917"/>
      <c r="J41" s="917"/>
      <c r="K41" s="792"/>
      <c r="L41" s="917"/>
      <c r="M41" s="917"/>
      <c r="N41" s="780"/>
      <c r="O41" s="916"/>
      <c r="P41" s="916"/>
      <c r="Q41" s="792"/>
      <c r="R41" s="916"/>
      <c r="S41" s="916"/>
    </row>
    <row r="42" spans="3:19" s="386" customFormat="1" ht="12.6" customHeight="1">
      <c r="D42" s="389" t="s">
        <v>2832</v>
      </c>
      <c r="E42" s="386" t="s">
        <v>1056</v>
      </c>
      <c r="F42" s="389"/>
      <c r="H42" s="1073" t="s">
        <v>4072</v>
      </c>
      <c r="I42" s="1091"/>
      <c r="J42" s="1091"/>
      <c r="K42" s="1091"/>
      <c r="L42" s="1091"/>
      <c r="M42" s="1091"/>
      <c r="N42" s="1092"/>
      <c r="O42" s="778" t="s">
        <v>2701</v>
      </c>
      <c r="P42" s="778"/>
      <c r="Q42" s="1073" t="s">
        <v>4074</v>
      </c>
      <c r="R42" s="1091"/>
      <c r="S42" s="1092"/>
    </row>
    <row r="43" spans="3:19" s="386" customFormat="1" ht="12.6" customHeight="1">
      <c r="D43" s="431"/>
      <c r="E43" s="392" t="s">
        <v>1424</v>
      </c>
      <c r="F43" s="400"/>
      <c r="H43" s="1073" t="s">
        <v>4073</v>
      </c>
      <c r="I43" s="1091"/>
      <c r="J43" s="1091"/>
      <c r="K43" s="1091"/>
      <c r="L43" s="1091"/>
      <c r="M43" s="1091"/>
      <c r="N43" s="1092"/>
      <c r="O43" s="778" t="s">
        <v>2441</v>
      </c>
      <c r="Q43" s="1073" t="s">
        <v>4075</v>
      </c>
      <c r="R43" s="1091"/>
      <c r="S43" s="1092"/>
    </row>
    <row r="44" spans="3:19" s="386" customFormat="1" ht="12.6" customHeight="1">
      <c r="D44" s="431"/>
      <c r="E44" s="392" t="s">
        <v>798</v>
      </c>
      <c r="H44" s="1073" t="s">
        <v>3317</v>
      </c>
      <c r="I44" s="1091"/>
      <c r="J44" s="1092"/>
      <c r="O44" s="778" t="s">
        <v>2499</v>
      </c>
      <c r="Q44" s="1174">
        <v>5734432021</v>
      </c>
      <c r="R44" s="1198"/>
      <c r="S44" s="1175"/>
    </row>
    <row r="45" spans="3:19" s="386" customFormat="1" ht="12.6" customHeight="1">
      <c r="D45" s="389"/>
      <c r="E45" s="392" t="s">
        <v>2495</v>
      </c>
      <c r="H45" s="898" t="s">
        <v>1776</v>
      </c>
      <c r="I45" s="417" t="s">
        <v>2954</v>
      </c>
      <c r="J45" s="1102">
        <v>652034924</v>
      </c>
      <c r="K45" s="1092"/>
      <c r="O45" s="778" t="s">
        <v>2690</v>
      </c>
      <c r="Q45" s="1174">
        <v>5734248811</v>
      </c>
      <c r="R45" s="1198"/>
      <c r="S45" s="1175"/>
    </row>
    <row r="46" spans="3:19" s="386" customFormat="1" ht="12.6" customHeight="1">
      <c r="D46" s="431"/>
      <c r="E46" s="392" t="s">
        <v>2696</v>
      </c>
      <c r="H46" s="1117">
        <v>5734432021</v>
      </c>
      <c r="I46" s="1119"/>
      <c r="J46" s="912"/>
      <c r="K46" s="792" t="s">
        <v>2498</v>
      </c>
      <c r="L46" s="1095"/>
      <c r="M46" s="1092"/>
      <c r="N46" s="394" t="s">
        <v>2695</v>
      </c>
      <c r="O46" s="1068" t="s">
        <v>4076</v>
      </c>
      <c r="P46" s="1132"/>
      <c r="Q46" s="1132"/>
      <c r="R46" s="1132"/>
      <c r="S46" s="1069"/>
    </row>
    <row r="47" spans="3:19" s="386" customFormat="1" ht="4.1500000000000004" customHeight="1">
      <c r="D47" s="431"/>
      <c r="E47" s="392"/>
      <c r="F47" s="389"/>
      <c r="H47" s="425"/>
      <c r="I47" s="425"/>
      <c r="J47" s="918"/>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915"/>
      <c r="I49" s="915"/>
      <c r="J49" s="915"/>
      <c r="K49" s="780"/>
      <c r="L49" s="915"/>
      <c r="M49" s="915"/>
      <c r="N49" s="780"/>
      <c r="O49" s="916"/>
      <c r="P49" s="916"/>
      <c r="Q49" s="792"/>
      <c r="R49" s="916"/>
      <c r="S49" s="916"/>
    </row>
    <row r="50" spans="1:19" s="386" customFormat="1" ht="12.6" customHeight="1">
      <c r="E50" s="386" t="s">
        <v>96</v>
      </c>
      <c r="H50" s="1073"/>
      <c r="I50" s="1091"/>
      <c r="J50" s="1091"/>
      <c r="K50" s="1091"/>
      <c r="L50" s="1091"/>
      <c r="M50" s="1091"/>
      <c r="N50" s="1092"/>
      <c r="O50" s="778" t="s">
        <v>2701</v>
      </c>
      <c r="P50" s="778"/>
      <c r="Q50" s="1073"/>
      <c r="R50" s="1091"/>
      <c r="S50" s="1092"/>
    </row>
    <row r="51" spans="1:19" s="386" customFormat="1" ht="12.6" customHeight="1">
      <c r="D51" s="431"/>
      <c r="E51" s="392" t="s">
        <v>1424</v>
      </c>
      <c r="F51" s="400"/>
      <c r="H51" s="1073"/>
      <c r="I51" s="1091"/>
      <c r="J51" s="1091"/>
      <c r="K51" s="1091"/>
      <c r="L51" s="1091"/>
      <c r="M51" s="1091"/>
      <c r="N51" s="1092"/>
      <c r="O51" s="778" t="s">
        <v>2441</v>
      </c>
      <c r="Q51" s="1073"/>
      <c r="R51" s="1091"/>
      <c r="S51" s="1092"/>
    </row>
    <row r="52" spans="1:19" s="386" customFormat="1" ht="12.6" customHeight="1">
      <c r="D52" s="431"/>
      <c r="E52" s="392" t="s">
        <v>798</v>
      </c>
      <c r="H52" s="1073"/>
      <c r="I52" s="1091"/>
      <c r="J52" s="1092"/>
      <c r="O52" s="778" t="s">
        <v>2499</v>
      </c>
      <c r="Q52" s="1117"/>
      <c r="R52" s="1118"/>
      <c r="S52" s="1119"/>
    </row>
    <row r="53" spans="1:19" s="386" customFormat="1" ht="12.6" customHeight="1">
      <c r="E53" s="392" t="s">
        <v>2495</v>
      </c>
      <c r="H53" s="898"/>
      <c r="I53" s="417" t="s">
        <v>2954</v>
      </c>
      <c r="J53" s="1102"/>
      <c r="K53" s="1092"/>
      <c r="O53" s="778" t="s">
        <v>2690</v>
      </c>
      <c r="Q53" s="1117"/>
      <c r="R53" s="1118"/>
      <c r="S53" s="1119"/>
    </row>
    <row r="54" spans="1:19" s="386" customFormat="1" ht="12.6" customHeight="1">
      <c r="D54" s="431"/>
      <c r="E54" s="392" t="s">
        <v>2696</v>
      </c>
      <c r="H54" s="1117"/>
      <c r="I54" s="1119"/>
      <c r="J54" s="912"/>
      <c r="K54" s="792" t="s">
        <v>2498</v>
      </c>
      <c r="L54" s="1095"/>
      <c r="M54" s="1092"/>
      <c r="N54" s="394" t="s">
        <v>2695</v>
      </c>
      <c r="O54" s="1068"/>
      <c r="P54" s="1132"/>
      <c r="Q54" s="1132"/>
      <c r="R54" s="1132"/>
      <c r="S54" s="1069"/>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915"/>
      <c r="I57" s="915"/>
      <c r="J57" s="915"/>
      <c r="K57" s="780"/>
      <c r="L57" s="915"/>
      <c r="M57" s="915"/>
      <c r="N57" s="780"/>
      <c r="O57" s="916"/>
      <c r="P57" s="916"/>
      <c r="Q57" s="792"/>
      <c r="R57" s="916"/>
      <c r="S57" s="916"/>
    </row>
    <row r="58" spans="1:19" s="386" customFormat="1" ht="13.15" customHeight="1">
      <c r="B58" s="389" t="s">
        <v>2694</v>
      </c>
      <c r="C58" s="389" t="s">
        <v>312</v>
      </c>
      <c r="H58" s="1073" t="s">
        <v>4069</v>
      </c>
      <c r="I58" s="1091"/>
      <c r="J58" s="1091"/>
      <c r="K58" s="1091"/>
      <c r="L58" s="1091"/>
      <c r="M58" s="1091"/>
      <c r="N58" s="1092"/>
      <c r="O58" s="778" t="s">
        <v>2701</v>
      </c>
      <c r="P58" s="778"/>
      <c r="Q58" s="1073" t="s">
        <v>4064</v>
      </c>
      <c r="R58" s="1091"/>
      <c r="S58" s="1092"/>
    </row>
    <row r="59" spans="1:19" s="386" customFormat="1" ht="13.15" customHeight="1">
      <c r="D59" s="431"/>
      <c r="E59" s="392" t="s">
        <v>1424</v>
      </c>
      <c r="F59" s="400"/>
      <c r="H59" s="1073" t="s">
        <v>4065</v>
      </c>
      <c r="I59" s="1091"/>
      <c r="J59" s="1091"/>
      <c r="K59" s="1091"/>
      <c r="L59" s="1091"/>
      <c r="M59" s="1091"/>
      <c r="N59" s="1092"/>
      <c r="O59" s="778" t="s">
        <v>2441</v>
      </c>
      <c r="Q59" s="1073" t="s">
        <v>4071</v>
      </c>
      <c r="R59" s="1091"/>
      <c r="S59" s="1092"/>
    </row>
    <row r="60" spans="1:19" s="386" customFormat="1" ht="13.15" customHeight="1">
      <c r="D60" s="431"/>
      <c r="E60" s="392" t="s">
        <v>798</v>
      </c>
      <c r="H60" s="1073" t="s">
        <v>1626</v>
      </c>
      <c r="I60" s="1091"/>
      <c r="J60" s="1092"/>
      <c r="O60" s="778" t="s">
        <v>2499</v>
      </c>
      <c r="Q60" s="1117">
        <v>4042285483</v>
      </c>
      <c r="R60" s="1118"/>
      <c r="S60" s="1119"/>
    </row>
    <row r="61" spans="1:19" s="386" customFormat="1" ht="13.15" customHeight="1">
      <c r="E61" s="392" t="s">
        <v>2495</v>
      </c>
      <c r="H61" s="898" t="s">
        <v>1242</v>
      </c>
      <c r="I61" s="417" t="s">
        <v>2954</v>
      </c>
      <c r="J61" s="1102">
        <v>303423243</v>
      </c>
      <c r="K61" s="1092"/>
      <c r="O61" s="778" t="s">
        <v>2690</v>
      </c>
      <c r="Q61" s="1117">
        <v>4042021357</v>
      </c>
      <c r="R61" s="1118"/>
      <c r="S61" s="1119"/>
    </row>
    <row r="62" spans="1:19" s="386" customFormat="1" ht="13.15" customHeight="1">
      <c r="D62" s="431"/>
      <c r="E62" s="392" t="s">
        <v>2696</v>
      </c>
      <c r="H62" s="1117">
        <v>4042285483</v>
      </c>
      <c r="I62" s="1119"/>
      <c r="J62" s="912"/>
      <c r="K62" s="792" t="s">
        <v>2498</v>
      </c>
      <c r="L62" s="1095">
        <v>4043933275</v>
      </c>
      <c r="M62" s="1092"/>
      <c r="N62" s="394" t="s">
        <v>2695</v>
      </c>
      <c r="O62" s="1068" t="s">
        <v>4066</v>
      </c>
      <c r="P62" s="1132"/>
      <c r="Q62" s="1132"/>
      <c r="R62" s="1132"/>
      <c r="S62" s="1069"/>
    </row>
    <row r="63" spans="1:19" s="386" customFormat="1" ht="6.6" customHeight="1">
      <c r="D63" s="431"/>
      <c r="E63" s="786"/>
      <c r="F63" s="786"/>
      <c r="G63" s="778"/>
      <c r="H63" s="917"/>
      <c r="I63" s="917"/>
      <c r="J63" s="917"/>
      <c r="K63" s="792"/>
      <c r="L63" s="917"/>
      <c r="M63" s="917"/>
      <c r="N63" s="780"/>
      <c r="O63" s="916"/>
      <c r="P63" s="916"/>
      <c r="Q63" s="792"/>
      <c r="R63" s="916"/>
      <c r="S63" s="916"/>
    </row>
    <row r="64" spans="1:19" s="386" customFormat="1" ht="13.15" customHeight="1">
      <c r="B64" s="389" t="s">
        <v>2697</v>
      </c>
      <c r="C64" s="389" t="s">
        <v>313</v>
      </c>
      <c r="H64" s="1073"/>
      <c r="I64" s="1091"/>
      <c r="J64" s="1091"/>
      <c r="K64" s="1091"/>
      <c r="L64" s="1091"/>
      <c r="M64" s="1091"/>
      <c r="N64" s="1092"/>
      <c r="O64" s="778" t="s">
        <v>2701</v>
      </c>
      <c r="P64" s="778"/>
      <c r="Q64" s="1073"/>
      <c r="R64" s="1091"/>
      <c r="S64" s="1092"/>
    </row>
    <row r="65" spans="2:19" s="386" customFormat="1" ht="13.15" customHeight="1">
      <c r="D65" s="431"/>
      <c r="E65" s="392" t="s">
        <v>1424</v>
      </c>
      <c r="F65" s="400"/>
      <c r="H65" s="1073"/>
      <c r="I65" s="1091"/>
      <c r="J65" s="1091"/>
      <c r="K65" s="1091"/>
      <c r="L65" s="1091"/>
      <c r="M65" s="1091"/>
      <c r="N65" s="1092"/>
      <c r="O65" s="778" t="s">
        <v>2441</v>
      </c>
      <c r="Q65" s="1073"/>
      <c r="R65" s="1091"/>
      <c r="S65" s="1092"/>
    </row>
    <row r="66" spans="2:19" s="386" customFormat="1" ht="13.15" customHeight="1">
      <c r="D66" s="431"/>
      <c r="E66" s="392" t="s">
        <v>798</v>
      </c>
      <c r="H66" s="1073"/>
      <c r="I66" s="1091"/>
      <c r="J66" s="1092"/>
      <c r="O66" s="778" t="s">
        <v>2499</v>
      </c>
      <c r="Q66" s="1117"/>
      <c r="R66" s="1118"/>
      <c r="S66" s="1119"/>
    </row>
    <row r="67" spans="2:19" s="386" customFormat="1" ht="13.15" customHeight="1">
      <c r="E67" s="392" t="s">
        <v>2495</v>
      </c>
      <c r="H67" s="898"/>
      <c r="I67" s="417" t="s">
        <v>2954</v>
      </c>
      <c r="J67" s="1102"/>
      <c r="K67" s="1092"/>
      <c r="O67" s="778" t="s">
        <v>2690</v>
      </c>
      <c r="Q67" s="1117"/>
      <c r="R67" s="1118"/>
      <c r="S67" s="1119"/>
    </row>
    <row r="68" spans="2:19" s="386" customFormat="1" ht="13.15" customHeight="1">
      <c r="D68" s="431"/>
      <c r="E68" s="392" t="s">
        <v>2696</v>
      </c>
      <c r="H68" s="1117"/>
      <c r="I68" s="1119"/>
      <c r="J68" s="912"/>
      <c r="K68" s="792" t="s">
        <v>2498</v>
      </c>
      <c r="L68" s="1095"/>
      <c r="M68" s="1092"/>
      <c r="N68" s="394" t="s">
        <v>2695</v>
      </c>
      <c r="O68" s="1068"/>
      <c r="P68" s="1132"/>
      <c r="Q68" s="1132"/>
      <c r="R68" s="1132"/>
      <c r="S68" s="1069"/>
    </row>
    <row r="69" spans="2:19" s="386" customFormat="1" ht="6.6" customHeight="1">
      <c r="D69" s="431"/>
      <c r="E69" s="786"/>
      <c r="F69" s="786"/>
      <c r="G69" s="778"/>
      <c r="H69" s="917"/>
      <c r="I69" s="917"/>
      <c r="J69" s="917"/>
      <c r="K69" s="792"/>
      <c r="L69" s="917"/>
      <c r="M69" s="917"/>
      <c r="N69" s="780"/>
      <c r="O69" s="916"/>
      <c r="P69" s="916"/>
      <c r="Q69" s="792"/>
      <c r="R69" s="916"/>
      <c r="S69" s="916"/>
    </row>
    <row r="70" spans="2:19" s="386" customFormat="1" ht="13.15" customHeight="1">
      <c r="B70" s="389" t="s">
        <v>1054</v>
      </c>
      <c r="C70" s="389" t="s">
        <v>1985</v>
      </c>
      <c r="H70" s="1073"/>
      <c r="I70" s="1091"/>
      <c r="J70" s="1091"/>
      <c r="K70" s="1091"/>
      <c r="L70" s="1091"/>
      <c r="M70" s="1091"/>
      <c r="N70" s="1092"/>
      <c r="O70" s="778" t="s">
        <v>2701</v>
      </c>
      <c r="P70" s="778"/>
      <c r="Q70" s="1073"/>
      <c r="R70" s="1091"/>
      <c r="S70" s="1092"/>
    </row>
    <row r="71" spans="2:19" s="386" customFormat="1" ht="13.15" customHeight="1">
      <c r="D71" s="431"/>
      <c r="E71" s="392" t="s">
        <v>1424</v>
      </c>
      <c r="F71" s="400"/>
      <c r="H71" s="1073"/>
      <c r="I71" s="1091"/>
      <c r="J71" s="1091"/>
      <c r="K71" s="1091"/>
      <c r="L71" s="1091"/>
      <c r="M71" s="1091"/>
      <c r="N71" s="1092"/>
      <c r="O71" s="778" t="s">
        <v>2441</v>
      </c>
      <c r="Q71" s="1073"/>
      <c r="R71" s="1091"/>
      <c r="S71" s="1092"/>
    </row>
    <row r="72" spans="2:19" s="386" customFormat="1" ht="13.15" customHeight="1">
      <c r="D72" s="431"/>
      <c r="E72" s="392" t="s">
        <v>798</v>
      </c>
      <c r="H72" s="1073"/>
      <c r="I72" s="1091"/>
      <c r="J72" s="1092"/>
      <c r="O72" s="778" t="s">
        <v>2499</v>
      </c>
      <c r="Q72" s="1117"/>
      <c r="R72" s="1118"/>
      <c r="S72" s="1119"/>
    </row>
    <row r="73" spans="2:19" s="386" customFormat="1" ht="13.15" customHeight="1">
      <c r="E73" s="392" t="s">
        <v>2495</v>
      </c>
      <c r="H73" s="898"/>
      <c r="I73" s="417" t="s">
        <v>2954</v>
      </c>
      <c r="J73" s="1102"/>
      <c r="K73" s="1092"/>
      <c r="O73" s="778" t="s">
        <v>2690</v>
      </c>
      <c r="Q73" s="1117"/>
      <c r="R73" s="1118"/>
      <c r="S73" s="1119"/>
    </row>
    <row r="74" spans="2:19" s="386" customFormat="1" ht="13.15" customHeight="1">
      <c r="D74" s="431"/>
      <c r="E74" s="392" t="s">
        <v>2696</v>
      </c>
      <c r="H74" s="1117"/>
      <c r="I74" s="1119"/>
      <c r="J74" s="912"/>
      <c r="K74" s="792" t="s">
        <v>2498</v>
      </c>
      <c r="L74" s="1095"/>
      <c r="M74" s="1092"/>
      <c r="N74" s="394" t="s">
        <v>2695</v>
      </c>
      <c r="O74" s="1068"/>
      <c r="P74" s="1132"/>
      <c r="Q74" s="1132"/>
      <c r="R74" s="1132"/>
      <c r="S74" s="1069"/>
    </row>
    <row r="75" spans="2:19" ht="6.6" customHeight="1">
      <c r="H75" s="917"/>
      <c r="I75" s="917"/>
      <c r="J75" s="917"/>
      <c r="K75" s="792"/>
      <c r="L75" s="917"/>
      <c r="M75" s="917"/>
      <c r="N75" s="780"/>
      <c r="O75" s="916"/>
      <c r="P75" s="916"/>
      <c r="Q75" s="792"/>
      <c r="R75" s="916"/>
      <c r="S75" s="916"/>
    </row>
    <row r="76" spans="2:19" s="386" customFormat="1" ht="13.15" customHeight="1">
      <c r="B76" s="389" t="s">
        <v>2830</v>
      </c>
      <c r="C76" s="389" t="s">
        <v>314</v>
      </c>
      <c r="H76" s="1073"/>
      <c r="I76" s="1091"/>
      <c r="J76" s="1091"/>
      <c r="K76" s="1091"/>
      <c r="L76" s="1091"/>
      <c r="M76" s="1091"/>
      <c r="N76" s="1092"/>
      <c r="O76" s="778" t="s">
        <v>2701</v>
      </c>
      <c r="P76" s="778"/>
      <c r="Q76" s="1073"/>
      <c r="R76" s="1091"/>
      <c r="S76" s="1092"/>
    </row>
    <row r="77" spans="2:19" s="386" customFormat="1" ht="13.15" customHeight="1">
      <c r="D77" s="431"/>
      <c r="E77" s="392" t="s">
        <v>1424</v>
      </c>
      <c r="F77" s="400"/>
      <c r="H77" s="1073"/>
      <c r="I77" s="1091"/>
      <c r="J77" s="1091"/>
      <c r="K77" s="1091"/>
      <c r="L77" s="1091"/>
      <c r="M77" s="1091"/>
      <c r="N77" s="1092"/>
      <c r="O77" s="778" t="s">
        <v>2441</v>
      </c>
      <c r="Q77" s="1073"/>
      <c r="R77" s="1091"/>
      <c r="S77" s="1092"/>
    </row>
    <row r="78" spans="2:19" s="386" customFormat="1" ht="13.15" customHeight="1">
      <c r="D78" s="431"/>
      <c r="E78" s="392" t="s">
        <v>798</v>
      </c>
      <c r="H78" s="1073"/>
      <c r="I78" s="1091"/>
      <c r="J78" s="1092"/>
      <c r="O78" s="778" t="s">
        <v>2499</v>
      </c>
      <c r="Q78" s="1117"/>
      <c r="R78" s="1118"/>
      <c r="S78" s="1119"/>
    </row>
    <row r="79" spans="2:19" s="386" customFormat="1" ht="13.15" customHeight="1">
      <c r="E79" s="392" t="s">
        <v>2495</v>
      </c>
      <c r="H79" s="898"/>
      <c r="I79" s="417" t="s">
        <v>2954</v>
      </c>
      <c r="J79" s="1102"/>
      <c r="K79" s="1092"/>
      <c r="O79" s="778" t="s">
        <v>2690</v>
      </c>
      <c r="Q79" s="1117"/>
      <c r="R79" s="1118"/>
      <c r="S79" s="1119"/>
    </row>
    <row r="80" spans="2:19" s="386" customFormat="1" ht="13.15" customHeight="1">
      <c r="D80" s="431"/>
      <c r="E80" s="392" t="s">
        <v>2696</v>
      </c>
      <c r="H80" s="1117"/>
      <c r="I80" s="1119"/>
      <c r="J80" s="912"/>
      <c r="K80" s="792" t="s">
        <v>2498</v>
      </c>
      <c r="L80" s="1095"/>
      <c r="M80" s="1092"/>
      <c r="N80" s="394" t="s">
        <v>2695</v>
      </c>
      <c r="O80" s="1068"/>
      <c r="P80" s="1132"/>
      <c r="Q80" s="1132"/>
      <c r="R80" s="1132"/>
      <c r="S80" s="1069"/>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915"/>
      <c r="I83" s="915"/>
      <c r="J83" s="915"/>
      <c r="K83" s="780"/>
      <c r="L83" s="915"/>
      <c r="M83" s="915"/>
      <c r="N83" s="780"/>
      <c r="O83" s="916"/>
      <c r="P83" s="916"/>
      <c r="Q83" s="792"/>
      <c r="R83" s="916"/>
      <c r="S83" s="916"/>
    </row>
    <row r="84" spans="1:19" s="386" customFormat="1" ht="13.15" customHeight="1">
      <c r="B84" s="389" t="s">
        <v>2694</v>
      </c>
      <c r="C84" s="389" t="s">
        <v>316</v>
      </c>
      <c r="H84" s="1073"/>
      <c r="I84" s="1091"/>
      <c r="J84" s="1091"/>
      <c r="K84" s="1091"/>
      <c r="L84" s="1091"/>
      <c r="M84" s="1091"/>
      <c r="N84" s="1092"/>
      <c r="O84" s="778" t="s">
        <v>2701</v>
      </c>
      <c r="P84" s="778"/>
      <c r="Q84" s="1073"/>
      <c r="R84" s="1091"/>
      <c r="S84" s="1092"/>
    </row>
    <row r="85" spans="1:19" s="386" customFormat="1" ht="13.15" customHeight="1">
      <c r="D85" s="431"/>
      <c r="E85" s="392" t="s">
        <v>1424</v>
      </c>
      <c r="F85" s="400"/>
      <c r="H85" s="1073"/>
      <c r="I85" s="1091"/>
      <c r="J85" s="1091"/>
      <c r="K85" s="1091"/>
      <c r="L85" s="1091"/>
      <c r="M85" s="1091"/>
      <c r="N85" s="1092"/>
      <c r="O85" s="778" t="s">
        <v>2441</v>
      </c>
      <c r="Q85" s="1073"/>
      <c r="R85" s="1091"/>
      <c r="S85" s="1092"/>
    </row>
    <row r="86" spans="1:19" s="386" customFormat="1" ht="13.15" customHeight="1">
      <c r="D86" s="431"/>
      <c r="E86" s="392" t="s">
        <v>798</v>
      </c>
      <c r="H86" s="1073"/>
      <c r="I86" s="1091"/>
      <c r="J86" s="1092"/>
      <c r="O86" s="778" t="s">
        <v>2499</v>
      </c>
      <c r="Q86" s="1117"/>
      <c r="R86" s="1118"/>
      <c r="S86" s="1119"/>
    </row>
    <row r="87" spans="1:19" s="386" customFormat="1" ht="13.15" customHeight="1">
      <c r="E87" s="392" t="s">
        <v>2495</v>
      </c>
      <c r="H87" s="898"/>
      <c r="I87" s="417" t="s">
        <v>2954</v>
      </c>
      <c r="J87" s="1102"/>
      <c r="K87" s="1092"/>
      <c r="O87" s="778" t="s">
        <v>2690</v>
      </c>
      <c r="Q87" s="1117"/>
      <c r="R87" s="1118"/>
      <c r="S87" s="1119"/>
    </row>
    <row r="88" spans="1:19" s="386" customFormat="1" ht="13.15" customHeight="1">
      <c r="D88" s="431"/>
      <c r="E88" s="392" t="s">
        <v>2696</v>
      </c>
      <c r="H88" s="1117"/>
      <c r="I88" s="1119"/>
      <c r="J88" s="912"/>
      <c r="K88" s="792" t="s">
        <v>2498</v>
      </c>
      <c r="L88" s="1095"/>
      <c r="M88" s="1092"/>
      <c r="N88" s="394" t="s">
        <v>2695</v>
      </c>
      <c r="O88" s="1068"/>
      <c r="P88" s="1132"/>
      <c r="Q88" s="1132"/>
      <c r="R88" s="1132"/>
      <c r="S88" s="1069"/>
    </row>
    <row r="89" spans="1:19" ht="6.6" customHeight="1">
      <c r="H89" s="917"/>
      <c r="I89" s="917"/>
      <c r="J89" s="917"/>
      <c r="K89" s="792"/>
      <c r="L89" s="917"/>
      <c r="M89" s="917"/>
      <c r="N89" s="780"/>
      <c r="O89" s="916"/>
      <c r="P89" s="916"/>
      <c r="Q89" s="792"/>
      <c r="R89" s="916"/>
      <c r="S89" s="916"/>
    </row>
    <row r="90" spans="1:19" s="386" customFormat="1" ht="13.15" customHeight="1">
      <c r="B90" s="389" t="s">
        <v>2697</v>
      </c>
      <c r="C90" s="389" t="s">
        <v>317</v>
      </c>
      <c r="H90" s="1073" t="s">
        <v>4077</v>
      </c>
      <c r="I90" s="1091"/>
      <c r="J90" s="1091"/>
      <c r="K90" s="1091"/>
      <c r="L90" s="1091"/>
      <c r="M90" s="1091"/>
      <c r="N90" s="1092"/>
      <c r="O90" s="778" t="s">
        <v>2701</v>
      </c>
      <c r="P90" s="778"/>
      <c r="Q90" s="1073" t="s">
        <v>4145</v>
      </c>
      <c r="R90" s="1091"/>
      <c r="S90" s="1092"/>
    </row>
    <row r="91" spans="1:19" s="386" customFormat="1" ht="13.15" customHeight="1">
      <c r="D91" s="431"/>
      <c r="E91" s="392" t="s">
        <v>1424</v>
      </c>
      <c r="F91" s="400"/>
      <c r="H91" s="1073" t="s">
        <v>4073</v>
      </c>
      <c r="I91" s="1091"/>
      <c r="J91" s="1091"/>
      <c r="K91" s="1091"/>
      <c r="L91" s="1091"/>
      <c r="M91" s="1091"/>
      <c r="N91" s="1092"/>
      <c r="O91" s="778" t="s">
        <v>2441</v>
      </c>
      <c r="Q91" s="1073" t="s">
        <v>4146</v>
      </c>
      <c r="R91" s="1091"/>
      <c r="S91" s="1092"/>
    </row>
    <row r="92" spans="1:19" s="386" customFormat="1" ht="13.15" customHeight="1">
      <c r="D92" s="431"/>
      <c r="E92" s="392" t="s">
        <v>798</v>
      </c>
      <c r="H92" s="1073" t="s">
        <v>3317</v>
      </c>
      <c r="I92" s="1091"/>
      <c r="J92" s="1092"/>
      <c r="O92" s="778" t="s">
        <v>2499</v>
      </c>
      <c r="Q92" s="1117">
        <v>5734432021</v>
      </c>
      <c r="R92" s="1118"/>
      <c r="S92" s="1119"/>
    </row>
    <row r="93" spans="1:19" s="386" customFormat="1" ht="13.15" customHeight="1">
      <c r="E93" s="392" t="s">
        <v>2495</v>
      </c>
      <c r="H93" s="898" t="s">
        <v>1776</v>
      </c>
      <c r="I93" s="417" t="s">
        <v>2954</v>
      </c>
      <c r="J93" s="1102">
        <v>652034924</v>
      </c>
      <c r="K93" s="1092"/>
      <c r="O93" s="778" t="s">
        <v>2690</v>
      </c>
      <c r="Q93" s="1117"/>
      <c r="R93" s="1118"/>
      <c r="S93" s="1119"/>
    </row>
    <row r="94" spans="1:19" s="386" customFormat="1" ht="13.15" customHeight="1">
      <c r="D94" s="431"/>
      <c r="E94" s="392" t="s">
        <v>2696</v>
      </c>
      <c r="H94" s="1117">
        <v>5734432021</v>
      </c>
      <c r="I94" s="1119"/>
      <c r="J94" s="912"/>
      <c r="K94" s="792" t="s">
        <v>2498</v>
      </c>
      <c r="L94" s="1095">
        <v>5734430008</v>
      </c>
      <c r="M94" s="1092"/>
      <c r="N94" s="394" t="s">
        <v>2695</v>
      </c>
      <c r="O94" s="1068" t="s">
        <v>4147</v>
      </c>
      <c r="P94" s="1132"/>
      <c r="Q94" s="1132"/>
      <c r="R94" s="1132"/>
      <c r="S94" s="1069"/>
    </row>
    <row r="95" spans="1:19" ht="6.6" customHeight="1">
      <c r="H95" s="917"/>
      <c r="I95" s="917"/>
      <c r="J95" s="917"/>
      <c r="K95" s="792"/>
      <c r="L95" s="917"/>
      <c r="M95" s="917"/>
      <c r="N95" s="780"/>
      <c r="O95" s="916"/>
      <c r="P95" s="916"/>
      <c r="Q95" s="792"/>
      <c r="R95" s="916"/>
      <c r="S95" s="916"/>
    </row>
    <row r="96" spans="1:19" s="386" customFormat="1" ht="13.15" customHeight="1">
      <c r="B96" s="389" t="s">
        <v>1054</v>
      </c>
      <c r="C96" s="389" t="s">
        <v>318</v>
      </c>
      <c r="F96" s="406"/>
      <c r="H96" s="1073" t="s">
        <v>4078</v>
      </c>
      <c r="I96" s="1091"/>
      <c r="J96" s="1091"/>
      <c r="K96" s="1091"/>
      <c r="L96" s="1091"/>
      <c r="M96" s="1091"/>
      <c r="N96" s="1092"/>
      <c r="O96" s="778" t="s">
        <v>2701</v>
      </c>
      <c r="P96" s="778"/>
      <c r="Q96" s="1073" t="s">
        <v>4074</v>
      </c>
      <c r="R96" s="1091"/>
      <c r="S96" s="1092"/>
    </row>
    <row r="97" spans="2:19" s="386" customFormat="1" ht="13.15" customHeight="1">
      <c r="D97" s="431"/>
      <c r="E97" s="392" t="s">
        <v>1424</v>
      </c>
      <c r="F97" s="400"/>
      <c r="H97" s="1073" t="s">
        <v>4073</v>
      </c>
      <c r="I97" s="1091"/>
      <c r="J97" s="1091"/>
      <c r="K97" s="1091"/>
      <c r="L97" s="1091"/>
      <c r="M97" s="1091"/>
      <c r="N97" s="1092"/>
      <c r="O97" s="778" t="s">
        <v>2441</v>
      </c>
      <c r="Q97" s="1073" t="s">
        <v>4079</v>
      </c>
      <c r="R97" s="1091"/>
      <c r="S97" s="1092"/>
    </row>
    <row r="98" spans="2:19" s="386" customFormat="1" ht="13.15" customHeight="1">
      <c r="D98" s="431"/>
      <c r="E98" s="392" t="s">
        <v>798</v>
      </c>
      <c r="H98" s="1073" t="s">
        <v>3317</v>
      </c>
      <c r="I98" s="1091"/>
      <c r="J98" s="1092"/>
      <c r="O98" s="778" t="s">
        <v>2499</v>
      </c>
      <c r="Q98" s="1117">
        <v>5734432021</v>
      </c>
      <c r="R98" s="1118"/>
      <c r="S98" s="1119"/>
    </row>
    <row r="99" spans="2:19" s="386" customFormat="1" ht="13.15" customHeight="1">
      <c r="D99" s="431"/>
      <c r="E99" s="392" t="s">
        <v>2495</v>
      </c>
      <c r="H99" s="898" t="s">
        <v>1776</v>
      </c>
      <c r="I99" s="417" t="s">
        <v>2954</v>
      </c>
      <c r="J99" s="1102">
        <v>652034924</v>
      </c>
      <c r="K99" s="1092"/>
      <c r="O99" s="778" t="s">
        <v>2690</v>
      </c>
      <c r="Q99" s="1117">
        <v>5734248811</v>
      </c>
      <c r="R99" s="1118"/>
      <c r="S99" s="1119"/>
    </row>
    <row r="100" spans="2:19" s="386" customFormat="1" ht="13.15" customHeight="1">
      <c r="D100" s="431"/>
      <c r="E100" s="392" t="s">
        <v>2696</v>
      </c>
      <c r="H100" s="1117">
        <v>5734432021</v>
      </c>
      <c r="I100" s="1119"/>
      <c r="J100" s="912"/>
      <c r="K100" s="792" t="s">
        <v>2498</v>
      </c>
      <c r="L100" s="1095"/>
      <c r="M100" s="1092"/>
      <c r="N100" s="394" t="s">
        <v>2695</v>
      </c>
      <c r="O100" s="1068" t="s">
        <v>4076</v>
      </c>
      <c r="P100" s="1132"/>
      <c r="Q100" s="1132"/>
      <c r="R100" s="1132"/>
      <c r="S100" s="1069"/>
    </row>
    <row r="101" spans="2:19" ht="6.6" customHeight="1">
      <c r="H101" s="917"/>
      <c r="I101" s="917"/>
      <c r="J101" s="917"/>
      <c r="K101" s="792"/>
      <c r="L101" s="917"/>
      <c r="M101" s="917"/>
      <c r="N101" s="780"/>
      <c r="O101" s="916"/>
      <c r="P101" s="916"/>
      <c r="Q101" s="792"/>
      <c r="R101" s="916"/>
      <c r="S101" s="916"/>
    </row>
    <row r="102" spans="2:19" s="386" customFormat="1" ht="13.15" customHeight="1">
      <c r="B102" s="389" t="s">
        <v>2830</v>
      </c>
      <c r="C102" s="389" t="s">
        <v>319</v>
      </c>
      <c r="H102" s="1073" t="s">
        <v>4080</v>
      </c>
      <c r="I102" s="1091"/>
      <c r="J102" s="1091"/>
      <c r="K102" s="1091"/>
      <c r="L102" s="1091"/>
      <c r="M102" s="1091"/>
      <c r="N102" s="1092"/>
      <c r="O102" s="778" t="s">
        <v>2701</v>
      </c>
      <c r="P102" s="778"/>
      <c r="Q102" s="1073" t="s">
        <v>4082</v>
      </c>
      <c r="R102" s="1091"/>
      <c r="S102" s="1092"/>
    </row>
    <row r="103" spans="2:19" s="386" customFormat="1" ht="13.15" customHeight="1">
      <c r="D103" s="431"/>
      <c r="E103" s="392" t="s">
        <v>1424</v>
      </c>
      <c r="F103" s="400"/>
      <c r="H103" s="1073" t="s">
        <v>4081</v>
      </c>
      <c r="I103" s="1091"/>
      <c r="J103" s="1091"/>
      <c r="K103" s="1091"/>
      <c r="L103" s="1091"/>
      <c r="M103" s="1091"/>
      <c r="N103" s="1092"/>
      <c r="O103" s="778" t="s">
        <v>2441</v>
      </c>
      <c r="Q103" s="1073" t="s">
        <v>4083</v>
      </c>
      <c r="R103" s="1091"/>
      <c r="S103" s="1092"/>
    </row>
    <row r="104" spans="2:19" s="386" customFormat="1" ht="13.15" customHeight="1">
      <c r="D104" s="431"/>
      <c r="E104" s="392" t="s">
        <v>798</v>
      </c>
      <c r="H104" s="1073" t="s">
        <v>2386</v>
      </c>
      <c r="I104" s="1091"/>
      <c r="J104" s="1092"/>
      <c r="O104" s="778" t="s">
        <v>2499</v>
      </c>
      <c r="Q104" s="1117">
        <v>2292427562</v>
      </c>
      <c r="R104" s="1118"/>
      <c r="S104" s="1119"/>
    </row>
    <row r="105" spans="2:19" s="386" customFormat="1" ht="13.15" customHeight="1">
      <c r="D105" s="431"/>
      <c r="E105" s="392" t="s">
        <v>2495</v>
      </c>
      <c r="H105" s="898" t="s">
        <v>1242</v>
      </c>
      <c r="I105" s="417" t="s">
        <v>2954</v>
      </c>
      <c r="J105" s="1102">
        <v>316014531</v>
      </c>
      <c r="K105" s="1092"/>
      <c r="O105" s="778" t="s">
        <v>2690</v>
      </c>
      <c r="Q105" s="1117">
        <v>2293001404</v>
      </c>
      <c r="R105" s="1118"/>
      <c r="S105" s="1119"/>
    </row>
    <row r="106" spans="2:19" ht="13.15" customHeight="1">
      <c r="E106" s="392" t="s">
        <v>2696</v>
      </c>
      <c r="F106" s="386"/>
      <c r="G106" s="386"/>
      <c r="H106" s="1117">
        <v>2296718216</v>
      </c>
      <c r="I106" s="1119"/>
      <c r="J106" s="912"/>
      <c r="K106" s="792" t="s">
        <v>2498</v>
      </c>
      <c r="L106" s="1095">
        <v>2293330885</v>
      </c>
      <c r="M106" s="1092"/>
      <c r="N106" s="394" t="s">
        <v>2695</v>
      </c>
      <c r="O106" s="1068" t="s">
        <v>4084</v>
      </c>
      <c r="P106" s="1132"/>
      <c r="Q106" s="1132"/>
      <c r="R106" s="1132"/>
      <c r="S106" s="1069"/>
    </row>
    <row r="107" spans="2:19" ht="6" customHeight="1">
      <c r="E107" s="392"/>
      <c r="F107" s="386"/>
      <c r="G107" s="386"/>
      <c r="H107" s="386"/>
      <c r="I107" s="386"/>
      <c r="J107" s="386"/>
      <c r="K107" s="386"/>
      <c r="L107" s="386"/>
      <c r="M107" s="386"/>
      <c r="N107" s="386"/>
      <c r="O107" s="386"/>
      <c r="P107" s="386"/>
      <c r="Q107" s="792"/>
      <c r="R107" s="792"/>
      <c r="S107" s="919"/>
    </row>
    <row r="108" spans="2:19" ht="0.6" customHeight="1">
      <c r="E108" s="392"/>
      <c r="F108" s="386"/>
      <c r="G108" s="786"/>
      <c r="H108" s="915"/>
      <c r="I108" s="915"/>
      <c r="J108" s="915"/>
      <c r="K108" s="780"/>
      <c r="L108" s="915"/>
      <c r="M108" s="915"/>
      <c r="N108" s="780"/>
      <c r="O108" s="916"/>
      <c r="P108" s="916"/>
      <c r="Q108" s="792"/>
      <c r="R108" s="916"/>
      <c r="S108" s="916"/>
    </row>
    <row r="109" spans="2:19" s="386" customFormat="1" ht="13.15" customHeight="1">
      <c r="B109" s="389" t="s">
        <v>2428</v>
      </c>
      <c r="C109" s="389" t="s">
        <v>320</v>
      </c>
      <c r="H109" s="1073" t="s">
        <v>4091</v>
      </c>
      <c r="I109" s="1091"/>
      <c r="J109" s="1091"/>
      <c r="K109" s="1091"/>
      <c r="L109" s="1091"/>
      <c r="M109" s="1091"/>
      <c r="N109" s="1092"/>
      <c r="O109" s="778" t="s">
        <v>2701</v>
      </c>
      <c r="P109" s="778"/>
      <c r="Q109" s="1073" t="s">
        <v>4092</v>
      </c>
      <c r="R109" s="1091"/>
      <c r="S109" s="1092"/>
    </row>
    <row r="110" spans="2:19" s="386" customFormat="1" ht="13.15" customHeight="1">
      <c r="D110" s="431"/>
      <c r="E110" s="392" t="s">
        <v>1424</v>
      </c>
      <c r="F110" s="400"/>
      <c r="H110" s="1073" t="s">
        <v>4094</v>
      </c>
      <c r="I110" s="1091"/>
      <c r="J110" s="1091"/>
      <c r="K110" s="1091"/>
      <c r="L110" s="1091"/>
      <c r="M110" s="1091"/>
      <c r="N110" s="1092"/>
      <c r="O110" s="778" t="s">
        <v>2441</v>
      </c>
      <c r="Q110" s="1073" t="s">
        <v>4083</v>
      </c>
      <c r="R110" s="1091"/>
      <c r="S110" s="1092"/>
    </row>
    <row r="111" spans="2:19" s="386" customFormat="1" ht="13.15" customHeight="1">
      <c r="D111" s="431"/>
      <c r="E111" s="392" t="s">
        <v>798</v>
      </c>
      <c r="H111" s="1073" t="s">
        <v>1626</v>
      </c>
      <c r="I111" s="1091"/>
      <c r="J111" s="1092"/>
      <c r="O111" s="778" t="s">
        <v>2499</v>
      </c>
      <c r="Q111" s="1117">
        <v>4048477714</v>
      </c>
      <c r="R111" s="1118"/>
      <c r="S111" s="1119"/>
    </row>
    <row r="112" spans="2:19" s="386" customFormat="1" ht="13.15" customHeight="1">
      <c r="D112" s="431"/>
      <c r="E112" s="392" t="s">
        <v>2495</v>
      </c>
      <c r="H112" s="898" t="s">
        <v>1242</v>
      </c>
      <c r="I112" s="417" t="s">
        <v>2954</v>
      </c>
      <c r="J112" s="1102">
        <v>303264276</v>
      </c>
      <c r="K112" s="1092"/>
      <c r="O112" s="778" t="s">
        <v>2690</v>
      </c>
      <c r="Q112" s="1117"/>
      <c r="R112" s="1118"/>
      <c r="S112" s="1119"/>
    </row>
    <row r="113" spans="1:19" ht="13.15" customHeight="1">
      <c r="E113" s="392" t="s">
        <v>2696</v>
      </c>
      <c r="F113" s="386"/>
      <c r="G113" s="386"/>
      <c r="H113" s="1117">
        <v>4048477714</v>
      </c>
      <c r="I113" s="1119"/>
      <c r="J113" s="912"/>
      <c r="K113" s="792" t="s">
        <v>2498</v>
      </c>
      <c r="L113" s="1095">
        <v>4048477715</v>
      </c>
      <c r="M113" s="1092"/>
      <c r="N113" s="394" t="s">
        <v>2695</v>
      </c>
      <c r="O113" s="1068" t="s">
        <v>4093</v>
      </c>
      <c r="P113" s="1132"/>
      <c r="Q113" s="1132"/>
      <c r="R113" s="1132"/>
      <c r="S113" s="1069"/>
    </row>
    <row r="114" spans="1:19" ht="6.6" customHeight="1">
      <c r="E114" s="392"/>
      <c r="F114" s="386"/>
      <c r="G114" s="786"/>
      <c r="H114" s="917"/>
      <c r="I114" s="917"/>
      <c r="J114" s="917"/>
      <c r="K114" s="792"/>
      <c r="L114" s="917"/>
      <c r="M114" s="917"/>
      <c r="N114" s="780"/>
      <c r="O114" s="916"/>
      <c r="P114" s="916"/>
      <c r="Q114" s="792"/>
      <c r="R114" s="916"/>
      <c r="S114" s="916"/>
    </row>
    <row r="115" spans="1:19" s="386" customFormat="1" ht="13.15" customHeight="1">
      <c r="B115" s="389" t="s">
        <v>2429</v>
      </c>
      <c r="C115" s="389" t="s">
        <v>321</v>
      </c>
      <c r="H115" s="1073" t="s">
        <v>4085</v>
      </c>
      <c r="I115" s="1091"/>
      <c r="J115" s="1091"/>
      <c r="K115" s="1091"/>
      <c r="L115" s="1091"/>
      <c r="M115" s="1091"/>
      <c r="N115" s="1092"/>
      <c r="O115" s="778" t="s">
        <v>2701</v>
      </c>
      <c r="P115" s="778"/>
      <c r="Q115" s="1073" t="s">
        <v>4087</v>
      </c>
      <c r="R115" s="1091"/>
      <c r="S115" s="1092"/>
    </row>
    <row r="116" spans="1:19" s="386" customFormat="1" ht="13.15" customHeight="1">
      <c r="D116" s="431"/>
      <c r="E116" s="392" t="s">
        <v>1424</v>
      </c>
      <c r="F116" s="400"/>
      <c r="H116" s="1073" t="s">
        <v>4086</v>
      </c>
      <c r="I116" s="1091"/>
      <c r="J116" s="1091"/>
      <c r="K116" s="1091"/>
      <c r="L116" s="1091"/>
      <c r="M116" s="1091"/>
      <c r="N116" s="1092"/>
      <c r="O116" s="778" t="s">
        <v>2441</v>
      </c>
      <c r="Q116" s="1073" t="s">
        <v>3256</v>
      </c>
      <c r="R116" s="1091"/>
      <c r="S116" s="1092"/>
    </row>
    <row r="117" spans="1:19" s="386" customFormat="1" ht="13.15" customHeight="1">
      <c r="D117" s="431"/>
      <c r="E117" s="392" t="s">
        <v>798</v>
      </c>
      <c r="H117" s="1073" t="s">
        <v>214</v>
      </c>
      <c r="I117" s="1091"/>
      <c r="J117" s="1092"/>
      <c r="O117" s="778" t="s">
        <v>2499</v>
      </c>
      <c r="Q117" s="1117">
        <v>4043732800</v>
      </c>
      <c r="R117" s="1118"/>
      <c r="S117" s="1119"/>
    </row>
    <row r="118" spans="1:19" s="386" customFormat="1" ht="13.15" customHeight="1">
      <c r="D118" s="436"/>
      <c r="E118" s="392" t="s">
        <v>2495</v>
      </c>
      <c r="H118" s="898" t="s">
        <v>1242</v>
      </c>
      <c r="I118" s="417" t="s">
        <v>2954</v>
      </c>
      <c r="J118" s="1102">
        <v>300303330</v>
      </c>
      <c r="K118" s="1092"/>
      <c r="O118" s="778" t="s">
        <v>2690</v>
      </c>
      <c r="Q118" s="1117"/>
      <c r="R118" s="1118"/>
      <c r="S118" s="1119"/>
    </row>
    <row r="119" spans="1:19" s="386" customFormat="1" ht="13.15" customHeight="1">
      <c r="D119" s="436"/>
      <c r="E119" s="392" t="s">
        <v>2696</v>
      </c>
      <c r="H119" s="1117">
        <v>4043732800</v>
      </c>
      <c r="I119" s="1119"/>
      <c r="J119" s="912"/>
      <c r="K119" s="792" t="s">
        <v>2498</v>
      </c>
      <c r="L119" s="1095"/>
      <c r="M119" s="1092"/>
      <c r="N119" s="394" t="s">
        <v>2695</v>
      </c>
      <c r="O119" s="1068" t="s">
        <v>4088</v>
      </c>
      <c r="P119" s="1132"/>
      <c r="Q119" s="1132"/>
      <c r="R119" s="1132"/>
      <c r="S119" s="1069"/>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1185" t="s">
        <v>820</v>
      </c>
      <c r="B123" s="1186"/>
      <c r="C123" s="1186"/>
      <c r="D123" s="1187"/>
      <c r="E123" s="1194" t="s">
        <v>3950</v>
      </c>
      <c r="F123" s="1199" t="s">
        <v>3098</v>
      </c>
      <c r="G123" s="1203" t="s">
        <v>3099</v>
      </c>
      <c r="H123" s="1204"/>
      <c r="I123" s="1205"/>
      <c r="J123" s="1203" t="s">
        <v>3100</v>
      </c>
      <c r="K123" s="1212"/>
      <c r="L123" s="1203" t="s">
        <v>3101</v>
      </c>
      <c r="M123" s="1217"/>
      <c r="N123" s="1203" t="s">
        <v>3102</v>
      </c>
      <c r="O123" s="1205"/>
      <c r="P123" s="1203" t="s">
        <v>3103</v>
      </c>
      <c r="Q123" s="1205"/>
      <c r="R123" s="1203" t="s">
        <v>3104</v>
      </c>
      <c r="S123" s="1228"/>
    </row>
    <row r="124" spans="1:19" s="386" customFormat="1" ht="21.6" customHeight="1">
      <c r="A124" s="1188"/>
      <c r="B124" s="1189"/>
      <c r="C124" s="1189"/>
      <c r="D124" s="1190"/>
      <c r="E124" s="1195"/>
      <c r="F124" s="1200"/>
      <c r="G124" s="1206"/>
      <c r="H124" s="1207"/>
      <c r="I124" s="1208"/>
      <c r="J124" s="1213"/>
      <c r="K124" s="1214"/>
      <c r="L124" s="1206"/>
      <c r="M124" s="1218"/>
      <c r="N124" s="1206"/>
      <c r="O124" s="1208"/>
      <c r="P124" s="1206"/>
      <c r="Q124" s="1208"/>
      <c r="R124" s="1206"/>
      <c r="S124" s="1229"/>
    </row>
    <row r="125" spans="1:19" s="386" customFormat="1" ht="21.6" customHeight="1">
      <c r="A125" s="1188"/>
      <c r="B125" s="1189"/>
      <c r="C125" s="1189"/>
      <c r="D125" s="1190"/>
      <c r="E125" s="1195"/>
      <c r="F125" s="1201"/>
      <c r="G125" s="1206"/>
      <c r="H125" s="1207"/>
      <c r="I125" s="1208"/>
      <c r="J125" s="1213"/>
      <c r="K125" s="1214"/>
      <c r="L125" s="1219"/>
      <c r="M125" s="1218"/>
      <c r="N125" s="1206"/>
      <c r="O125" s="1208"/>
      <c r="P125" s="1206"/>
      <c r="Q125" s="1208"/>
      <c r="R125" s="1230"/>
      <c r="S125" s="1229"/>
    </row>
    <row r="126" spans="1:19" s="386" customFormat="1" ht="21.6" customHeight="1">
      <c r="A126" s="1188"/>
      <c r="B126" s="1189"/>
      <c r="C126" s="1189"/>
      <c r="D126" s="1190"/>
      <c r="E126" s="1195"/>
      <c r="F126" s="1201"/>
      <c r="G126" s="1206"/>
      <c r="H126" s="1207"/>
      <c r="I126" s="1208"/>
      <c r="J126" s="1213"/>
      <c r="K126" s="1214"/>
      <c r="L126" s="1219"/>
      <c r="M126" s="1218"/>
      <c r="N126" s="1206"/>
      <c r="O126" s="1208"/>
      <c r="P126" s="1206"/>
      <c r="Q126" s="1208"/>
      <c r="R126" s="1230"/>
      <c r="S126" s="1229"/>
    </row>
    <row r="127" spans="1:19" s="386" customFormat="1" ht="21.6" customHeight="1">
      <c r="A127" s="1191"/>
      <c r="B127" s="1192"/>
      <c r="C127" s="1192"/>
      <c r="D127" s="1193"/>
      <c r="E127" s="1196"/>
      <c r="F127" s="1202"/>
      <c r="G127" s="1209"/>
      <c r="H127" s="1210"/>
      <c r="I127" s="1211"/>
      <c r="J127" s="1215"/>
      <c r="K127" s="1216"/>
      <c r="L127" s="1220"/>
      <c r="M127" s="1221"/>
      <c r="N127" s="1209"/>
      <c r="O127" s="1211"/>
      <c r="P127" s="1209"/>
      <c r="Q127" s="1211"/>
      <c r="R127" s="1231"/>
      <c r="S127" s="1232"/>
    </row>
    <row r="128" spans="1:19" s="386" customFormat="1" ht="15" customHeight="1">
      <c r="A128" s="787" t="s">
        <v>3097</v>
      </c>
      <c r="B128" s="788"/>
      <c r="C128" s="788"/>
      <c r="D128" s="789"/>
      <c r="E128" s="920" t="s">
        <v>4067</v>
      </c>
      <c r="F128" s="920" t="s">
        <v>4067</v>
      </c>
      <c r="G128" s="1222" t="s">
        <v>4067</v>
      </c>
      <c r="H128" s="1233"/>
      <c r="I128" s="1223"/>
      <c r="J128" s="1222" t="s">
        <v>4068</v>
      </c>
      <c r="K128" s="1223"/>
      <c r="L128" s="1222" t="s">
        <v>4067</v>
      </c>
      <c r="M128" s="1223"/>
      <c r="N128" s="1222" t="s">
        <v>4067</v>
      </c>
      <c r="O128" s="1223"/>
      <c r="P128" s="1224" t="s">
        <v>4089</v>
      </c>
      <c r="Q128" s="1225"/>
      <c r="R128" s="1226">
        <v>1E-4</v>
      </c>
      <c r="S128" s="1227"/>
    </row>
    <row r="129" spans="1:19" s="386" customFormat="1" ht="15" customHeight="1">
      <c r="A129" s="785" t="s">
        <v>3087</v>
      </c>
      <c r="B129" s="786"/>
      <c r="C129" s="786"/>
      <c r="D129" s="790"/>
      <c r="E129" s="921"/>
      <c r="F129" s="921"/>
      <c r="G129" s="1238"/>
      <c r="H129" s="1239"/>
      <c r="I129" s="1240"/>
      <c r="J129" s="1238"/>
      <c r="K129" s="1240"/>
      <c r="L129" s="1238"/>
      <c r="M129" s="1240"/>
      <c r="N129" s="1238"/>
      <c r="O129" s="1240"/>
      <c r="P129" s="1234"/>
      <c r="Q129" s="1235"/>
      <c r="R129" s="1236"/>
      <c r="S129" s="1237"/>
    </row>
    <row r="130" spans="1:19" s="386" customFormat="1" ht="15" customHeight="1">
      <c r="A130" s="785" t="s">
        <v>3088</v>
      </c>
      <c r="B130" s="786"/>
      <c r="C130" s="786"/>
      <c r="D130" s="790"/>
      <c r="E130" s="921"/>
      <c r="F130" s="921"/>
      <c r="G130" s="1238"/>
      <c r="H130" s="1239"/>
      <c r="I130" s="1240"/>
      <c r="J130" s="1238"/>
      <c r="K130" s="1240"/>
      <c r="L130" s="1238"/>
      <c r="M130" s="1240"/>
      <c r="N130" s="1238"/>
      <c r="O130" s="1240"/>
      <c r="P130" s="1234"/>
      <c r="Q130" s="1235"/>
      <c r="R130" s="1236"/>
      <c r="S130" s="1237"/>
    </row>
    <row r="131" spans="1:19" s="386" customFormat="1" ht="15" customHeight="1">
      <c r="A131" s="785" t="s">
        <v>3089</v>
      </c>
      <c r="B131" s="786"/>
      <c r="C131" s="786"/>
      <c r="D131" s="790"/>
      <c r="E131" s="921" t="s">
        <v>4067</v>
      </c>
      <c r="F131" s="921" t="s">
        <v>4067</v>
      </c>
      <c r="G131" s="1238" t="s">
        <v>4067</v>
      </c>
      <c r="H131" s="1239"/>
      <c r="I131" s="1240"/>
      <c r="J131" s="1238" t="s">
        <v>4068</v>
      </c>
      <c r="K131" s="1240"/>
      <c r="L131" s="1238" t="s">
        <v>4067</v>
      </c>
      <c r="M131" s="1240"/>
      <c r="N131" s="1238" t="s">
        <v>4067</v>
      </c>
      <c r="O131" s="1240"/>
      <c r="P131" s="1234" t="s">
        <v>4089</v>
      </c>
      <c r="Q131" s="1235"/>
      <c r="R131" s="1236">
        <v>0.9899</v>
      </c>
      <c r="S131" s="1237"/>
    </row>
    <row r="132" spans="1:19" s="386" customFormat="1" ht="15" customHeight="1">
      <c r="A132" s="785" t="s">
        <v>3090</v>
      </c>
      <c r="B132" s="786"/>
      <c r="C132" s="786"/>
      <c r="D132" s="790"/>
      <c r="E132" s="921" t="s">
        <v>4067</v>
      </c>
      <c r="F132" s="921" t="s">
        <v>4067</v>
      </c>
      <c r="G132" s="1238" t="s">
        <v>4067</v>
      </c>
      <c r="H132" s="1239"/>
      <c r="I132" s="1240"/>
      <c r="J132" s="1238" t="s">
        <v>4068</v>
      </c>
      <c r="K132" s="1240"/>
      <c r="L132" s="1238" t="s">
        <v>4067</v>
      </c>
      <c r="M132" s="1240"/>
      <c r="N132" s="1238" t="s">
        <v>4067</v>
      </c>
      <c r="O132" s="1240"/>
      <c r="P132" s="1234" t="s">
        <v>4089</v>
      </c>
      <c r="Q132" s="1235"/>
      <c r="R132" s="1236">
        <v>0.01</v>
      </c>
      <c r="S132" s="1237"/>
    </row>
    <row r="133" spans="1:19" s="386" customFormat="1" ht="15" customHeight="1">
      <c r="A133" s="785" t="s">
        <v>3091</v>
      </c>
      <c r="B133" s="786"/>
      <c r="C133" s="786"/>
      <c r="D133" s="790"/>
      <c r="E133" s="921"/>
      <c r="F133" s="921"/>
      <c r="G133" s="1238"/>
      <c r="H133" s="1239"/>
      <c r="I133" s="1240"/>
      <c r="J133" s="1238"/>
      <c r="K133" s="1240"/>
      <c r="L133" s="1238"/>
      <c r="M133" s="1240"/>
      <c r="N133" s="1238"/>
      <c r="O133" s="1240"/>
      <c r="P133" s="1234"/>
      <c r="Q133" s="1235"/>
      <c r="R133" s="1236"/>
      <c r="S133" s="1237"/>
    </row>
    <row r="134" spans="1:19" s="386" customFormat="1" ht="15" customHeight="1">
      <c r="A134" s="785" t="s">
        <v>838</v>
      </c>
      <c r="B134" s="786"/>
      <c r="C134" s="786"/>
      <c r="D134" s="790"/>
      <c r="E134" s="921" t="s">
        <v>4067</v>
      </c>
      <c r="F134" s="921" t="s">
        <v>4067</v>
      </c>
      <c r="G134" s="1238" t="s">
        <v>4067</v>
      </c>
      <c r="H134" s="1239"/>
      <c r="I134" s="1240"/>
      <c r="J134" s="1238" t="s">
        <v>4068</v>
      </c>
      <c r="K134" s="1240"/>
      <c r="L134" s="1238" t="s">
        <v>4067</v>
      </c>
      <c r="M134" s="1240"/>
      <c r="N134" s="1238" t="s">
        <v>4067</v>
      </c>
      <c r="O134" s="1240"/>
      <c r="P134" s="1234" t="s">
        <v>4089</v>
      </c>
      <c r="Q134" s="1235"/>
      <c r="R134" s="1236"/>
      <c r="S134" s="1237"/>
    </row>
    <row r="135" spans="1:19" s="386" customFormat="1" ht="15" customHeight="1">
      <c r="A135" s="785" t="s">
        <v>3092</v>
      </c>
      <c r="B135" s="786"/>
      <c r="C135" s="786"/>
      <c r="D135" s="790"/>
      <c r="E135" s="921"/>
      <c r="F135" s="921"/>
      <c r="G135" s="1238"/>
      <c r="H135" s="1239"/>
      <c r="I135" s="1240"/>
      <c r="J135" s="1238"/>
      <c r="K135" s="1240"/>
      <c r="L135" s="1238"/>
      <c r="M135" s="1240"/>
      <c r="N135" s="1238"/>
      <c r="O135" s="1240"/>
      <c r="P135" s="1234"/>
      <c r="Q135" s="1235"/>
      <c r="R135" s="1236"/>
      <c r="S135" s="1237"/>
    </row>
    <row r="136" spans="1:19" s="386" customFormat="1" ht="15" customHeight="1">
      <c r="A136" s="785" t="s">
        <v>3093</v>
      </c>
      <c r="B136" s="786"/>
      <c r="C136" s="786"/>
      <c r="D136" s="790"/>
      <c r="E136" s="921"/>
      <c r="F136" s="921"/>
      <c r="G136" s="1238"/>
      <c r="H136" s="1239"/>
      <c r="I136" s="1240"/>
      <c r="J136" s="1238"/>
      <c r="K136" s="1240"/>
      <c r="L136" s="1238"/>
      <c r="M136" s="1240"/>
      <c r="N136" s="1238"/>
      <c r="O136" s="1240"/>
      <c r="P136" s="1234"/>
      <c r="Q136" s="1235"/>
      <c r="R136" s="1236"/>
      <c r="S136" s="1237"/>
    </row>
    <row r="137" spans="1:19" s="386" customFormat="1" ht="15" customHeight="1">
      <c r="A137" s="785" t="s">
        <v>3094</v>
      </c>
      <c r="B137" s="786"/>
      <c r="C137" s="786"/>
      <c r="D137" s="790"/>
      <c r="E137" s="921"/>
      <c r="F137" s="921"/>
      <c r="G137" s="1238"/>
      <c r="H137" s="1239"/>
      <c r="I137" s="1240"/>
      <c r="J137" s="1238"/>
      <c r="K137" s="1240"/>
      <c r="L137" s="1238"/>
      <c r="M137" s="1240"/>
      <c r="N137" s="1238"/>
      <c r="O137" s="1240"/>
      <c r="P137" s="1234"/>
      <c r="Q137" s="1235"/>
      <c r="R137" s="1236"/>
      <c r="S137" s="1237"/>
    </row>
    <row r="138" spans="1:19" s="386" customFormat="1" ht="15" customHeight="1">
      <c r="A138" s="785" t="s">
        <v>3095</v>
      </c>
      <c r="B138" s="786"/>
      <c r="C138" s="786"/>
      <c r="D138" s="790"/>
      <c r="E138" s="921"/>
      <c r="F138" s="921"/>
      <c r="G138" s="1238"/>
      <c r="H138" s="1239"/>
      <c r="I138" s="1240"/>
      <c r="J138" s="1238"/>
      <c r="K138" s="1240"/>
      <c r="L138" s="1238"/>
      <c r="M138" s="1240"/>
      <c r="N138" s="1238"/>
      <c r="O138" s="1240"/>
      <c r="P138" s="1234"/>
      <c r="Q138" s="1235"/>
      <c r="R138" s="1236"/>
      <c r="S138" s="1237"/>
    </row>
    <row r="139" spans="1:19" s="386" customFormat="1" ht="15" customHeight="1">
      <c r="A139" s="785" t="s">
        <v>1986</v>
      </c>
      <c r="B139" s="786"/>
      <c r="C139" s="786"/>
      <c r="D139" s="790"/>
      <c r="E139" s="921" t="s">
        <v>4067</v>
      </c>
      <c r="F139" s="921" t="s">
        <v>4067</v>
      </c>
      <c r="G139" s="1238" t="s">
        <v>4067</v>
      </c>
      <c r="H139" s="1239"/>
      <c r="I139" s="1240"/>
      <c r="J139" s="1238" t="s">
        <v>4068</v>
      </c>
      <c r="K139" s="1240"/>
      <c r="L139" s="1238" t="s">
        <v>4067</v>
      </c>
      <c r="M139" s="1240"/>
      <c r="N139" s="1238" t="s">
        <v>4067</v>
      </c>
      <c r="O139" s="1240"/>
      <c r="P139" s="1234" t="s">
        <v>4089</v>
      </c>
      <c r="Q139" s="1235"/>
      <c r="R139" s="1236"/>
      <c r="S139" s="1237"/>
    </row>
    <row r="140" spans="1:19" s="386" customFormat="1" ht="15" customHeight="1">
      <c r="A140" s="794" t="s">
        <v>3096</v>
      </c>
      <c r="B140" s="795"/>
      <c r="C140" s="795"/>
      <c r="D140" s="437"/>
      <c r="E140" s="922" t="s">
        <v>4067</v>
      </c>
      <c r="F140" s="922" t="s">
        <v>4067</v>
      </c>
      <c r="G140" s="1247" t="s">
        <v>4067</v>
      </c>
      <c r="H140" s="1249"/>
      <c r="I140" s="1248"/>
      <c r="J140" s="1247" t="s">
        <v>4068</v>
      </c>
      <c r="K140" s="1248"/>
      <c r="L140" s="1247" t="s">
        <v>4067</v>
      </c>
      <c r="M140" s="1248"/>
      <c r="N140" s="1247" t="s">
        <v>4067</v>
      </c>
      <c r="O140" s="1248"/>
      <c r="P140" s="1243" t="s">
        <v>4089</v>
      </c>
      <c r="Q140" s="1244"/>
      <c r="R140" s="1245"/>
      <c r="S140" s="1246"/>
    </row>
    <row r="141" spans="1:19" s="786" customFormat="1" ht="13.9" customHeight="1">
      <c r="G141" s="398"/>
      <c r="H141" s="398"/>
      <c r="I141" s="398"/>
      <c r="J141" s="792"/>
      <c r="K141" s="792"/>
      <c r="L141" s="792"/>
      <c r="M141" s="792"/>
      <c r="P141" s="396"/>
      <c r="Q141" s="413" t="s">
        <v>706</v>
      </c>
      <c r="R141" s="1241">
        <f>SUM(R128:S140)</f>
        <v>1</v>
      </c>
      <c r="S141" s="1242"/>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108" t="s">
        <v>4090</v>
      </c>
      <c r="B145" s="1109"/>
      <c r="C145" s="1109"/>
      <c r="D145" s="1109"/>
      <c r="E145" s="1109"/>
      <c r="F145" s="1109"/>
      <c r="G145" s="1109"/>
      <c r="H145" s="1109"/>
      <c r="I145" s="1109"/>
      <c r="J145" s="1109"/>
      <c r="K145" s="1109"/>
      <c r="L145" s="1109"/>
      <c r="M145" s="1110"/>
      <c r="N145" s="1111"/>
      <c r="O145" s="1112"/>
      <c r="P145" s="1112"/>
      <c r="Q145" s="1112"/>
      <c r="R145" s="1112"/>
      <c r="S145" s="1113"/>
      <c r="T145" s="1066" t="s">
        <v>3596</v>
      </c>
      <c r="U145" s="1066"/>
      <c r="V145" s="1066"/>
      <c r="W145" s="1066"/>
      <c r="X145" s="1066"/>
    </row>
    <row r="146" spans="1:24" s="386" customFormat="1" ht="12" customHeight="1">
      <c r="A146" s="393"/>
      <c r="B146" s="406"/>
      <c r="C146" s="406"/>
      <c r="D146" s="406"/>
      <c r="E146" s="406"/>
      <c r="F146" s="406"/>
      <c r="G146" s="406"/>
      <c r="H146" s="406"/>
      <c r="I146" s="406"/>
      <c r="J146" s="406"/>
      <c r="K146" s="406"/>
      <c r="L146" s="406"/>
      <c r="M146" s="406"/>
      <c r="N146" s="406"/>
      <c r="O146" s="406"/>
      <c r="T146" s="1066"/>
      <c r="U146" s="1066"/>
      <c r="V146" s="1066"/>
      <c r="W146" s="1066"/>
      <c r="X146" s="106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923" t="s">
        <v>2495</v>
      </c>
    </row>
    <row r="151" spans="1:24" s="386" customFormat="1" ht="12" customHeight="1">
      <c r="A151" s="431"/>
      <c r="B151" s="406"/>
      <c r="C151" s="406"/>
      <c r="D151" s="406"/>
      <c r="E151" s="406"/>
      <c r="F151" s="406"/>
      <c r="G151" s="406"/>
      <c r="H151" s="406"/>
      <c r="I151" s="406"/>
      <c r="J151" s="406"/>
      <c r="K151" s="406"/>
      <c r="L151" s="406"/>
      <c r="M151" s="406"/>
      <c r="N151" s="406"/>
      <c r="O151" s="406"/>
      <c r="P151" s="924" t="s">
        <v>1232</v>
      </c>
    </row>
    <row r="152" spans="1:24" s="386" customFormat="1" ht="12" customHeight="1">
      <c r="A152" s="431"/>
      <c r="B152" s="406"/>
      <c r="C152" s="406"/>
      <c r="D152" s="406"/>
      <c r="E152" s="406"/>
      <c r="F152" s="406"/>
      <c r="G152" s="406"/>
      <c r="H152" s="406"/>
      <c r="I152" s="406"/>
      <c r="J152" s="406"/>
      <c r="K152" s="406"/>
      <c r="L152" s="406"/>
      <c r="M152" s="406"/>
      <c r="N152" s="406"/>
      <c r="O152" s="406"/>
      <c r="P152" s="924" t="s">
        <v>1233</v>
      </c>
    </row>
    <row r="153" spans="1:24" s="386" customFormat="1" ht="12" customHeight="1">
      <c r="A153" s="431"/>
      <c r="B153" s="406"/>
      <c r="C153" s="406"/>
      <c r="D153" s="406"/>
      <c r="E153" s="406"/>
      <c r="F153" s="406"/>
      <c r="G153" s="406"/>
      <c r="H153" s="406"/>
      <c r="I153" s="406"/>
      <c r="J153" s="406"/>
      <c r="K153" s="406"/>
      <c r="L153" s="406"/>
      <c r="M153" s="406"/>
      <c r="N153" s="406"/>
      <c r="O153" s="406"/>
      <c r="P153" s="924" t="s">
        <v>1234</v>
      </c>
    </row>
    <row r="154" spans="1:24" s="386" customFormat="1" ht="12" customHeight="1">
      <c r="A154" s="687"/>
      <c r="B154" s="406"/>
      <c r="C154" s="406"/>
      <c r="D154" s="406"/>
      <c r="E154" s="406"/>
      <c r="F154" s="406"/>
      <c r="G154" s="406"/>
      <c r="H154" s="406"/>
      <c r="I154" s="406"/>
      <c r="J154" s="406"/>
      <c r="K154" s="406"/>
      <c r="L154" s="406"/>
      <c r="M154" s="406"/>
      <c r="N154" s="406"/>
      <c r="O154" s="406"/>
      <c r="P154" s="924" t="s">
        <v>1235</v>
      </c>
    </row>
    <row r="155" spans="1:24" s="386" customFormat="1" ht="12" customHeight="1">
      <c r="B155" s="406"/>
      <c r="C155" s="406"/>
      <c r="D155" s="406"/>
      <c r="E155" s="406"/>
      <c r="F155" s="406"/>
      <c r="G155" s="406"/>
      <c r="H155" s="406"/>
      <c r="I155" s="406"/>
      <c r="J155" s="406"/>
      <c r="K155" s="406"/>
      <c r="L155" s="406"/>
      <c r="M155" s="406"/>
      <c r="N155" s="406"/>
      <c r="O155" s="406"/>
      <c r="P155" s="924" t="s">
        <v>1236</v>
      </c>
    </row>
    <row r="156" spans="1:24" s="386" customFormat="1" ht="12" customHeight="1">
      <c r="B156" s="406"/>
      <c r="C156" s="406"/>
      <c r="D156" s="406"/>
      <c r="E156" s="406"/>
      <c r="F156" s="406"/>
      <c r="G156" s="406"/>
      <c r="H156" s="406"/>
      <c r="I156" s="406"/>
      <c r="J156" s="406"/>
      <c r="K156" s="406"/>
      <c r="L156" s="406"/>
      <c r="M156" s="406"/>
      <c r="N156" s="406"/>
      <c r="O156" s="406"/>
      <c r="P156" s="924" t="s">
        <v>1237</v>
      </c>
    </row>
    <row r="157" spans="1:24" s="386" customFormat="1" ht="12" customHeight="1">
      <c r="B157" s="406"/>
      <c r="C157" s="406"/>
      <c r="D157" s="406"/>
      <c r="E157" s="406"/>
      <c r="F157" s="406"/>
      <c r="G157" s="406"/>
      <c r="H157" s="406"/>
      <c r="I157" s="406"/>
      <c r="J157" s="406"/>
      <c r="K157" s="406"/>
      <c r="L157" s="406"/>
      <c r="M157" s="406"/>
      <c r="N157" s="406"/>
      <c r="O157" s="406"/>
      <c r="P157" s="924" t="s">
        <v>1238</v>
      </c>
    </row>
    <row r="158" spans="1:24" s="386" customFormat="1" ht="12" customHeight="1">
      <c r="B158" s="406"/>
      <c r="C158" s="406"/>
      <c r="D158" s="406"/>
      <c r="E158" s="406"/>
      <c r="F158" s="406"/>
      <c r="G158" s="406"/>
      <c r="H158" s="406"/>
      <c r="I158" s="406"/>
      <c r="J158" s="406"/>
      <c r="K158" s="406"/>
      <c r="L158" s="406"/>
      <c r="M158" s="406"/>
      <c r="N158" s="406"/>
      <c r="O158" s="406"/>
      <c r="P158" s="924" t="s">
        <v>1239</v>
      </c>
    </row>
    <row r="159" spans="1:24" ht="12" customHeight="1">
      <c r="P159" s="924" t="s">
        <v>1240</v>
      </c>
    </row>
    <row r="160" spans="1:24" ht="12" customHeight="1">
      <c r="A160" s="415"/>
      <c r="P160" s="924" t="s">
        <v>1241</v>
      </c>
    </row>
    <row r="161" spans="16:16" ht="12" customHeight="1">
      <c r="P161" s="924" t="s">
        <v>1242</v>
      </c>
    </row>
    <row r="162" spans="16:16" ht="12" customHeight="1">
      <c r="P162" s="924" t="s">
        <v>1243</v>
      </c>
    </row>
    <row r="163" spans="16:16" ht="12" customHeight="1">
      <c r="P163" s="924" t="s">
        <v>1244</v>
      </c>
    </row>
    <row r="164" spans="16:16" ht="12" customHeight="1">
      <c r="P164" s="924" t="s">
        <v>1245</v>
      </c>
    </row>
    <row r="165" spans="16:16" ht="12" customHeight="1">
      <c r="P165" s="924" t="s">
        <v>1246</v>
      </c>
    </row>
    <row r="166" spans="16:16" ht="12" customHeight="1">
      <c r="P166" s="924" t="s">
        <v>1247</v>
      </c>
    </row>
    <row r="167" spans="16:16" ht="12" customHeight="1">
      <c r="P167" s="924" t="s">
        <v>1248</v>
      </c>
    </row>
    <row r="168" spans="16:16" ht="12" customHeight="1">
      <c r="P168" s="924" t="s">
        <v>1249</v>
      </c>
    </row>
    <row r="169" spans="16:16" ht="12" customHeight="1">
      <c r="P169" s="924" t="s">
        <v>1250</v>
      </c>
    </row>
    <row r="170" spans="16:16" ht="12" customHeight="1">
      <c r="P170" s="924" t="s">
        <v>1251</v>
      </c>
    </row>
    <row r="171" spans="16:16" ht="12" customHeight="1">
      <c r="P171" s="924" t="s">
        <v>1252</v>
      </c>
    </row>
    <row r="172" spans="16:16" ht="12" customHeight="1">
      <c r="P172" s="924" t="s">
        <v>1253</v>
      </c>
    </row>
    <row r="173" spans="16:16" ht="12" customHeight="1">
      <c r="P173" s="924" t="s">
        <v>1254</v>
      </c>
    </row>
    <row r="174" spans="16:16" ht="12" customHeight="1">
      <c r="P174" s="924" t="s">
        <v>1255</v>
      </c>
    </row>
    <row r="175" spans="16:16" ht="12" customHeight="1">
      <c r="P175" s="924" t="s">
        <v>1256</v>
      </c>
    </row>
    <row r="176" spans="16:16" ht="12" customHeight="1">
      <c r="P176" s="924" t="s">
        <v>1776</v>
      </c>
    </row>
    <row r="177" spans="16:16" ht="12" customHeight="1">
      <c r="P177" s="924" t="s">
        <v>1777</v>
      </c>
    </row>
    <row r="178" spans="16:16" ht="12" customHeight="1">
      <c r="P178" s="924" t="s">
        <v>1778</v>
      </c>
    </row>
    <row r="179" spans="16:16" ht="12" customHeight="1">
      <c r="P179" s="924" t="s">
        <v>1779</v>
      </c>
    </row>
    <row r="180" spans="16:16" ht="12" customHeight="1">
      <c r="P180" s="924" t="s">
        <v>1780</v>
      </c>
    </row>
    <row r="181" spans="16:16" ht="13.5">
      <c r="P181" s="924" t="s">
        <v>1781</v>
      </c>
    </row>
    <row r="182" spans="16:16" ht="12" customHeight="1">
      <c r="P182" s="924" t="s">
        <v>1782</v>
      </c>
    </row>
    <row r="183" spans="16:16" ht="12" customHeight="1">
      <c r="P183" s="924" t="s">
        <v>1783</v>
      </c>
    </row>
    <row r="184" spans="16:16" ht="12" customHeight="1">
      <c r="P184" s="924" t="s">
        <v>1784</v>
      </c>
    </row>
    <row r="185" spans="16:16" ht="12" customHeight="1">
      <c r="P185" s="924" t="s">
        <v>1785</v>
      </c>
    </row>
    <row r="186" spans="16:16" ht="12" customHeight="1">
      <c r="P186" s="924" t="s">
        <v>1786</v>
      </c>
    </row>
    <row r="187" spans="16:16" ht="12" customHeight="1">
      <c r="P187" s="924" t="s">
        <v>1787</v>
      </c>
    </row>
    <row r="188" spans="16:16" ht="12" customHeight="1">
      <c r="P188" s="924" t="s">
        <v>1788</v>
      </c>
    </row>
    <row r="189" spans="16:16" ht="12" customHeight="1">
      <c r="P189" s="924" t="s">
        <v>1789</v>
      </c>
    </row>
    <row r="190" spans="16:16" ht="12" customHeight="1">
      <c r="P190" s="924" t="s">
        <v>1790</v>
      </c>
    </row>
    <row r="191" spans="16:16" ht="12" customHeight="1">
      <c r="P191" s="924" t="s">
        <v>1791</v>
      </c>
    </row>
    <row r="192" spans="16:16" ht="12" customHeight="1">
      <c r="P192" s="924" t="s">
        <v>1792</v>
      </c>
    </row>
    <row r="193" spans="16:16" ht="12" customHeight="1">
      <c r="P193" s="924" t="s">
        <v>1793</v>
      </c>
    </row>
    <row r="194" spans="16:16" ht="12" customHeight="1">
      <c r="P194" s="924" t="s">
        <v>1794</v>
      </c>
    </row>
    <row r="195" spans="16:16" ht="12" customHeight="1">
      <c r="P195" s="924" t="s">
        <v>1795</v>
      </c>
    </row>
    <row r="196" spans="16:16" ht="12" customHeight="1">
      <c r="P196" s="924" t="s">
        <v>1796</v>
      </c>
    </row>
    <row r="197" spans="16:16" ht="12" customHeight="1">
      <c r="P197" s="924" t="s">
        <v>1797</v>
      </c>
    </row>
    <row r="198" spans="16:16" ht="12" customHeight="1">
      <c r="P198" s="924" t="s">
        <v>1798</v>
      </c>
    </row>
    <row r="199" spans="16:16" ht="12" customHeight="1">
      <c r="P199" s="924" t="s">
        <v>1799</v>
      </c>
    </row>
    <row r="200" spans="16:16" ht="12" customHeight="1">
      <c r="P200" s="924" t="s">
        <v>1800</v>
      </c>
    </row>
    <row r="201" spans="16:16" ht="12" customHeight="1">
      <c r="P201" s="924"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1182" t="str">
        <f>CONCATENATE("PART THREE - SOURCES OF FUNDS","  -  ",'Part I-Project Information'!$O$4," ",'Part I-Project Information'!$F$23,", ",'Part I-Project Information'!$F$26,", ",'Part I-Project Information'!$J$27," County")</f>
        <v>PART THREE - SOURCES OF FUNDS  -  2013-035 North Lake Senior Village, LP, Columbus, Muscogee County</v>
      </c>
      <c r="B1" s="1183"/>
      <c r="C1" s="1183"/>
      <c r="D1" s="1183"/>
      <c r="E1" s="1183"/>
      <c r="F1" s="1183"/>
      <c r="G1" s="1183"/>
      <c r="H1" s="1183"/>
      <c r="I1" s="1183"/>
      <c r="J1" s="1183"/>
      <c r="K1" s="1183"/>
      <c r="L1" s="1183"/>
      <c r="M1" s="1183"/>
      <c r="N1" s="1183"/>
      <c r="O1" s="1183"/>
      <c r="P1" s="1183"/>
      <c r="Q1" s="1184"/>
      <c r="S1" s="1315" t="str">
        <f>$A$1</f>
        <v>PART THREE - SOURCES OF FUNDS  -  2013-035 North Lake Senior Village, LP, Columbus, Muscogee County</v>
      </c>
      <c r="T1" s="13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1297" t="s">
        <v>3548</v>
      </c>
      <c r="T4" s="1297"/>
    </row>
    <row r="5" spans="1:20" s="351" customFormat="1" ht="16.899999999999999" customHeight="1">
      <c r="A5" s="687"/>
      <c r="B5" s="898" t="s">
        <v>4068</v>
      </c>
      <c r="C5" s="778" t="s">
        <v>3175</v>
      </c>
      <c r="D5" s="386"/>
      <c r="E5" s="898" t="s">
        <v>4067</v>
      </c>
      <c r="F5" s="783" t="s">
        <v>2343</v>
      </c>
      <c r="G5" s="386"/>
      <c r="J5" s="1318">
        <v>0</v>
      </c>
      <c r="K5" s="1319"/>
      <c r="M5" s="898"/>
      <c r="N5" s="386" t="s">
        <v>3410</v>
      </c>
      <c r="S5" s="1282"/>
      <c r="T5" s="1283"/>
    </row>
    <row r="6" spans="1:20" s="351" customFormat="1" ht="16.899999999999999" customHeight="1">
      <c r="A6" s="687"/>
      <c r="B6" s="898"/>
      <c r="C6" s="778" t="s">
        <v>2500</v>
      </c>
      <c r="D6" s="386"/>
      <c r="E6" s="898"/>
      <c r="F6" s="386" t="s">
        <v>3408</v>
      </c>
      <c r="H6" s="898"/>
      <c r="I6" s="392" t="s">
        <v>3407</v>
      </c>
      <c r="J6" s="778"/>
      <c r="K6" s="377"/>
      <c r="L6" s="377"/>
      <c r="M6" s="898"/>
      <c r="N6" s="778" t="s">
        <v>716</v>
      </c>
      <c r="Q6" s="765"/>
      <c r="S6" s="1278"/>
      <c r="T6" s="1279"/>
    </row>
    <row r="7" spans="1:20" s="351" customFormat="1" ht="16.899999999999999" customHeight="1">
      <c r="A7" s="386"/>
      <c r="B7" s="898"/>
      <c r="C7" s="778" t="s">
        <v>2501</v>
      </c>
      <c r="E7" s="898"/>
      <c r="F7" s="783" t="s">
        <v>2920</v>
      </c>
      <c r="G7" s="386"/>
      <c r="H7" s="898"/>
      <c r="I7" s="778" t="s">
        <v>1996</v>
      </c>
      <c r="J7" s="377"/>
      <c r="K7" s="898"/>
      <c r="L7" s="778" t="s">
        <v>718</v>
      </c>
      <c r="M7" s="898"/>
      <c r="N7" s="392" t="s">
        <v>3409</v>
      </c>
      <c r="Q7" s="766"/>
      <c r="S7" s="1278"/>
      <c r="T7" s="1279"/>
    </row>
    <row r="8" spans="1:20" s="351" customFormat="1" ht="16.899999999999999" customHeight="1">
      <c r="A8" s="687"/>
      <c r="B8" s="898"/>
      <c r="C8" s="786" t="s">
        <v>3399</v>
      </c>
      <c r="D8" s="386"/>
      <c r="E8" s="898"/>
      <c r="F8" s="411" t="s">
        <v>3400</v>
      </c>
      <c r="H8" s="898"/>
      <c r="I8" s="778" t="s">
        <v>717</v>
      </c>
      <c r="J8" s="377"/>
      <c r="K8" s="392"/>
      <c r="L8" s="424"/>
      <c r="M8" s="898"/>
      <c r="N8" s="1073" t="s">
        <v>2850</v>
      </c>
      <c r="O8" s="1074"/>
      <c r="P8" s="1074"/>
      <c r="Q8" s="1075"/>
      <c r="S8" s="1280"/>
      <c r="T8" s="1281"/>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1156"/>
      <c r="O11" s="1156"/>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1277" t="s">
        <v>1731</v>
      </c>
      <c r="I13" s="1277"/>
      <c r="J13" s="1277"/>
      <c r="K13" s="1277"/>
      <c r="L13" s="1129" t="s">
        <v>2702</v>
      </c>
      <c r="M13" s="1129"/>
      <c r="N13" s="1129" t="s">
        <v>1964</v>
      </c>
      <c r="O13" s="1129"/>
      <c r="P13" s="1129" t="s">
        <v>2233</v>
      </c>
      <c r="Q13" s="1129"/>
      <c r="S13" s="1297" t="s">
        <v>3548</v>
      </c>
      <c r="T13" s="1297"/>
    </row>
    <row r="14" spans="1:20" s="351" customFormat="1" ht="16.899999999999999" customHeight="1">
      <c r="A14" s="386"/>
      <c r="B14" s="1264" t="s">
        <v>2051</v>
      </c>
      <c r="C14" s="1265"/>
      <c r="D14" s="1265"/>
      <c r="E14" s="788"/>
      <c r="F14" s="788"/>
      <c r="G14" s="788"/>
      <c r="H14" s="1073" t="s">
        <v>4141</v>
      </c>
      <c r="I14" s="1074"/>
      <c r="J14" s="1074"/>
      <c r="K14" s="1075"/>
      <c r="L14" s="1275">
        <v>6070963</v>
      </c>
      <c r="M14" s="1276"/>
      <c r="N14" s="1298">
        <v>4.4999999999999998E-2</v>
      </c>
      <c r="O14" s="1299"/>
      <c r="P14" s="1300">
        <v>24</v>
      </c>
      <c r="Q14" s="1301"/>
      <c r="S14" s="1282"/>
      <c r="T14" s="1283"/>
    </row>
    <row r="15" spans="1:20" s="351" customFormat="1" ht="16.899999999999999" customHeight="1">
      <c r="A15" s="386"/>
      <c r="B15" s="1260" t="s">
        <v>2052</v>
      </c>
      <c r="C15" s="1261"/>
      <c r="D15" s="1261"/>
      <c r="E15" s="786"/>
      <c r="F15" s="786"/>
      <c r="G15" s="786"/>
      <c r="H15" s="1073" t="s">
        <v>4139</v>
      </c>
      <c r="I15" s="1074"/>
      <c r="J15" s="1074"/>
      <c r="K15" s="1075"/>
      <c r="L15" s="1275">
        <v>540000</v>
      </c>
      <c r="M15" s="1276"/>
      <c r="N15" s="1298">
        <v>1.4999999999999999E-2</v>
      </c>
      <c r="O15" s="1299"/>
      <c r="P15" s="1316">
        <v>18</v>
      </c>
      <c r="Q15" s="1317"/>
      <c r="S15" s="1278"/>
      <c r="T15" s="1279"/>
    </row>
    <row r="16" spans="1:20" s="351" customFormat="1" ht="16.899999999999999" customHeight="1">
      <c r="A16" s="386"/>
      <c r="B16" s="1320" t="s">
        <v>2053</v>
      </c>
      <c r="C16" s="1321"/>
      <c r="D16" s="1321"/>
      <c r="E16" s="795"/>
      <c r="F16" s="795"/>
      <c r="G16" s="795"/>
      <c r="H16" s="1073"/>
      <c r="I16" s="1074"/>
      <c r="J16" s="1074"/>
      <c r="K16" s="1075"/>
      <c r="L16" s="1275"/>
      <c r="M16" s="1276"/>
      <c r="N16" s="1298"/>
      <c r="O16" s="1299"/>
      <c r="P16" s="1316"/>
      <c r="Q16" s="1317"/>
      <c r="S16" s="1278"/>
      <c r="T16" s="1279"/>
    </row>
    <row r="17" spans="1:20" s="351" customFormat="1" ht="16.899999999999999" customHeight="1">
      <c r="A17" s="386"/>
      <c r="B17" s="1264" t="s">
        <v>2938</v>
      </c>
      <c r="C17" s="1265"/>
      <c r="D17" s="1265"/>
      <c r="E17" s="786"/>
      <c r="F17" s="786"/>
      <c r="G17" s="786"/>
      <c r="H17" s="1073"/>
      <c r="I17" s="1074"/>
      <c r="J17" s="1074"/>
      <c r="K17" s="1075"/>
      <c r="L17" s="1275"/>
      <c r="M17" s="1276"/>
      <c r="N17" s="1289"/>
      <c r="O17" s="1290"/>
      <c r="P17" s="1288"/>
      <c r="Q17" s="1288"/>
      <c r="S17" s="1278"/>
      <c r="T17" s="1279"/>
    </row>
    <row r="18" spans="1:20" s="351" customFormat="1" ht="16.899999999999999" customHeight="1">
      <c r="A18" s="386"/>
      <c r="B18" s="1260" t="s">
        <v>1194</v>
      </c>
      <c r="C18" s="1261"/>
      <c r="D18" s="1261"/>
      <c r="E18" s="786"/>
      <c r="H18" s="1073"/>
      <c r="I18" s="1074"/>
      <c r="J18" s="1074"/>
      <c r="K18" s="1075"/>
      <c r="L18" s="1275"/>
      <c r="M18" s="1276"/>
      <c r="N18" s="1289"/>
      <c r="O18" s="1290"/>
      <c r="P18" s="1288"/>
      <c r="Q18" s="1288"/>
      <c r="S18" s="1278"/>
      <c r="T18" s="1279"/>
    </row>
    <row r="19" spans="1:20" s="351" customFormat="1" ht="16.899999999999999" customHeight="1">
      <c r="A19" s="386"/>
      <c r="B19" s="1260" t="s">
        <v>821</v>
      </c>
      <c r="C19" s="1261"/>
      <c r="D19" s="1261"/>
      <c r="E19" s="786"/>
      <c r="H19" s="1073" t="s">
        <v>4097</v>
      </c>
      <c r="I19" s="1074"/>
      <c r="J19" s="1074"/>
      <c r="K19" s="1075"/>
      <c r="L19" s="1275">
        <v>602493</v>
      </c>
      <c r="M19" s="1276"/>
      <c r="N19" s="1289"/>
      <c r="O19" s="1290"/>
      <c r="P19" s="1288"/>
      <c r="Q19" s="1288"/>
      <c r="S19" s="1278"/>
      <c r="T19" s="1279"/>
    </row>
    <row r="20" spans="1:20" s="351" customFormat="1" ht="16.899999999999999" customHeight="1">
      <c r="A20" s="386"/>
      <c r="B20" s="1260" t="s">
        <v>1195</v>
      </c>
      <c r="C20" s="1261"/>
      <c r="D20" s="1261"/>
      <c r="E20" s="786"/>
      <c r="H20" s="1073" t="s">
        <v>4098</v>
      </c>
      <c r="I20" s="1074"/>
      <c r="J20" s="1074"/>
      <c r="K20" s="1075"/>
      <c r="L20" s="1275">
        <f>H40*0.2</f>
        <v>1431360</v>
      </c>
      <c r="M20" s="1276"/>
      <c r="N20" s="386"/>
      <c r="O20" s="386"/>
      <c r="P20" s="386"/>
      <c r="Q20" s="386"/>
      <c r="S20" s="1280"/>
      <c r="T20" s="1281"/>
    </row>
    <row r="21" spans="1:20" s="351" customFormat="1" ht="16.899999999999999" customHeight="1">
      <c r="A21" s="386"/>
      <c r="B21" s="1260" t="s">
        <v>1196</v>
      </c>
      <c r="C21" s="1261"/>
      <c r="D21" s="1261"/>
      <c r="E21" s="786"/>
      <c r="H21" s="1073" t="s">
        <v>4098</v>
      </c>
      <c r="I21" s="1074"/>
      <c r="J21" s="1074"/>
      <c r="K21" s="1075"/>
      <c r="L21" s="1275">
        <f>H41*0.2</f>
        <v>442879.60000000003</v>
      </c>
      <c r="M21" s="1276"/>
      <c r="N21" s="386"/>
      <c r="O21" s="386"/>
      <c r="P21" s="386"/>
      <c r="Q21" s="386"/>
      <c r="S21" s="1282"/>
      <c r="T21" s="1283"/>
    </row>
    <row r="22" spans="1:20" s="351" customFormat="1" ht="16.899999999999999" customHeight="1">
      <c r="A22" s="386"/>
      <c r="B22" s="785" t="s">
        <v>265</v>
      </c>
      <c r="C22" s="786"/>
      <c r="D22" s="1311"/>
      <c r="E22" s="1311"/>
      <c r="F22" s="1311"/>
      <c r="G22" s="1311"/>
      <c r="H22" s="1073"/>
      <c r="I22" s="1074"/>
      <c r="J22" s="1074"/>
      <c r="K22" s="1075"/>
      <c r="L22" s="1275"/>
      <c r="M22" s="1276"/>
      <c r="N22" s="386"/>
      <c r="O22" s="386"/>
      <c r="P22" s="386"/>
      <c r="Q22" s="386"/>
      <c r="S22" s="1278"/>
      <c r="T22" s="1279"/>
    </row>
    <row r="23" spans="1:20" s="351" customFormat="1" ht="16.899999999999999" customHeight="1">
      <c r="A23" s="386"/>
      <c r="B23" s="785" t="s">
        <v>265</v>
      </c>
      <c r="C23" s="786"/>
      <c r="D23" s="1311"/>
      <c r="E23" s="1311"/>
      <c r="F23" s="1311"/>
      <c r="G23" s="1311"/>
      <c r="H23" s="1073"/>
      <c r="I23" s="1074"/>
      <c r="J23" s="1074"/>
      <c r="K23" s="1075"/>
      <c r="L23" s="1275"/>
      <c r="M23" s="1276"/>
      <c r="N23" s="386"/>
      <c r="O23" s="386"/>
      <c r="P23" s="386"/>
      <c r="Q23" s="386"/>
      <c r="S23" s="1278"/>
      <c r="T23" s="1279"/>
    </row>
    <row r="24" spans="1:20" s="351" customFormat="1" ht="16.899999999999999" customHeight="1">
      <c r="A24" s="386"/>
      <c r="B24" s="794" t="s">
        <v>265</v>
      </c>
      <c r="C24" s="795"/>
      <c r="D24" s="1311"/>
      <c r="E24" s="1311"/>
      <c r="F24" s="1311"/>
      <c r="G24" s="1311"/>
      <c r="H24" s="1073"/>
      <c r="I24" s="1074"/>
      <c r="J24" s="1074"/>
      <c r="K24" s="1075"/>
      <c r="L24" s="1275"/>
      <c r="M24" s="1276"/>
      <c r="N24" s="386"/>
      <c r="O24" s="386"/>
      <c r="P24" s="386"/>
      <c r="Q24" s="386"/>
      <c r="S24" s="1278"/>
      <c r="T24" s="1279"/>
    </row>
    <row r="25" spans="1:20" s="351" customFormat="1" ht="16.899999999999999" customHeight="1">
      <c r="A25" s="386"/>
      <c r="B25" s="350" t="s">
        <v>1732</v>
      </c>
      <c r="C25" s="386"/>
      <c r="D25" s="386"/>
      <c r="E25" s="386"/>
      <c r="F25" s="386"/>
      <c r="G25" s="386"/>
      <c r="H25" s="386"/>
      <c r="I25" s="386"/>
      <c r="L25" s="1293">
        <f>SUM(L14:L24)</f>
        <v>9087695.5999999996</v>
      </c>
      <c r="M25" s="1294"/>
      <c r="N25" s="406"/>
      <c r="O25" s="406"/>
      <c r="P25" s="406"/>
      <c r="Q25" s="406"/>
      <c r="S25" s="1278"/>
      <c r="T25" s="1279"/>
    </row>
    <row r="26" spans="1:20" s="351" customFormat="1" ht="16.899999999999999" customHeight="1">
      <c r="A26" s="386"/>
      <c r="B26" s="778" t="s">
        <v>1733</v>
      </c>
      <c r="C26" s="386"/>
      <c r="D26" s="386"/>
      <c r="E26" s="386"/>
      <c r="F26" s="386"/>
      <c r="G26" s="386"/>
      <c r="H26" s="386"/>
      <c r="I26" s="386"/>
      <c r="L26" s="1291">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9087695.8347362373</v>
      </c>
      <c r="M26" s="1292"/>
      <c r="N26" s="1286"/>
      <c r="O26" s="1287"/>
      <c r="P26" s="1287"/>
      <c r="Q26" s="1287"/>
      <c r="S26" s="1278"/>
      <c r="T26" s="1279"/>
    </row>
    <row r="27" spans="1:20" s="351" customFormat="1" ht="16.899999999999999" customHeight="1">
      <c r="A27" s="386"/>
      <c r="B27" s="392" t="s">
        <v>2874</v>
      </c>
      <c r="C27" s="386"/>
      <c r="D27" s="386"/>
      <c r="E27" s="386"/>
      <c r="F27" s="386"/>
      <c r="G27" s="386"/>
      <c r="H27" s="386"/>
      <c r="I27" s="386"/>
      <c r="L27" s="1295">
        <f>L25-L26</f>
        <v>-0.23473623767495155</v>
      </c>
      <c r="M27" s="1296"/>
      <c r="N27" s="1286"/>
      <c r="O27" s="1287"/>
      <c r="P27" s="1287"/>
      <c r="Q27" s="1287"/>
      <c r="S27" s="1280"/>
      <c r="T27" s="1281"/>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1288"/>
      <c r="I30" s="1288"/>
      <c r="J30" s="474" t="s">
        <v>2814</v>
      </c>
      <c r="K30" s="792" t="s">
        <v>1729</v>
      </c>
      <c r="L30" s="792" t="s">
        <v>1734</v>
      </c>
      <c r="M30" s="1160" t="s">
        <v>37</v>
      </c>
      <c r="N30" s="1160"/>
      <c r="O30" s="781"/>
      <c r="P30" s="792"/>
      <c r="Q30" s="1302" t="s">
        <v>3075</v>
      </c>
      <c r="S30" s="440"/>
    </row>
    <row r="31" spans="1:20" s="351" customFormat="1" ht="13.15" customHeight="1">
      <c r="A31" s="386"/>
      <c r="B31" s="791" t="s">
        <v>2576</v>
      </c>
      <c r="C31" s="795"/>
      <c r="D31" s="795"/>
      <c r="E31" s="1261" t="s">
        <v>1731</v>
      </c>
      <c r="F31" s="1261"/>
      <c r="G31" s="1261"/>
      <c r="H31" s="1129" t="s">
        <v>622</v>
      </c>
      <c r="I31" s="1129"/>
      <c r="J31" s="780" t="s">
        <v>2505</v>
      </c>
      <c r="K31" s="780" t="s">
        <v>2937</v>
      </c>
      <c r="L31" s="780" t="s">
        <v>2937</v>
      </c>
      <c r="M31" s="1252"/>
      <c r="N31" s="1252"/>
      <c r="O31" s="1129" t="s">
        <v>78</v>
      </c>
      <c r="P31" s="1129"/>
      <c r="Q31" s="1303"/>
      <c r="S31" s="1297" t="s">
        <v>3548</v>
      </c>
      <c r="T31" s="1297"/>
    </row>
    <row r="32" spans="1:20" s="351" customFormat="1" ht="13.15" customHeight="1">
      <c r="A32" s="386"/>
      <c r="B32" s="1264" t="s">
        <v>3414</v>
      </c>
      <c r="C32" s="1265"/>
      <c r="D32" s="1265"/>
      <c r="E32" s="1099" t="s">
        <v>4140</v>
      </c>
      <c r="F32" s="1262"/>
      <c r="G32" s="1263"/>
      <c r="H32" s="1310">
        <v>455000</v>
      </c>
      <c r="I32" s="1269"/>
      <c r="J32" s="925">
        <v>0.06</v>
      </c>
      <c r="K32" s="898">
        <v>30</v>
      </c>
      <c r="L32" s="898">
        <v>30</v>
      </c>
      <c r="M32" s="1266">
        <f t="shared" ref="M32:M37" si="0">IF(OR(H32&lt;=0,H32=""),"",IF(O32="Amortizing",-PMT(J32/12,L32*12,H32,0,0)*12,""))</f>
        <v>32735.458673340276</v>
      </c>
      <c r="N32" s="1267"/>
      <c r="O32" s="1140" t="s">
        <v>4142</v>
      </c>
      <c r="P32" s="1141"/>
      <c r="Q32" s="926">
        <v>1.2</v>
      </c>
      <c r="S32" s="1282"/>
      <c r="T32" s="1283"/>
    </row>
    <row r="33" spans="1:20" s="351" customFormat="1" ht="13.15" customHeight="1">
      <c r="A33" s="386"/>
      <c r="B33" s="1260" t="s">
        <v>3415</v>
      </c>
      <c r="C33" s="1261"/>
      <c r="D33" s="1261"/>
      <c r="E33" s="1148" t="s">
        <v>4139</v>
      </c>
      <c r="F33" s="1312"/>
      <c r="G33" s="1313"/>
      <c r="H33" s="1257">
        <v>540000</v>
      </c>
      <c r="I33" s="1269"/>
      <c r="J33" s="925">
        <v>1.4999999999999999E-2</v>
      </c>
      <c r="K33" s="898">
        <v>17</v>
      </c>
      <c r="L33" s="898">
        <v>17</v>
      </c>
      <c r="M33" s="1266">
        <v>37338</v>
      </c>
      <c r="N33" s="1267"/>
      <c r="O33" s="1140" t="s">
        <v>1579</v>
      </c>
      <c r="P33" s="1141"/>
      <c r="Q33" s="926">
        <v>1.2</v>
      </c>
      <c r="S33" s="1278"/>
      <c r="T33" s="1279"/>
    </row>
    <row r="34" spans="1:20" s="351" customFormat="1" ht="13.15" customHeight="1">
      <c r="A34" s="386"/>
      <c r="B34" s="1260" t="s">
        <v>3416</v>
      </c>
      <c r="C34" s="1261"/>
      <c r="D34" s="1261"/>
      <c r="E34" s="1073"/>
      <c r="F34" s="1274"/>
      <c r="G34" s="1269"/>
      <c r="H34" s="1257"/>
      <c r="I34" s="1269"/>
      <c r="J34" s="925"/>
      <c r="K34" s="898"/>
      <c r="L34" s="898"/>
      <c r="M34" s="1266" t="str">
        <f t="shared" si="0"/>
        <v/>
      </c>
      <c r="N34" s="1267"/>
      <c r="O34" s="1140"/>
      <c r="P34" s="1141"/>
      <c r="Q34" s="926"/>
      <c r="S34" s="1278"/>
      <c r="T34" s="1279"/>
    </row>
    <row r="35" spans="1:20" s="351" customFormat="1" ht="13.15" customHeight="1">
      <c r="A35" s="386"/>
      <c r="B35" s="785" t="s">
        <v>1046</v>
      </c>
      <c r="C35" s="1099"/>
      <c r="D35" s="1101"/>
      <c r="E35" s="1073"/>
      <c r="F35" s="1274"/>
      <c r="G35" s="1269"/>
      <c r="H35" s="1257"/>
      <c r="I35" s="1269"/>
      <c r="J35" s="925"/>
      <c r="K35" s="898"/>
      <c r="L35" s="898"/>
      <c r="M35" s="1266" t="str">
        <f t="shared" si="0"/>
        <v/>
      </c>
      <c r="N35" s="1267"/>
      <c r="O35" s="1140"/>
      <c r="P35" s="1141"/>
      <c r="Q35" s="926"/>
      <c r="S35" s="1278"/>
      <c r="T35" s="1279"/>
    </row>
    <row r="36" spans="1:20" s="351" customFormat="1" ht="13.15" customHeight="1">
      <c r="A36" s="386"/>
      <c r="B36" s="785" t="s">
        <v>3773</v>
      </c>
      <c r="C36" s="786"/>
      <c r="D36" s="790"/>
      <c r="E36" s="1073"/>
      <c r="F36" s="1274"/>
      <c r="G36" s="1269"/>
      <c r="H36" s="1257"/>
      <c r="I36" s="1269"/>
      <c r="J36" s="648"/>
      <c r="K36" s="784"/>
      <c r="L36" s="784"/>
      <c r="M36" s="1268" t="str">
        <f t="shared" si="0"/>
        <v/>
      </c>
      <c r="N36" s="1268"/>
      <c r="O36" s="1259"/>
      <c r="P36" s="1259"/>
      <c r="Q36" s="649"/>
      <c r="S36" s="1278"/>
      <c r="T36" s="1279"/>
    </row>
    <row r="37" spans="1:20" s="351" customFormat="1" ht="13.15" customHeight="1">
      <c r="A37" s="386"/>
      <c r="B37" s="794" t="s">
        <v>249</v>
      </c>
      <c r="C37" s="795"/>
      <c r="D37" s="475">
        <f>IF(OR(H37="",H37=0,'Part IV-Uses of Funds'!$G$115="",'Part IV-Uses of Funds'!$G$115=0),"",H37/'Part IV-Uses of Funds'!$G$115)</f>
        <v>1.6863259924611083E-3</v>
      </c>
      <c r="E37" s="1073" t="s">
        <v>4097</v>
      </c>
      <c r="F37" s="1274"/>
      <c r="G37" s="1269"/>
      <c r="H37" s="1257">
        <v>2032</v>
      </c>
      <c r="I37" s="1269"/>
      <c r="J37" s="925">
        <v>0</v>
      </c>
      <c r="K37" s="898">
        <v>15</v>
      </c>
      <c r="L37" s="898"/>
      <c r="M37" s="1266" t="str">
        <f t="shared" si="0"/>
        <v/>
      </c>
      <c r="N37" s="1267"/>
      <c r="O37" s="1140" t="s">
        <v>1579</v>
      </c>
      <c r="P37" s="1141"/>
      <c r="Q37" s="926"/>
      <c r="S37" s="1278"/>
      <c r="T37" s="1279"/>
    </row>
    <row r="38" spans="1:20" s="351" customFormat="1" ht="13.15" customHeight="1">
      <c r="A38" s="386"/>
      <c r="B38" s="1264" t="s">
        <v>2938</v>
      </c>
      <c r="C38" s="1265"/>
      <c r="D38" s="1270"/>
      <c r="E38" s="1073"/>
      <c r="F38" s="1274"/>
      <c r="G38" s="1269"/>
      <c r="H38" s="1272"/>
      <c r="I38" s="1273"/>
      <c r="K38" s="476"/>
      <c r="L38" s="476"/>
      <c r="M38" s="476"/>
      <c r="N38" s="476"/>
      <c r="O38" s="476"/>
      <c r="P38" s="476"/>
      <c r="Q38" s="476"/>
      <c r="S38" s="1282"/>
      <c r="T38" s="1283"/>
    </row>
    <row r="39" spans="1:20" s="351" customFormat="1" ht="13.15" customHeight="1">
      <c r="A39" s="386"/>
      <c r="B39" s="1260" t="s">
        <v>1194</v>
      </c>
      <c r="C39" s="1261"/>
      <c r="D39" s="1271"/>
      <c r="E39" s="1073"/>
      <c r="F39" s="1274"/>
      <c r="G39" s="1269"/>
      <c r="H39" s="1272"/>
      <c r="I39" s="1273"/>
      <c r="J39" s="1306" t="s">
        <v>684</v>
      </c>
      <c r="K39" s="1307"/>
      <c r="L39" s="1305" t="s">
        <v>685</v>
      </c>
      <c r="M39" s="1305"/>
      <c r="O39" s="528" t="s">
        <v>683</v>
      </c>
      <c r="P39" s="477"/>
      <c r="Q39" s="476"/>
      <c r="S39" s="1278"/>
      <c r="T39" s="1279"/>
    </row>
    <row r="40" spans="1:20" s="351" customFormat="1" ht="13.15" customHeight="1">
      <c r="A40" s="386"/>
      <c r="B40" s="1260" t="s">
        <v>1195</v>
      </c>
      <c r="C40" s="1261"/>
      <c r="D40" s="1271"/>
      <c r="E40" s="1073" t="s">
        <v>4098</v>
      </c>
      <c r="F40" s="1074"/>
      <c r="G40" s="1075"/>
      <c r="H40" s="1257">
        <v>7156800</v>
      </c>
      <c r="I40" s="1258"/>
      <c r="J40" s="1308">
        <f>'Part IV-Uses of Funds'!$J$172*10*'Part IV-Uses of Funds'!$N$165</f>
        <v>7157516.2322463905</v>
      </c>
      <c r="K40" s="1309"/>
      <c r="L40" s="1304">
        <f>H40-J40</f>
        <v>-716.23224639054388</v>
      </c>
      <c r="M40" s="1304"/>
      <c r="O40" s="529" t="s">
        <v>3358</v>
      </c>
      <c r="P40" s="477"/>
      <c r="Q40" s="476"/>
      <c r="S40" s="1278"/>
      <c r="T40" s="1279"/>
    </row>
    <row r="41" spans="1:20" s="351" customFormat="1" ht="13.15" customHeight="1">
      <c r="A41" s="386"/>
      <c r="B41" s="1260" t="s">
        <v>1196</v>
      </c>
      <c r="C41" s="1261"/>
      <c r="D41" s="1271"/>
      <c r="E41" s="1073" t="s">
        <v>4098</v>
      </c>
      <c r="F41" s="1074"/>
      <c r="G41" s="1075"/>
      <c r="H41" s="1257">
        <v>2214398</v>
      </c>
      <c r="I41" s="1258"/>
      <c r="J41" s="1308">
        <f>'Part IV-Uses of Funds'!$J$172*10*'Part IV-Uses of Funds'!$Q$165</f>
        <v>2214619.7283303542</v>
      </c>
      <c r="K41" s="1309"/>
      <c r="L41" s="1304">
        <f>H41-J41</f>
        <v>-221.72833035420626</v>
      </c>
      <c r="M41" s="1304"/>
      <c r="O41" s="530">
        <f>H40/H50</f>
        <v>0.69026249314102572</v>
      </c>
      <c r="P41" s="477"/>
      <c r="Q41" s="476"/>
      <c r="S41" s="1278"/>
      <c r="T41" s="1279"/>
    </row>
    <row r="42" spans="1:20" s="351" customFormat="1" ht="13.15" customHeight="1">
      <c r="A42" s="386"/>
      <c r="B42" s="1260" t="s">
        <v>1850</v>
      </c>
      <c r="C42" s="1261"/>
      <c r="D42" s="1271"/>
      <c r="E42" s="1073"/>
      <c r="F42" s="1074"/>
      <c r="G42" s="1075"/>
      <c r="H42" s="1257"/>
      <c r="I42" s="1258"/>
      <c r="M42" s="477"/>
      <c r="O42" s="530">
        <f>H41/H50</f>
        <v>0.21357532476616659</v>
      </c>
      <c r="P42" s="477"/>
      <c r="Q42" s="476"/>
      <c r="S42" s="1280"/>
      <c r="T42" s="1281"/>
    </row>
    <row r="43" spans="1:20" s="351" customFormat="1" ht="13.15" customHeight="1">
      <c r="A43" s="386"/>
      <c r="B43" s="785" t="s">
        <v>698</v>
      </c>
      <c r="C43" s="786"/>
      <c r="D43" s="790"/>
      <c r="E43" s="1073"/>
      <c r="F43" s="1074"/>
      <c r="G43" s="1075"/>
      <c r="H43" s="1257"/>
      <c r="I43" s="1258"/>
      <c r="K43" s="386"/>
      <c r="L43" s="386"/>
      <c r="M43" s="477"/>
      <c r="O43" s="531">
        <f>SUM(O41:O42)</f>
        <v>0.90383781790719231</v>
      </c>
      <c r="P43" s="477"/>
      <c r="Q43" s="476"/>
      <c r="S43" s="1278"/>
      <c r="T43" s="1279"/>
    </row>
    <row r="44" spans="1:20" s="351" customFormat="1" ht="13.15" customHeight="1">
      <c r="A44" s="386"/>
      <c r="B44" s="785" t="s">
        <v>2574</v>
      </c>
      <c r="C44" s="786"/>
      <c r="D44" s="790"/>
      <c r="E44" s="1073"/>
      <c r="F44" s="1074"/>
      <c r="G44" s="1075"/>
      <c r="H44" s="1257"/>
      <c r="I44" s="1258"/>
      <c r="J44" s="386"/>
      <c r="M44" s="477"/>
      <c r="N44" s="477"/>
      <c r="O44" s="477"/>
      <c r="P44" s="477"/>
      <c r="Q44" s="476"/>
      <c r="S44" s="1278"/>
      <c r="T44" s="1279"/>
    </row>
    <row r="45" spans="1:20" s="351" customFormat="1" ht="13.15" customHeight="1">
      <c r="A45" s="386"/>
      <c r="B45" s="785" t="s">
        <v>2575</v>
      </c>
      <c r="C45" s="786"/>
      <c r="D45" s="790"/>
      <c r="E45" s="1073"/>
      <c r="F45" s="1074"/>
      <c r="G45" s="1075"/>
      <c r="H45" s="1257"/>
      <c r="I45" s="1258"/>
      <c r="J45" s="386"/>
      <c r="M45" s="477"/>
      <c r="N45" s="477"/>
      <c r="O45" s="477"/>
      <c r="P45" s="477"/>
      <c r="Q45" s="476"/>
      <c r="S45" s="1278"/>
      <c r="T45" s="1279"/>
    </row>
    <row r="46" spans="1:20" s="351" customFormat="1" ht="13.15" customHeight="1">
      <c r="A46" s="386"/>
      <c r="B46" s="785" t="s">
        <v>1046</v>
      </c>
      <c r="C46" s="1073"/>
      <c r="D46" s="1075"/>
      <c r="E46" s="1073"/>
      <c r="F46" s="1074"/>
      <c r="G46" s="1075"/>
      <c r="H46" s="1257"/>
      <c r="I46" s="1258"/>
      <c r="J46" s="386"/>
      <c r="M46" s="477"/>
      <c r="N46" s="477"/>
      <c r="O46" s="477"/>
      <c r="P46" s="477"/>
      <c r="Q46" s="476"/>
      <c r="S46" s="1278"/>
      <c r="T46" s="1279"/>
    </row>
    <row r="47" spans="1:20" s="351" customFormat="1" ht="13.15" customHeight="1">
      <c r="A47" s="386"/>
      <c r="B47" s="785" t="s">
        <v>1046</v>
      </c>
      <c r="C47" s="1073"/>
      <c r="D47" s="1075"/>
      <c r="E47" s="1073"/>
      <c r="F47" s="1074"/>
      <c r="G47" s="1075"/>
      <c r="H47" s="1257"/>
      <c r="I47" s="1258"/>
      <c r="J47" s="386"/>
      <c r="K47" s="386"/>
      <c r="L47" s="478"/>
      <c r="M47" s="477"/>
      <c r="N47" s="477"/>
      <c r="O47" s="477"/>
      <c r="P47" s="477"/>
      <c r="Q47" s="476"/>
      <c r="S47" s="1278"/>
      <c r="T47" s="1279"/>
    </row>
    <row r="48" spans="1:20" s="351" customFormat="1" ht="13.15" customHeight="1">
      <c r="A48" s="386"/>
      <c r="B48" s="794" t="s">
        <v>1046</v>
      </c>
      <c r="C48" s="1073"/>
      <c r="D48" s="1075"/>
      <c r="E48" s="1073"/>
      <c r="F48" s="1074"/>
      <c r="G48" s="1075"/>
      <c r="H48" s="1257"/>
      <c r="I48" s="1258"/>
      <c r="J48" s="386"/>
      <c r="K48" s="386"/>
      <c r="L48" s="478"/>
      <c r="M48" s="477"/>
      <c r="N48" s="477"/>
      <c r="O48" s="477"/>
      <c r="P48" s="477"/>
      <c r="Q48" s="476"/>
      <c r="S48" s="1278"/>
      <c r="T48" s="1279"/>
    </row>
    <row r="49" spans="1:23" s="351" customFormat="1" ht="13.15" customHeight="1">
      <c r="A49" s="386"/>
      <c r="B49" s="778" t="s">
        <v>2939</v>
      </c>
      <c r="C49" s="386"/>
      <c r="D49" s="386"/>
      <c r="E49" s="386"/>
      <c r="F49" s="386"/>
      <c r="G49" s="386"/>
      <c r="H49" s="1255">
        <f>SUM(H32:I48)</f>
        <v>10368230</v>
      </c>
      <c r="I49" s="1256"/>
      <c r="J49" s="406"/>
      <c r="K49" s="386"/>
      <c r="L49" s="478"/>
      <c r="M49" s="477"/>
      <c r="N49" s="477"/>
      <c r="O49" s="477"/>
      <c r="P49" s="477"/>
      <c r="Q49" s="476"/>
      <c r="S49" s="1278"/>
      <c r="T49" s="1279"/>
    </row>
    <row r="50" spans="1:23" s="351" customFormat="1" ht="13.15" customHeight="1" thickBot="1">
      <c r="A50" s="386"/>
      <c r="B50" s="778" t="s">
        <v>2940</v>
      </c>
      <c r="C50" s="386"/>
      <c r="D50" s="386"/>
      <c r="E50" s="386"/>
      <c r="F50" s="386"/>
      <c r="G50" s="386"/>
      <c r="H50" s="1253">
        <f>'Part IV-Uses of Funds'!$G$129</f>
        <v>10368229.580942642</v>
      </c>
      <c r="I50" s="1254"/>
      <c r="J50" s="406"/>
      <c r="K50" s="386"/>
      <c r="L50" s="478"/>
      <c r="M50" s="477"/>
      <c r="N50" s="477"/>
      <c r="O50" s="477"/>
      <c r="P50" s="477"/>
      <c r="Q50" s="476"/>
      <c r="S50" s="1278"/>
      <c r="T50" s="1279"/>
    </row>
    <row r="51" spans="1:23" s="351" customFormat="1" ht="13.15" customHeight="1" thickBot="1">
      <c r="A51" s="386"/>
      <c r="B51" s="392" t="s">
        <v>1982</v>
      </c>
      <c r="C51" s="386"/>
      <c r="D51" s="386"/>
      <c r="E51" s="386"/>
      <c r="F51" s="386"/>
      <c r="G51" s="386"/>
      <c r="H51" s="1284">
        <f>H49-H50</f>
        <v>0.41905735805630684</v>
      </c>
      <c r="I51" s="1285"/>
      <c r="J51" s="406"/>
      <c r="K51" s="386"/>
      <c r="L51" s="478"/>
      <c r="M51" s="477"/>
      <c r="N51" s="477"/>
      <c r="O51" s="477"/>
      <c r="P51" s="477"/>
      <c r="Q51" s="476"/>
      <c r="S51" s="1280"/>
      <c r="T51" s="1281"/>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927"/>
      <c r="T52" s="92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108" t="s">
        <v>4148</v>
      </c>
      <c r="B56" s="1250"/>
      <c r="C56" s="1250"/>
      <c r="D56" s="1250"/>
      <c r="E56" s="1250"/>
      <c r="F56" s="1250"/>
      <c r="G56" s="1250"/>
      <c r="H56" s="1250"/>
      <c r="I56" s="1250"/>
      <c r="J56" s="1251"/>
      <c r="K56" s="1111"/>
      <c r="L56" s="1250"/>
      <c r="M56" s="1250"/>
      <c r="N56" s="1250"/>
      <c r="O56" s="1250"/>
      <c r="P56" s="1250"/>
      <c r="Q56" s="1251"/>
      <c r="S56" s="1314" t="s">
        <v>3596</v>
      </c>
      <c r="T56" s="13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5" priority="1" stopIfTrue="1" operator="equal">
      <formula>"Make a selection FIRST --&gt;"</formula>
    </cfRule>
  </conditionalFormatting>
  <dataValidations disablePrompts="1"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1322" t="str">
        <f>CONCATENATE("PART III B: USD 538 LOAN","  -  ",'Part I-Project Information'!$O$4," ",'Part I-Project Information'!$F$23,", ",'Part I-Project Information'!$F$26,", ",'Part I-Project Information'!$J$27," County")</f>
        <v>PART III B: USD 538 LOAN  -  2013-035 North Lake Senior Village, LP, Columbus, Muscogee County</v>
      </c>
      <c r="B1" s="1323"/>
      <c r="C1" s="1323"/>
      <c r="D1" s="1323"/>
      <c r="E1" s="1323"/>
      <c r="F1" s="1324"/>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1331" t="s">
        <v>236</v>
      </c>
      <c r="B3" s="1331"/>
      <c r="C3" s="1331"/>
      <c r="D3" s="1331"/>
      <c r="E3" s="1331"/>
      <c r="F3" s="1331"/>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1332" t="s">
        <v>134</v>
      </c>
      <c r="B14" s="1332"/>
      <c r="C14" s="1332"/>
      <c r="D14" s="1332"/>
      <c r="E14" s="1332"/>
      <c r="F14" s="1332"/>
      <c r="G14" s="247"/>
      <c r="H14" s="247"/>
    </row>
    <row r="15" spans="1:17" ht="5.45" customHeight="1">
      <c r="A15" s="32"/>
      <c r="E15" s="258"/>
      <c r="F15" s="247"/>
      <c r="G15" s="247"/>
      <c r="H15" s="247"/>
    </row>
    <row r="16" spans="1:17" ht="13.15" customHeight="1">
      <c r="A16" s="260" t="s">
        <v>3262</v>
      </c>
      <c r="B16" s="261" t="s">
        <v>3259</v>
      </c>
      <c r="C16" s="261" t="s">
        <v>3260</v>
      </c>
      <c r="D16" s="1328" t="s">
        <v>2982</v>
      </c>
      <c r="E16" s="1328"/>
      <c r="F16" s="247"/>
      <c r="G16" s="247"/>
      <c r="H16" s="247"/>
    </row>
    <row r="17" spans="1:8" ht="12.6" customHeight="1">
      <c r="A17" s="97">
        <v>1</v>
      </c>
      <c r="B17" s="236">
        <f>IF(A17&gt;$C$9,0,SUM(C64:C75)*($C$6/$C$7))</f>
        <v>0</v>
      </c>
      <c r="C17" s="259">
        <f>IF(A17&gt;C9,0,(E63+K63)*$C$8)</f>
        <v>0</v>
      </c>
      <c r="D17" s="1333">
        <f t="shared" ref="D17:D56" si="0">IF(A17&gt;$C$9,0,$C$11+C17)</f>
        <v>0</v>
      </c>
      <c r="E17" s="1333"/>
      <c r="F17" s="247"/>
      <c r="G17" s="247"/>
      <c r="H17" s="247"/>
    </row>
    <row r="18" spans="1:8" ht="12.6" customHeight="1">
      <c r="A18" s="97">
        <v>2</v>
      </c>
      <c r="B18" s="236">
        <f>IF(A18&gt;C9,0,SUM(C76:C87)*($C$6/$C$7))</f>
        <v>0</v>
      </c>
      <c r="C18" s="266">
        <f>IF(A18&gt;C9,0,(E75+K75)*$C$8)</f>
        <v>0</v>
      </c>
      <c r="D18" s="1325">
        <f t="shared" si="0"/>
        <v>0</v>
      </c>
      <c r="E18" s="1325"/>
      <c r="F18" s="247"/>
      <c r="G18" s="247"/>
      <c r="H18" s="247"/>
    </row>
    <row r="19" spans="1:8" ht="12.6" customHeight="1">
      <c r="A19" s="97">
        <v>3</v>
      </c>
      <c r="B19" s="236">
        <f>IF(A19&gt;C9,0,SUM(C88:C99)*($C$6/$C$7))</f>
        <v>0</v>
      </c>
      <c r="C19" s="259">
        <f>IF(A19&gt;C9,0,(E87+K87)*$C$8)</f>
        <v>0</v>
      </c>
      <c r="D19" s="1325">
        <f t="shared" si="0"/>
        <v>0</v>
      </c>
      <c r="E19" s="1325"/>
      <c r="F19" s="247"/>
      <c r="G19" s="247"/>
      <c r="H19" s="247"/>
    </row>
    <row r="20" spans="1:8" ht="12.6" customHeight="1">
      <c r="A20" s="97">
        <v>4</v>
      </c>
      <c r="B20" s="236">
        <f>IF(A20&gt;C9,0,SUM(C100:C111)*($C$6/$C$7))</f>
        <v>0</v>
      </c>
      <c r="C20" s="259">
        <f>IF(A20&gt;C9,0,(E99+K99)*$C$8)</f>
        <v>0</v>
      </c>
      <c r="D20" s="1325">
        <f t="shared" si="0"/>
        <v>0</v>
      </c>
      <c r="E20" s="1325"/>
      <c r="F20" s="247"/>
      <c r="G20" s="247"/>
      <c r="H20" s="247"/>
    </row>
    <row r="21" spans="1:8" ht="12.6" customHeight="1">
      <c r="A21" s="97">
        <v>5</v>
      </c>
      <c r="B21" s="236">
        <f>IF(A21&gt;C9,0,SUM(C112:C123)*($C$6/$C$7))</f>
        <v>0</v>
      </c>
      <c r="C21" s="259">
        <f>IF(A21&gt;C9,0,(E111+K111)*$C$8)</f>
        <v>0</v>
      </c>
      <c r="D21" s="1326">
        <f t="shared" si="0"/>
        <v>0</v>
      </c>
      <c r="E21" s="1326"/>
      <c r="F21" s="247"/>
      <c r="G21" s="247"/>
      <c r="H21" s="247"/>
    </row>
    <row r="22" spans="1:8" ht="12.6" customHeight="1">
      <c r="A22" s="237">
        <v>6</v>
      </c>
      <c r="B22" s="238">
        <f>IF(A22&gt;C9,0,SUM(C124:C135)*($C$6/$C$7))</f>
        <v>0</v>
      </c>
      <c r="C22" s="263">
        <f>IF(A22&gt;C9,0,(E123+K123)*$C$8)</f>
        <v>0</v>
      </c>
      <c r="D22" s="1325">
        <f t="shared" si="0"/>
        <v>0</v>
      </c>
      <c r="E22" s="1325"/>
      <c r="F22" s="247"/>
      <c r="G22" s="247"/>
      <c r="H22" s="247"/>
    </row>
    <row r="23" spans="1:8" ht="12.6" customHeight="1">
      <c r="A23" s="239">
        <v>7</v>
      </c>
      <c r="B23" s="240">
        <f>IF(A23&gt;C9,0,SUM(C136:C147)*($C$6/$C$7))</f>
        <v>0</v>
      </c>
      <c r="C23" s="241">
        <f>IF(A23&gt;C9,0,(E135+K135)*$C$8)</f>
        <v>0</v>
      </c>
      <c r="D23" s="1325">
        <f t="shared" si="0"/>
        <v>0</v>
      </c>
      <c r="E23" s="1325"/>
      <c r="F23" s="247"/>
      <c r="G23" s="247"/>
      <c r="H23" s="247"/>
    </row>
    <row r="24" spans="1:8" ht="12.6" customHeight="1">
      <c r="A24" s="239">
        <v>8</v>
      </c>
      <c r="B24" s="240">
        <f>IF(A24&gt;C9,0,SUM(C148:C159)*($C$6/$C$7))</f>
        <v>0</v>
      </c>
      <c r="C24" s="241">
        <f>IF(A24&gt;C9,0,(E147+K147)*$C$8)</f>
        <v>0</v>
      </c>
      <c r="D24" s="1325">
        <f t="shared" si="0"/>
        <v>0</v>
      </c>
      <c r="E24" s="1325"/>
      <c r="F24" s="247"/>
      <c r="G24" s="247"/>
      <c r="H24" s="247"/>
    </row>
    <row r="25" spans="1:8" ht="12.6" customHeight="1">
      <c r="A25" s="239">
        <v>9</v>
      </c>
      <c r="B25" s="240">
        <f>IF(A25&gt;C9,0,SUM(C160:C171)*($C$6/$C$7))</f>
        <v>0</v>
      </c>
      <c r="C25" s="241">
        <f>IF(A25&gt;C9,0,(E159+K159)*$C$8)</f>
        <v>0</v>
      </c>
      <c r="D25" s="1325">
        <f t="shared" si="0"/>
        <v>0</v>
      </c>
      <c r="E25" s="1325"/>
      <c r="F25" s="247"/>
      <c r="G25" s="247"/>
      <c r="H25" s="247"/>
    </row>
    <row r="26" spans="1:8" ht="12.6" customHeight="1">
      <c r="A26" s="242">
        <v>10</v>
      </c>
      <c r="B26" s="243">
        <f>IF(A26&gt;C9,0,SUM(C172:C183)*($C$6/$C$7))</f>
        <v>0</v>
      </c>
      <c r="C26" s="262">
        <f>IF(A26&gt;C9,0,(E171+K171)*$C$8)</f>
        <v>0</v>
      </c>
      <c r="D26" s="1326">
        <f t="shared" si="0"/>
        <v>0</v>
      </c>
      <c r="E26" s="1326"/>
      <c r="F26" s="247"/>
      <c r="G26" s="247"/>
      <c r="H26" s="247"/>
    </row>
    <row r="27" spans="1:8" ht="12.6" customHeight="1">
      <c r="A27" s="244">
        <v>11</v>
      </c>
      <c r="B27" s="236">
        <f>IF(A27&gt;C9,0,SUM(C184:C195)*($C$6/$C$7))</f>
        <v>0</v>
      </c>
      <c r="C27" s="259">
        <f>IF(A27&gt;C9,0,(E183+K183)*$C$8)</f>
        <v>0</v>
      </c>
      <c r="D27" s="1325">
        <f t="shared" si="0"/>
        <v>0</v>
      </c>
      <c r="E27" s="1325"/>
      <c r="F27" s="247"/>
      <c r="G27" s="247"/>
      <c r="H27" s="247"/>
    </row>
    <row r="28" spans="1:8" ht="12.6" customHeight="1">
      <c r="A28" s="244">
        <v>12</v>
      </c>
      <c r="B28" s="236">
        <f>IF(A28&gt;C9,0,SUM(C196:C207)*($C$6/$C$7))</f>
        <v>0</v>
      </c>
      <c r="C28" s="259">
        <f>IF(A28&gt;C9,0,(E195+K195)*$C$8)</f>
        <v>0</v>
      </c>
      <c r="D28" s="1325">
        <f t="shared" si="0"/>
        <v>0</v>
      </c>
      <c r="E28" s="1325"/>
      <c r="F28" s="247"/>
      <c r="G28" s="247"/>
      <c r="H28" s="247"/>
    </row>
    <row r="29" spans="1:8" ht="12.6" customHeight="1">
      <c r="A29" s="244">
        <v>13</v>
      </c>
      <c r="B29" s="236">
        <f>IF(A29&gt;C9,0,SUM(C208:C219)*($C$6/$C$7))</f>
        <v>0</v>
      </c>
      <c r="C29" s="259">
        <f>IF(A29&gt;C9,0,(E207+K207)*$C$8)</f>
        <v>0</v>
      </c>
      <c r="D29" s="1325">
        <f t="shared" si="0"/>
        <v>0</v>
      </c>
      <c r="E29" s="1325"/>
      <c r="F29" s="247"/>
      <c r="G29" s="247"/>
      <c r="H29" s="247"/>
    </row>
    <row r="30" spans="1:8" ht="12.6" customHeight="1">
      <c r="A30" s="244">
        <v>14</v>
      </c>
      <c r="B30" s="236">
        <f>IF(A30&gt;C9,0,SUM(C220:C231)*($C$6/$C$7))</f>
        <v>0</v>
      </c>
      <c r="C30" s="259">
        <f>IF(A30&gt;C9,0,(E219+K219)*$C$8)</f>
        <v>0</v>
      </c>
      <c r="D30" s="1325">
        <f t="shared" si="0"/>
        <v>0</v>
      </c>
      <c r="E30" s="1325"/>
      <c r="F30" s="247"/>
      <c r="G30" s="247"/>
      <c r="H30" s="247"/>
    </row>
    <row r="31" spans="1:8" ht="12.6" customHeight="1">
      <c r="A31" s="244">
        <v>15</v>
      </c>
      <c r="B31" s="236">
        <f>IF(A31&gt;C9,0,SUM(C232:C243)*($C$6/$C$7))</f>
        <v>0</v>
      </c>
      <c r="C31" s="259">
        <f>IF(A31&gt;C9,0,(E231+K231)*$C$8)</f>
        <v>0</v>
      </c>
      <c r="D31" s="1326">
        <f t="shared" si="0"/>
        <v>0</v>
      </c>
      <c r="E31" s="1326"/>
      <c r="F31" s="247"/>
      <c r="G31" s="247"/>
      <c r="H31" s="247"/>
    </row>
    <row r="32" spans="1:8" ht="12.6" customHeight="1">
      <c r="A32" s="246">
        <v>16</v>
      </c>
      <c r="B32" s="238">
        <f>IF(A32&gt;C9,0,SUM(C244:C255)*($C$6/$C$7))</f>
        <v>0</v>
      </c>
      <c r="C32" s="263">
        <f>IF(A32&gt;C9,0,(E243+K243)*$C$8)</f>
        <v>0</v>
      </c>
      <c r="D32" s="1325">
        <f t="shared" si="0"/>
        <v>0</v>
      </c>
      <c r="E32" s="1325"/>
      <c r="F32" s="247"/>
      <c r="G32" s="247"/>
      <c r="H32" s="247"/>
    </row>
    <row r="33" spans="1:8" ht="12.6" customHeight="1">
      <c r="A33" s="239">
        <v>17</v>
      </c>
      <c r="B33" s="240">
        <f>IF(A33&gt;C9,0,SUM(C256:C267)*($C$6/$C$7))</f>
        <v>0</v>
      </c>
      <c r="C33" s="241">
        <f>IF(A33&gt;C9,0,(E255+K255)*$C$8)</f>
        <v>0</v>
      </c>
      <c r="D33" s="1325">
        <f t="shared" si="0"/>
        <v>0</v>
      </c>
      <c r="E33" s="1325"/>
      <c r="F33" s="247"/>
      <c r="G33" s="247"/>
      <c r="H33" s="247"/>
    </row>
    <row r="34" spans="1:8" ht="12.6" customHeight="1">
      <c r="A34" s="239">
        <v>18</v>
      </c>
      <c r="B34" s="240">
        <f>IF(A34&gt;C9,0,SUM(C268:C279)*($C$6/$C$7))</f>
        <v>0</v>
      </c>
      <c r="C34" s="241">
        <f>IF(A34&gt;C9,0,(E267+K267)*$C$8)</f>
        <v>0</v>
      </c>
      <c r="D34" s="1325">
        <f t="shared" si="0"/>
        <v>0</v>
      </c>
      <c r="E34" s="1325"/>
      <c r="F34" s="247"/>
      <c r="G34" s="247"/>
      <c r="H34" s="247"/>
    </row>
    <row r="35" spans="1:8" ht="12.6" customHeight="1">
      <c r="A35" s="239">
        <v>19</v>
      </c>
      <c r="B35" s="240">
        <f>IF(A35&gt;C9,0,SUM(C280:C291)*($C$6/$C$7))</f>
        <v>0</v>
      </c>
      <c r="C35" s="241">
        <f>IF(A35&gt;C9,0,(E279+K279)*$C$8)</f>
        <v>0</v>
      </c>
      <c r="D35" s="1325">
        <f t="shared" si="0"/>
        <v>0</v>
      </c>
      <c r="E35" s="1325"/>
      <c r="F35" s="247"/>
      <c r="G35" s="247"/>
      <c r="H35" s="247"/>
    </row>
    <row r="36" spans="1:8" ht="12.6" customHeight="1">
      <c r="A36" s="242">
        <v>20</v>
      </c>
      <c r="B36" s="243">
        <f>IF(A36&gt;C9,0,SUM(C292:C303)*($C$6/$C$7))</f>
        <v>0</v>
      </c>
      <c r="C36" s="262">
        <f>IF(A36&gt;C9,0,(E291+K291)*$C$8)</f>
        <v>0</v>
      </c>
      <c r="D36" s="1326">
        <f t="shared" si="0"/>
        <v>0</v>
      </c>
      <c r="E36" s="1326"/>
      <c r="F36" s="247"/>
      <c r="G36" s="247"/>
      <c r="H36" s="247"/>
    </row>
    <row r="37" spans="1:8" ht="12.6" customHeight="1">
      <c r="A37" s="97">
        <v>21</v>
      </c>
      <c r="B37" s="238">
        <f>IF(A37&gt;C9,0,SUM(C293:C304)*($C$6/$C$7))</f>
        <v>0</v>
      </c>
      <c r="C37" s="263">
        <f>IF(A37&gt;C9,0,(E303+K303)*$C$8)</f>
        <v>0</v>
      </c>
      <c r="D37" s="1327">
        <f t="shared" si="0"/>
        <v>0</v>
      </c>
      <c r="E37" s="1327"/>
      <c r="F37" s="247"/>
      <c r="G37" s="247"/>
      <c r="H37" s="247"/>
    </row>
    <row r="38" spans="1:8" ht="12.6" customHeight="1">
      <c r="A38" s="97">
        <v>22</v>
      </c>
      <c r="B38" s="240">
        <f>IF(A38&gt;C9,0,SUM(C294:C305)*($C$6/$C$7))</f>
        <v>0</v>
      </c>
      <c r="C38" s="241">
        <f>IF(A38&gt;C9,0,(E315+K315)*$C$8)</f>
        <v>0</v>
      </c>
      <c r="D38" s="1325">
        <f t="shared" si="0"/>
        <v>0</v>
      </c>
      <c r="E38" s="1325"/>
      <c r="F38" s="247"/>
      <c r="G38" s="247"/>
      <c r="H38" s="247"/>
    </row>
    <row r="39" spans="1:8" ht="12.6" customHeight="1">
      <c r="A39" s="97">
        <v>23</v>
      </c>
      <c r="B39" s="240">
        <f>IF(A39&gt;C9,0,SUM(C295:C306)*($C$6/$C$7))</f>
        <v>0</v>
      </c>
      <c r="C39" s="241">
        <f>IF(A39&gt;C9,0,(E327+K327)*$C$8)</f>
        <v>0</v>
      </c>
      <c r="D39" s="1325">
        <f t="shared" si="0"/>
        <v>0</v>
      </c>
      <c r="E39" s="1325"/>
      <c r="F39" s="247"/>
      <c r="G39" s="247"/>
      <c r="H39" s="247"/>
    </row>
    <row r="40" spans="1:8" ht="12.6" customHeight="1">
      <c r="A40" s="97">
        <v>24</v>
      </c>
      <c r="B40" s="240">
        <f>IF(A40&gt;C9,0,SUM(C296:C307)*($C$6/$C$7))</f>
        <v>0</v>
      </c>
      <c r="C40" s="241">
        <f>IF(A40&gt;C9,0,(E339+K339)*$C$8)</f>
        <v>0</v>
      </c>
      <c r="D40" s="1325">
        <f t="shared" si="0"/>
        <v>0</v>
      </c>
      <c r="E40" s="1325"/>
      <c r="F40" s="247"/>
      <c r="G40" s="247"/>
      <c r="H40" s="247"/>
    </row>
    <row r="41" spans="1:8" ht="12.6" customHeight="1">
      <c r="A41" s="97">
        <v>25</v>
      </c>
      <c r="B41" s="243">
        <f>IF(A41&gt;C9,0,SUM(C297:C308)*($C$6/$C$7))</f>
        <v>0</v>
      </c>
      <c r="C41" s="262">
        <f>IF(A41&gt;C9,0,(E351+K351)*$C$8)</f>
        <v>0</v>
      </c>
      <c r="D41" s="1326">
        <f t="shared" si="0"/>
        <v>0</v>
      </c>
      <c r="E41" s="1326"/>
      <c r="F41" s="247"/>
      <c r="G41" s="247"/>
      <c r="H41" s="247"/>
    </row>
    <row r="42" spans="1:8" ht="12.6" customHeight="1">
      <c r="A42" s="237">
        <v>26</v>
      </c>
      <c r="B42" s="238">
        <f>IF(A42&gt;C9,0,SUM(C298:C309)*($C$6/$C$7))</f>
        <v>0</v>
      </c>
      <c r="C42" s="263">
        <f>IF(A42&gt;C9,0,(E363+K363)*$C$8)</f>
        <v>0</v>
      </c>
      <c r="D42" s="1327">
        <f t="shared" si="0"/>
        <v>0</v>
      </c>
      <c r="E42" s="1327"/>
      <c r="F42" s="247"/>
      <c r="G42" s="247"/>
      <c r="H42" s="247"/>
    </row>
    <row r="43" spans="1:8" ht="12.6" customHeight="1">
      <c r="A43" s="239">
        <v>27</v>
      </c>
      <c r="B43" s="240">
        <f>IF(A43&gt;C9,0,SUM(C299:C310)*($C$6/$C$7))</f>
        <v>0</v>
      </c>
      <c r="C43" s="241">
        <f>IF(A43&gt;C9,0,(E375+K375)*$C$8)</f>
        <v>0</v>
      </c>
      <c r="D43" s="1325">
        <f t="shared" si="0"/>
        <v>0</v>
      </c>
      <c r="E43" s="1325"/>
      <c r="F43" s="247"/>
      <c r="G43" s="247"/>
      <c r="H43" s="247"/>
    </row>
    <row r="44" spans="1:8" ht="12.6" customHeight="1">
      <c r="A44" s="239">
        <v>28</v>
      </c>
      <c r="B44" s="240">
        <f>IF(A44&gt;C9,0,SUM(C300:C311)*($C$6/$C$7))</f>
        <v>0</v>
      </c>
      <c r="C44" s="241">
        <f>IF(A44&gt;C9,0,(E387+K387)*$C$8)</f>
        <v>0</v>
      </c>
      <c r="D44" s="1325">
        <f t="shared" si="0"/>
        <v>0</v>
      </c>
      <c r="E44" s="1325"/>
      <c r="F44" s="247"/>
      <c r="G44" s="247"/>
      <c r="H44" s="247"/>
    </row>
    <row r="45" spans="1:8" ht="12.6" customHeight="1">
      <c r="A45" s="239">
        <v>29</v>
      </c>
      <c r="B45" s="240">
        <f>IF(A45&gt;C9,0,SUM(C301:C312)*($C$6/$C$7))</f>
        <v>0</v>
      </c>
      <c r="C45" s="241">
        <f>IF(A45&gt;C9,0,(E411+K411)*$C$8)</f>
        <v>0</v>
      </c>
      <c r="D45" s="1325">
        <f t="shared" si="0"/>
        <v>0</v>
      </c>
      <c r="E45" s="1325"/>
      <c r="F45" s="247"/>
      <c r="G45" s="247"/>
      <c r="H45" s="247"/>
    </row>
    <row r="46" spans="1:8" ht="12.6" customHeight="1">
      <c r="A46" s="242">
        <v>30</v>
      </c>
      <c r="B46" s="243">
        <f>IF(A46&gt;C9,0,SUM(C302:C313)*($C$6/$C$7))</f>
        <v>0</v>
      </c>
      <c r="C46" s="262">
        <f>IF(A46&gt;C9,0,(E423+K423)*$C$8)</f>
        <v>0</v>
      </c>
      <c r="D46" s="1326">
        <f t="shared" si="0"/>
        <v>0</v>
      </c>
      <c r="E46" s="1326"/>
      <c r="F46" s="247"/>
      <c r="G46" s="247"/>
      <c r="H46" s="247"/>
    </row>
    <row r="47" spans="1:8" ht="12.6" customHeight="1">
      <c r="A47" s="246">
        <v>31</v>
      </c>
      <c r="B47" s="238">
        <f>IF(A47&gt;C9,0,SUM(C303:C314)*($C$6/$C$7))</f>
        <v>0</v>
      </c>
      <c r="C47" s="263">
        <f>IF(A47&gt;C9,0,(E435+K435)*$C$8)</f>
        <v>0</v>
      </c>
      <c r="D47" s="1327">
        <f t="shared" si="0"/>
        <v>0</v>
      </c>
      <c r="E47" s="1327"/>
      <c r="F47" s="247"/>
      <c r="G47" s="247"/>
      <c r="H47" s="247"/>
    </row>
    <row r="48" spans="1:8" ht="12.6" customHeight="1">
      <c r="A48" s="239">
        <v>32</v>
      </c>
      <c r="B48" s="240">
        <f>IF(A48&gt;C9,0,SUM(C304:C315)*($C$6/$C$7))</f>
        <v>0</v>
      </c>
      <c r="C48" s="241">
        <f>IF(A48&gt;C9,0,(E447+K447)*$C$8)</f>
        <v>0</v>
      </c>
      <c r="D48" s="1325">
        <f t="shared" si="0"/>
        <v>0</v>
      </c>
      <c r="E48" s="1325"/>
      <c r="F48" s="247"/>
      <c r="G48" s="247"/>
      <c r="H48" s="247"/>
    </row>
    <row r="49" spans="1:12" ht="12.6" customHeight="1">
      <c r="A49" s="239">
        <v>33</v>
      </c>
      <c r="B49" s="240">
        <f>IF(A49&gt;C9,0,SUM(C305:C316)*($C$6/$C$7))</f>
        <v>0</v>
      </c>
      <c r="C49" s="241">
        <f>IF(A49&gt;C9,0,(E459+K459)*$C$8)</f>
        <v>0</v>
      </c>
      <c r="D49" s="1325">
        <f t="shared" si="0"/>
        <v>0</v>
      </c>
      <c r="E49" s="1325"/>
      <c r="F49" s="247"/>
      <c r="G49" s="247"/>
      <c r="H49" s="247"/>
    </row>
    <row r="50" spans="1:12" ht="12.6" customHeight="1">
      <c r="A50" s="239">
        <v>34</v>
      </c>
      <c r="B50" s="240">
        <f>IF(A50&gt;C9,0,SUM(C306:C317)*($C$6/$C$7))</f>
        <v>0</v>
      </c>
      <c r="C50" s="241">
        <f>IF(A50&gt;C9,0,(E471+K471)*$C$8)</f>
        <v>0</v>
      </c>
      <c r="D50" s="1325">
        <f t="shared" si="0"/>
        <v>0</v>
      </c>
      <c r="E50" s="1325"/>
      <c r="F50" s="247"/>
      <c r="G50" s="247"/>
      <c r="H50" s="247"/>
    </row>
    <row r="51" spans="1:12" ht="12.6" customHeight="1">
      <c r="A51" s="242">
        <v>35</v>
      </c>
      <c r="B51" s="243">
        <f>IF(A51&gt;C9,0,SUM(C307:C318)*($C$6/$C$7))</f>
        <v>0</v>
      </c>
      <c r="C51" s="262">
        <f>IF(A51&gt;C9,0,(E483+K483)*$C$8)</f>
        <v>0</v>
      </c>
      <c r="D51" s="1326">
        <f t="shared" si="0"/>
        <v>0</v>
      </c>
      <c r="E51" s="1326"/>
      <c r="F51" s="247"/>
      <c r="G51" s="247"/>
      <c r="H51" s="247"/>
    </row>
    <row r="52" spans="1:12" ht="12.6" customHeight="1">
      <c r="A52" s="246">
        <v>36</v>
      </c>
      <c r="B52" s="238">
        <f>IF(A52&gt;C9,0,SUM(C308:C319)*($C$6/$C$7))</f>
        <v>0</v>
      </c>
      <c r="C52" s="263">
        <f>IF(A52&gt;C9,0,(E495+K495)*$C$8)</f>
        <v>0</v>
      </c>
      <c r="D52" s="1327">
        <f t="shared" si="0"/>
        <v>0</v>
      </c>
      <c r="E52" s="1327"/>
      <c r="F52" s="247"/>
      <c r="G52" s="247"/>
      <c r="H52" s="247"/>
    </row>
    <row r="53" spans="1:12" ht="12.6" customHeight="1">
      <c r="A53" s="239">
        <v>37</v>
      </c>
      <c r="B53" s="240">
        <f>IF(A53&gt;C9,0,SUM(C309:C320)*($C$6/$C$7))</f>
        <v>0</v>
      </c>
      <c r="C53" s="241">
        <f>IF(A53&gt;C9,0,(E507+K507)*$C$8)</f>
        <v>0</v>
      </c>
      <c r="D53" s="1325">
        <f t="shared" si="0"/>
        <v>0</v>
      </c>
      <c r="E53" s="1325"/>
      <c r="F53" s="247"/>
      <c r="G53" s="247"/>
      <c r="H53" s="247"/>
    </row>
    <row r="54" spans="1:12" ht="12.6" customHeight="1">
      <c r="A54" s="239">
        <v>38</v>
      </c>
      <c r="B54" s="240">
        <f>IF(A54&gt;C9,0,SUM(C310:C321)*($C$6/$C$7))</f>
        <v>0</v>
      </c>
      <c r="C54" s="241">
        <f>IF(A54&gt;C9,0,(E519+K519)*$C$8)</f>
        <v>0</v>
      </c>
      <c r="D54" s="1325">
        <f t="shared" si="0"/>
        <v>0</v>
      </c>
      <c r="E54" s="1325"/>
      <c r="F54" s="247"/>
      <c r="G54" s="247"/>
      <c r="H54" s="247"/>
    </row>
    <row r="55" spans="1:12" ht="12.6" customHeight="1">
      <c r="A55" s="239">
        <v>39</v>
      </c>
      <c r="B55" s="240">
        <f>IF(A55&gt;C9,0,SUM(C311:C322)*($C$6/$C$7))</f>
        <v>0</v>
      </c>
      <c r="C55" s="241">
        <f>IF(A55&gt;C9,0,(E531+K531)*$C$8)</f>
        <v>0</v>
      </c>
      <c r="D55" s="1325">
        <f t="shared" si="0"/>
        <v>0</v>
      </c>
      <c r="E55" s="1325"/>
      <c r="F55" s="247"/>
      <c r="G55" s="247"/>
      <c r="H55" s="247"/>
    </row>
    <row r="56" spans="1:12" ht="12.6" customHeight="1">
      <c r="A56" s="242">
        <v>40</v>
      </c>
      <c r="B56" s="243">
        <f>IF(A56&gt;C9,0,SUM(C312:C323)*($C$6/$C$7))</f>
        <v>0</v>
      </c>
      <c r="C56" s="262">
        <f>IF(A56&gt;C9,0,(E543+K543)*$C$8)</f>
        <v>0</v>
      </c>
      <c r="D56" s="1326">
        <f t="shared" si="0"/>
        <v>0</v>
      </c>
      <c r="E56" s="1326"/>
      <c r="F56" s="247"/>
      <c r="G56" s="247"/>
      <c r="H56" s="247"/>
    </row>
    <row r="57" spans="1:12" ht="3" customHeight="1">
      <c r="A57" s="247"/>
      <c r="B57" s="247"/>
      <c r="C57" s="247"/>
      <c r="D57" s="247"/>
      <c r="E57" s="247"/>
      <c r="F57" s="247"/>
      <c r="G57" s="247"/>
      <c r="H57" s="247"/>
    </row>
    <row r="58" spans="1:12" ht="13.15" customHeight="1">
      <c r="A58" s="1329" t="str">
        <f>CONCATENATE('Part I-Project Information'!$O$4," ",'Part I-Project Information'!$F$23,", ",'Part I-Project Information'!$F$26,", ",'Part I-Project Information'!$J$27," County")</f>
        <v>2013-035 North Lake Senior Village, LP, Columbus, Muscogee County</v>
      </c>
      <c r="B58" s="1329"/>
      <c r="C58" s="1329"/>
      <c r="D58" s="1329"/>
      <c r="E58" s="1329"/>
      <c r="F58" s="1329"/>
      <c r="G58" s="1329" t="str">
        <f>CONCATENATE('Part I-Project Information'!$O$4," ",'Part I-Project Information'!$F$23,", ",'Part I-Project Information'!$F$26,", ",'Part I-Project Information'!$J$27," County")</f>
        <v>2013-035 North Lake Senior Village, LP, Columbus, Muscogee County</v>
      </c>
      <c r="H58" s="1329"/>
      <c r="I58" s="1329"/>
      <c r="J58" s="1329"/>
      <c r="K58" s="1329"/>
      <c r="L58" s="1329"/>
    </row>
    <row r="59" spans="1:12" ht="15">
      <c r="A59" s="1330" t="s">
        <v>3253</v>
      </c>
      <c r="B59" s="1330"/>
      <c r="C59" s="1330"/>
      <c r="D59" s="1330"/>
      <c r="E59" s="1330"/>
      <c r="F59" s="1330"/>
      <c r="G59" s="1330" t="s">
        <v>3253</v>
      </c>
      <c r="H59" s="1330"/>
      <c r="I59" s="1330"/>
      <c r="J59" s="1330"/>
      <c r="K59" s="1330"/>
      <c r="L59" s="1330"/>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1322" t="str">
        <f>CONCATENATE("PART III C  - HUD INSURED LOAN","  -  ",'Part I-Project Information'!$O$4," ",'Part I-Project Information'!$F$23,", ",'Part I-Project Information'!$F$26,", ",'Part I-Project Information'!$J$27," County")</f>
        <v>PART III C  - HUD INSURED LOAN  -  2013-035 North Lake Senior Village, LP, Columbus, Muscogee County</v>
      </c>
      <c r="B1" s="1323"/>
      <c r="C1" s="1323"/>
      <c r="D1" s="1323"/>
      <c r="E1" s="1323"/>
      <c r="F1" s="1324"/>
      <c r="G1" s="208"/>
      <c r="H1" s="208"/>
      <c r="I1" s="208"/>
      <c r="J1" s="208"/>
      <c r="K1" s="208"/>
      <c r="L1" s="208"/>
      <c r="M1" s="208"/>
      <c r="N1" s="208"/>
      <c r="O1" s="208"/>
      <c r="P1" s="208"/>
      <c r="Q1" s="208"/>
    </row>
    <row r="2" spans="1:17">
      <c r="A2" s="16"/>
      <c r="B2" s="235"/>
      <c r="C2" s="235"/>
      <c r="D2" s="235"/>
    </row>
    <row r="3" spans="1:17" ht="15.6" customHeight="1">
      <c r="A3" s="1331" t="s">
        <v>236</v>
      </c>
      <c r="B3" s="1331"/>
      <c r="C3" s="1331"/>
      <c r="D3" s="1331"/>
      <c r="E3" s="1331"/>
      <c r="F3" s="1331"/>
      <c r="G3" s="286"/>
      <c r="H3" s="286"/>
    </row>
    <row r="4" spans="1:17">
      <c r="A4" s="16"/>
      <c r="B4" s="235"/>
      <c r="C4" s="235"/>
      <c r="D4" s="235"/>
    </row>
    <row r="5" spans="1:17" ht="13.15" customHeight="1">
      <c r="A5" s="31" t="s">
        <v>2983</v>
      </c>
      <c r="D5" s="278"/>
      <c r="E5" s="1334" t="s">
        <v>1353</v>
      </c>
      <c r="F5" s="1335"/>
      <c r="G5" s="197"/>
    </row>
    <row r="6" spans="1:17">
      <c r="E6" s="1335"/>
      <c r="F6" s="1335"/>
      <c r="G6" s="197"/>
    </row>
    <row r="7" spans="1:17">
      <c r="A7" s="31" t="s">
        <v>3245</v>
      </c>
      <c r="C7" s="31" t="s">
        <v>3246</v>
      </c>
      <c r="D7" s="279"/>
      <c r="E7" s="1335"/>
      <c r="F7" s="1335"/>
      <c r="G7" s="197"/>
    </row>
    <row r="8" spans="1:17">
      <c r="C8" s="31" t="s">
        <v>3247</v>
      </c>
      <c r="D8" s="279"/>
      <c r="E8" s="1335"/>
      <c r="F8" s="1335"/>
      <c r="G8" s="197"/>
    </row>
    <row r="9" spans="1:17">
      <c r="C9" s="31" t="s">
        <v>3248</v>
      </c>
      <c r="D9" s="279"/>
      <c r="E9" s="1335"/>
      <c r="F9" s="1335"/>
      <c r="G9" s="197"/>
    </row>
    <row r="10" spans="1:17">
      <c r="C10" s="31" t="s">
        <v>3261</v>
      </c>
      <c r="D10" s="287">
        <f>D7+D8+D9</f>
        <v>0</v>
      </c>
      <c r="E10" s="1335"/>
      <c r="F10" s="1335"/>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1332" t="s">
        <v>2409</v>
      </c>
      <c r="B24" s="1332"/>
      <c r="C24" s="1332"/>
      <c r="D24" s="1332"/>
      <c r="E24" s="1332"/>
      <c r="F24" s="1332"/>
      <c r="J24" s="290"/>
    </row>
    <row r="25" spans="1:10">
      <c r="C25" s="245"/>
      <c r="J25" s="290"/>
    </row>
    <row r="26" spans="1:10">
      <c r="A26" s="125"/>
      <c r="B26" s="97"/>
      <c r="C26" s="1336" t="s">
        <v>2982</v>
      </c>
      <c r="D26" s="285"/>
      <c r="E26" s="97"/>
      <c r="F26" s="1336" t="s">
        <v>2982</v>
      </c>
      <c r="J26" s="290"/>
    </row>
    <row r="27" spans="1:10">
      <c r="A27" s="291" t="s">
        <v>3262</v>
      </c>
      <c r="B27" s="86" t="s">
        <v>1429</v>
      </c>
      <c r="C27" s="1337"/>
      <c r="D27" s="292" t="s">
        <v>3262</v>
      </c>
      <c r="E27" s="86" t="s">
        <v>1429</v>
      </c>
      <c r="F27" s="1337"/>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1329" t="str">
        <f>CONCATENATE('Part I-Project Information'!$O$4," ",'Part I-Project Information'!$F$23,", ",'Part I-Project Information'!$F$26,", ",'Part I-Project Information'!$J$27," County")</f>
        <v>2013-035 North Lake Senior Village, LP, Columbus, Muscogee County</v>
      </c>
      <c r="B50" s="1329"/>
      <c r="C50" s="1329"/>
      <c r="D50" s="1329"/>
      <c r="E50" s="1329"/>
      <c r="F50" s="1329"/>
      <c r="G50" s="272"/>
      <c r="H50" s="272"/>
    </row>
    <row r="51" spans="1:10" ht="15">
      <c r="A51" s="1330" t="s">
        <v>3253</v>
      </c>
      <c r="B51" s="1330"/>
      <c r="C51" s="1330"/>
      <c r="D51" s="1330"/>
      <c r="E51" s="1330"/>
      <c r="F51" s="1330"/>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393" t="str">
        <f>CONCATENATE("PART FOUR -  USES OF FUNDS","  -  ",'Part I-Project Information'!$O$4," ",'Part I-Project Information'!$F$23,", ",'Part I-Project Information'!F26,", ",'Part I-Project Information'!J27," County")</f>
        <v>PART FOUR -  USES OF FUNDS  -  2013-035 North Lake Senior Village, LP, Columbus, Muscogee County</v>
      </c>
      <c r="B1" s="1394"/>
      <c r="C1" s="1394"/>
      <c r="D1" s="1394"/>
      <c r="E1" s="1394"/>
      <c r="F1" s="1394"/>
      <c r="G1" s="1394"/>
      <c r="H1" s="1394"/>
      <c r="I1" s="1394"/>
      <c r="J1" s="1394"/>
      <c r="K1" s="1394"/>
      <c r="L1" s="1394"/>
      <c r="M1" s="1394"/>
      <c r="N1" s="1394"/>
      <c r="O1" s="1394"/>
      <c r="P1" s="1394"/>
      <c r="Q1" s="1394"/>
      <c r="R1" s="1394"/>
      <c r="S1" s="1394"/>
      <c r="T1" s="1394"/>
      <c r="V1" s="1392" t="str">
        <f>A1</f>
        <v>PART FOUR -  USES OF FUNDS  -  2013-035 North Lake Senior Village, LP, Columbus, Muscogee County</v>
      </c>
      <c r="W1" s="1392"/>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1360" t="s">
        <v>299</v>
      </c>
      <c r="K5" s="1361"/>
      <c r="L5" s="445"/>
      <c r="M5" s="1385" t="s">
        <v>623</v>
      </c>
      <c r="N5" s="1386"/>
      <c r="P5" s="1360" t="s">
        <v>300</v>
      </c>
      <c r="Q5" s="1361"/>
      <c r="S5" s="1360" t="s">
        <v>301</v>
      </c>
      <c r="T5" s="1361"/>
      <c r="V5" s="567" t="str">
        <f>B5</f>
        <v>DEVELOPMENT BUDGET</v>
      </c>
    </row>
    <row r="6" spans="1:23" s="386" customFormat="1" ht="21" customHeight="1" thickBot="1">
      <c r="G6" s="1379" t="s">
        <v>107</v>
      </c>
      <c r="H6" s="1380"/>
      <c r="J6" s="1362"/>
      <c r="K6" s="1363"/>
      <c r="L6" s="445"/>
      <c r="M6" s="1387"/>
      <c r="N6" s="1388"/>
      <c r="P6" s="1362"/>
      <c r="Q6" s="1363"/>
      <c r="S6" s="1362"/>
      <c r="T6" s="1363"/>
      <c r="V6" s="1343" t="s">
        <v>3548</v>
      </c>
      <c r="W6" s="1343"/>
    </row>
    <row r="7" spans="1:23" s="386" customFormat="1" ht="13.15" customHeight="1">
      <c r="B7" s="389" t="s">
        <v>108</v>
      </c>
      <c r="O7" s="687" t="str">
        <f>B7</f>
        <v>PRE-DEVELOPMENT COSTS</v>
      </c>
      <c r="V7" s="386" t="str">
        <f>B7</f>
        <v>PRE-DEVELOPMENT COSTS</v>
      </c>
    </row>
    <row r="8" spans="1:23" s="386" customFormat="1" ht="12.6" customHeight="1">
      <c r="B8" s="386" t="s">
        <v>2712</v>
      </c>
      <c r="G8" s="1275">
        <v>6000</v>
      </c>
      <c r="H8" s="1276"/>
      <c r="J8" s="1275">
        <v>6000</v>
      </c>
      <c r="K8" s="1276"/>
      <c r="L8" s="796"/>
      <c r="M8" s="1275"/>
      <c r="N8" s="1276"/>
      <c r="P8" s="1275"/>
      <c r="Q8" s="1276"/>
      <c r="S8" s="1275"/>
      <c r="T8" s="1276"/>
      <c r="V8" s="1346"/>
      <c r="W8" s="1347"/>
    </row>
    <row r="9" spans="1:23" s="386" customFormat="1" ht="12.6" customHeight="1">
      <c r="B9" s="386" t="s">
        <v>584</v>
      </c>
      <c r="G9" s="1275">
        <v>6000</v>
      </c>
      <c r="H9" s="1276"/>
      <c r="J9" s="1275">
        <v>6000</v>
      </c>
      <c r="K9" s="1276"/>
      <c r="L9" s="796"/>
      <c r="M9" s="1275"/>
      <c r="N9" s="1276"/>
      <c r="P9" s="1275"/>
      <c r="Q9" s="1276"/>
      <c r="S9" s="1275"/>
      <c r="T9" s="1276"/>
      <c r="V9" s="1348"/>
      <c r="W9" s="1349"/>
    </row>
    <row r="10" spans="1:23" s="386" customFormat="1" ht="12.6" customHeight="1">
      <c r="B10" s="386" t="s">
        <v>620</v>
      </c>
      <c r="G10" s="1275">
        <v>7220</v>
      </c>
      <c r="H10" s="1276"/>
      <c r="J10" s="1275">
        <v>7220</v>
      </c>
      <c r="K10" s="1276"/>
      <c r="L10" s="796"/>
      <c r="M10" s="1275"/>
      <c r="N10" s="1276"/>
      <c r="P10" s="1275"/>
      <c r="Q10" s="1276"/>
      <c r="S10" s="1275"/>
      <c r="T10" s="1276"/>
      <c r="V10" s="1348"/>
      <c r="W10" s="1349"/>
    </row>
    <row r="11" spans="1:23" s="386" customFormat="1" ht="12.6" customHeight="1">
      <c r="B11" s="386" t="s">
        <v>621</v>
      </c>
      <c r="G11" s="1275">
        <v>4500</v>
      </c>
      <c r="H11" s="1276"/>
      <c r="J11" s="1275">
        <v>4500</v>
      </c>
      <c r="K11" s="1276"/>
      <c r="L11" s="796"/>
      <c r="M11" s="1275"/>
      <c r="N11" s="1276"/>
      <c r="P11" s="1275"/>
      <c r="Q11" s="1276"/>
      <c r="S11" s="1275"/>
      <c r="T11" s="1276"/>
      <c r="V11" s="1348"/>
      <c r="W11" s="1349"/>
    </row>
    <row r="12" spans="1:23" s="386" customFormat="1" ht="12.6" customHeight="1">
      <c r="B12" s="386" t="s">
        <v>3282</v>
      </c>
      <c r="G12" s="1275">
        <v>8000</v>
      </c>
      <c r="H12" s="1276"/>
      <c r="J12" s="1275">
        <v>8000</v>
      </c>
      <c r="K12" s="1276"/>
      <c r="L12" s="796"/>
      <c r="M12" s="1275"/>
      <c r="N12" s="1276"/>
      <c r="P12" s="1275"/>
      <c r="Q12" s="1276"/>
      <c r="S12" s="1275"/>
      <c r="T12" s="1276"/>
      <c r="V12" s="1348"/>
      <c r="W12" s="1349"/>
    </row>
    <row r="13" spans="1:23" s="386" customFormat="1" ht="12.6" customHeight="1">
      <c r="B13" s="386" t="s">
        <v>208</v>
      </c>
      <c r="G13" s="1275">
        <v>2000</v>
      </c>
      <c r="H13" s="1276"/>
      <c r="J13" s="1275">
        <v>2000</v>
      </c>
      <c r="K13" s="1276"/>
      <c r="L13" s="796"/>
      <c r="M13" s="1275"/>
      <c r="N13" s="1276"/>
      <c r="P13" s="1275"/>
      <c r="Q13" s="1276"/>
      <c r="S13" s="1275"/>
      <c r="T13" s="1276"/>
      <c r="V13" s="1348"/>
      <c r="W13" s="1349"/>
    </row>
    <row r="14" spans="1:23" s="386" customFormat="1" ht="12.6" customHeight="1">
      <c r="A14" s="480" t="str">
        <f>IF(AND(G14&gt;0,OR(C14="",C14="&lt;Enter detailed description here; use Comments section if needed&gt;")),"X","")</f>
        <v/>
      </c>
      <c r="B14" s="386" t="s">
        <v>1046</v>
      </c>
      <c r="C14" s="1149" t="s">
        <v>3181</v>
      </c>
      <c r="D14" s="1149"/>
      <c r="E14" s="1149"/>
      <c r="F14" s="1150"/>
      <c r="G14" s="1275"/>
      <c r="H14" s="1276"/>
      <c r="J14" s="1275"/>
      <c r="K14" s="1276"/>
      <c r="L14" s="796"/>
      <c r="M14" s="1275"/>
      <c r="N14" s="1276"/>
      <c r="P14" s="1275"/>
      <c r="Q14" s="1276"/>
      <c r="S14" s="1275"/>
      <c r="T14" s="1276"/>
      <c r="U14" s="479" t="str">
        <f>IF(AND(G14&gt;0,OR(C14="",C14="&lt;Enter detailed description here; use Comments section if needed&gt;")),"NO DESCRIPTION PROVIDED - please enter detailed description in Other box at left; use Comments section below if needed.","")</f>
        <v/>
      </c>
      <c r="V14" s="1348"/>
      <c r="W14" s="1349"/>
    </row>
    <row r="15" spans="1:23" s="386" customFormat="1" ht="12.6" customHeight="1">
      <c r="A15" s="480" t="str">
        <f>IF(AND(G15&gt;0,OR(C15="",C15="&lt;Enter detailed description here; use Comments section if needed&gt;")),"X","")</f>
        <v/>
      </c>
      <c r="B15" s="386" t="s">
        <v>1046</v>
      </c>
      <c r="C15" s="1149" t="s">
        <v>3181</v>
      </c>
      <c r="D15" s="1149"/>
      <c r="E15" s="1149"/>
      <c r="F15" s="1150"/>
      <c r="G15" s="1275"/>
      <c r="H15" s="1276"/>
      <c r="J15" s="1275"/>
      <c r="K15" s="1276"/>
      <c r="L15" s="796"/>
      <c r="M15" s="1275"/>
      <c r="N15" s="1276"/>
      <c r="P15" s="1275"/>
      <c r="Q15" s="1276"/>
      <c r="S15" s="1275"/>
      <c r="T15" s="1276"/>
      <c r="U15" s="479" t="str">
        <f>IF(AND(G15&gt;0,OR(C15="",C15="&lt;Enter detailed description here; use Comments section if needed&gt;")),"NO DESCRIPTION PROVIDED - please enter detailed description in Other box at left; use Comments section below if needed.","")</f>
        <v/>
      </c>
      <c r="V15" s="1348"/>
      <c r="W15" s="1349"/>
    </row>
    <row r="16" spans="1:23" s="386" customFormat="1" ht="12.6" customHeight="1" thickBot="1">
      <c r="A16" s="480" t="str">
        <f>IF(AND(G16&gt;0,OR(C16="",C16="&lt;Enter detailed description here; use Comments section if needed&gt;")),"X","")</f>
        <v/>
      </c>
      <c r="B16" s="386" t="s">
        <v>1046</v>
      </c>
      <c r="C16" s="1149" t="s">
        <v>3181</v>
      </c>
      <c r="D16" s="1149"/>
      <c r="E16" s="1149"/>
      <c r="F16" s="1150"/>
      <c r="G16" s="1275"/>
      <c r="H16" s="1276"/>
      <c r="J16" s="1390"/>
      <c r="K16" s="1391"/>
      <c r="L16" s="796"/>
      <c r="M16" s="1275"/>
      <c r="N16" s="1276"/>
      <c r="P16" s="1275"/>
      <c r="Q16" s="1276"/>
      <c r="S16" s="1390"/>
      <c r="T16" s="1391"/>
      <c r="U16" s="479" t="str">
        <f>IF(AND(G16&gt;0,OR(C16="",C16="&lt;Enter detailed description here; use Comments section if needed&gt;")),"NO DESCRIPTION PROVIDED - please enter detailed description in Other box at left; use Comments section below if needed.","")</f>
        <v/>
      </c>
      <c r="V16" s="1348"/>
      <c r="W16" s="1349"/>
    </row>
    <row r="17" spans="2:23" s="386" customFormat="1" ht="12.6" customHeight="1" thickTop="1">
      <c r="F17" s="446" t="s">
        <v>209</v>
      </c>
      <c r="G17" s="1340">
        <f>SUM(G8:H16)</f>
        <v>33720</v>
      </c>
      <c r="H17" s="1352"/>
      <c r="J17" s="1340">
        <f>SUM(J8:K16)</f>
        <v>33720</v>
      </c>
      <c r="K17" s="1341"/>
      <c r="L17" s="796"/>
      <c r="M17" s="1340">
        <f>SUM(M8:N16)</f>
        <v>0</v>
      </c>
      <c r="N17" s="1352"/>
      <c r="P17" s="1340">
        <f>SUM(P8:Q16)</f>
        <v>0</v>
      </c>
      <c r="Q17" s="1352"/>
      <c r="S17" s="1340">
        <f>SUM(S8:T16)</f>
        <v>0</v>
      </c>
      <c r="T17" s="1352"/>
      <c r="V17" s="1350"/>
      <c r="W17" s="1351"/>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275">
        <v>1130000</v>
      </c>
      <c r="H19" s="1276"/>
      <c r="J19" s="448"/>
      <c r="K19" s="445"/>
      <c r="L19" s="448"/>
      <c r="M19" s="448"/>
      <c r="N19" s="445"/>
      <c r="P19" s="448"/>
      <c r="Q19" s="445"/>
      <c r="S19" s="1275">
        <v>1130000</v>
      </c>
      <c r="T19" s="1276"/>
      <c r="V19" s="1346"/>
      <c r="W19" s="1347"/>
    </row>
    <row r="20" spans="2:23" s="386" customFormat="1" ht="12.6" customHeight="1">
      <c r="B20" s="386" t="s">
        <v>1527</v>
      </c>
      <c r="G20" s="1275"/>
      <c r="H20" s="1276"/>
      <c r="J20" s="448"/>
      <c r="K20" s="445"/>
      <c r="L20" s="448"/>
      <c r="M20" s="448"/>
      <c r="N20" s="445"/>
      <c r="P20" s="448"/>
      <c r="Q20" s="445"/>
      <c r="S20" s="1275"/>
      <c r="T20" s="1276"/>
      <c r="V20" s="1348"/>
      <c r="W20" s="1349"/>
    </row>
    <row r="21" spans="2:23" s="386" customFormat="1" ht="12.6" customHeight="1">
      <c r="B21" s="386" t="s">
        <v>585</v>
      </c>
      <c r="G21" s="1275"/>
      <c r="H21" s="1276"/>
      <c r="J21" s="448"/>
      <c r="K21" s="445"/>
      <c r="L21" s="448"/>
      <c r="M21" s="1275"/>
      <c r="N21" s="1276"/>
      <c r="P21" s="448"/>
      <c r="Q21" s="445"/>
      <c r="S21" s="1275"/>
      <c r="T21" s="1276"/>
      <c r="V21" s="1348"/>
      <c r="W21" s="1349"/>
    </row>
    <row r="22" spans="2:23" s="386" customFormat="1" ht="12.6" customHeight="1" thickBot="1">
      <c r="B22" s="386" t="s">
        <v>553</v>
      </c>
      <c r="G22" s="1338"/>
      <c r="H22" s="1339"/>
      <c r="J22" s="448"/>
      <c r="K22" s="445"/>
      <c r="L22" s="448"/>
      <c r="M22" s="1338"/>
      <c r="N22" s="1339"/>
      <c r="P22" s="448"/>
      <c r="Q22" s="445"/>
      <c r="S22" s="1275"/>
      <c r="T22" s="1276"/>
      <c r="V22" s="1348"/>
      <c r="W22" s="1349"/>
    </row>
    <row r="23" spans="2:23" s="386" customFormat="1" ht="12.6" customHeight="1" thickTop="1">
      <c r="F23" s="446" t="s">
        <v>209</v>
      </c>
      <c r="G23" s="1340">
        <f>SUM(G19:H22)</f>
        <v>1130000</v>
      </c>
      <c r="H23" s="1352"/>
      <c r="J23" s="448"/>
      <c r="K23" s="445"/>
      <c r="L23" s="448"/>
      <c r="M23" s="1340">
        <f>SUM(M21:N22)</f>
        <v>0</v>
      </c>
      <c r="N23" s="1352"/>
      <c r="P23" s="448"/>
      <c r="Q23" s="445"/>
      <c r="S23" s="1340">
        <f>SUM(S19:T22)</f>
        <v>1130000</v>
      </c>
      <c r="T23" s="1352"/>
      <c r="V23" s="1350"/>
      <c r="W23" s="1351"/>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364">
        <v>800000</v>
      </c>
      <c r="H25" s="1365"/>
      <c r="J25" s="1390">
        <v>750000</v>
      </c>
      <c r="K25" s="1391"/>
      <c r="L25" s="796"/>
      <c r="M25" s="1390"/>
      <c r="N25" s="1391"/>
      <c r="P25" s="1390"/>
      <c r="Q25" s="1391"/>
      <c r="S25" s="1275">
        <v>50000</v>
      </c>
      <c r="T25" s="1276"/>
      <c r="V25" s="1346"/>
      <c r="W25" s="1347"/>
    </row>
    <row r="26" spans="2:23" s="386" customFormat="1" ht="12.6" customHeight="1" thickBot="1">
      <c r="B26" s="386" t="s">
        <v>1530</v>
      </c>
      <c r="G26" s="1275"/>
      <c r="H26" s="1276"/>
      <c r="J26" s="1390"/>
      <c r="K26" s="1391"/>
      <c r="L26" s="449"/>
      <c r="M26" s="1342"/>
      <c r="N26" s="1342"/>
      <c r="P26" s="1342"/>
      <c r="Q26" s="1342"/>
      <c r="S26" s="1275"/>
      <c r="T26" s="1276"/>
      <c r="V26" s="1348"/>
      <c r="W26" s="1349"/>
    </row>
    <row r="27" spans="2:23" s="386" customFormat="1" ht="12.6" customHeight="1" thickTop="1">
      <c r="F27" s="446" t="s">
        <v>209</v>
      </c>
      <c r="G27" s="1340">
        <f>SUM(G25:H26)</f>
        <v>800000</v>
      </c>
      <c r="H27" s="1352"/>
      <c r="J27" s="1340">
        <f>SUM(J25:K26)</f>
        <v>750000</v>
      </c>
      <c r="K27" s="1352"/>
      <c r="L27" s="448"/>
      <c r="M27" s="1340">
        <f>M25</f>
        <v>0</v>
      </c>
      <c r="N27" s="1352"/>
      <c r="P27" s="1340">
        <f>P25</f>
        <v>0</v>
      </c>
      <c r="Q27" s="1352"/>
      <c r="S27" s="1340">
        <f>SUM(S25:T26)</f>
        <v>50000</v>
      </c>
      <c r="T27" s="1352"/>
      <c r="V27" s="1350"/>
      <c r="W27" s="1351"/>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275">
        <v>4254228</v>
      </c>
      <c r="H29" s="1276"/>
      <c r="J29" s="1275">
        <v>4254228</v>
      </c>
      <c r="K29" s="1276"/>
      <c r="L29" s="796"/>
      <c r="M29" s="1275"/>
      <c r="N29" s="1276"/>
      <c r="P29" s="1275"/>
      <c r="Q29" s="1276"/>
      <c r="S29" s="1275"/>
      <c r="T29" s="1276"/>
      <c r="V29" s="1346"/>
      <c r="W29" s="1347"/>
    </row>
    <row r="30" spans="2:23" s="386" customFormat="1" ht="12.6" customHeight="1">
      <c r="B30" s="386" t="s">
        <v>1533</v>
      </c>
      <c r="G30" s="1275"/>
      <c r="H30" s="1276"/>
      <c r="J30" s="1275"/>
      <c r="K30" s="1276"/>
      <c r="L30" s="796"/>
      <c r="M30" s="1275"/>
      <c r="N30" s="1276"/>
      <c r="P30" s="1275"/>
      <c r="Q30" s="1276"/>
      <c r="S30" s="1275"/>
      <c r="T30" s="1276"/>
      <c r="V30" s="1348"/>
      <c r="W30" s="1349"/>
    </row>
    <row r="31" spans="2:23" ht="12.6" customHeight="1" thickBot="1">
      <c r="B31" s="386" t="s">
        <v>1534</v>
      </c>
      <c r="G31" s="1275">
        <v>467772</v>
      </c>
      <c r="H31" s="1276"/>
      <c r="I31" s="386"/>
      <c r="J31" s="1275">
        <v>467772</v>
      </c>
      <c r="K31" s="1276"/>
      <c r="L31" s="796"/>
      <c r="M31" s="1275"/>
      <c r="N31" s="1276"/>
      <c r="O31" s="386"/>
      <c r="P31" s="1275"/>
      <c r="Q31" s="1276"/>
      <c r="R31" s="386"/>
      <c r="S31" s="1275"/>
      <c r="T31" s="1276"/>
      <c r="V31" s="1348"/>
      <c r="W31" s="1349"/>
    </row>
    <row r="32" spans="2:23" s="386" customFormat="1" ht="12.6" customHeight="1" thickTop="1">
      <c r="C32" s="1430"/>
      <c r="D32" s="1430"/>
      <c r="E32" s="798"/>
      <c r="F32" s="446" t="s">
        <v>209</v>
      </c>
      <c r="G32" s="1340">
        <f>SUM(G29:H31)</f>
        <v>4722000</v>
      </c>
      <c r="H32" s="1352"/>
      <c r="J32" s="1340">
        <f>SUM(J29:K31)</f>
        <v>4722000</v>
      </c>
      <c r="K32" s="1352"/>
      <c r="L32" s="796"/>
      <c r="M32" s="1340">
        <f>SUM(M29:N31)</f>
        <v>0</v>
      </c>
      <c r="N32" s="1352"/>
      <c r="P32" s="1340">
        <f>SUM(P29:Q31)</f>
        <v>0</v>
      </c>
      <c r="Q32" s="1352"/>
      <c r="S32" s="1340">
        <f>SUM(S29:T31)</f>
        <v>0</v>
      </c>
      <c r="T32" s="1352"/>
      <c r="V32" s="1350"/>
      <c r="W32" s="1351"/>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331320</v>
      </c>
      <c r="G34" s="1275">
        <v>331320</v>
      </c>
      <c r="H34" s="1276"/>
      <c r="I34" s="406"/>
      <c r="J34" s="1275">
        <v>331320</v>
      </c>
      <c r="K34" s="1276"/>
      <c r="L34" s="796"/>
      <c r="M34" s="1275"/>
      <c r="N34" s="1276"/>
      <c r="P34" s="1275"/>
      <c r="Q34" s="1276"/>
      <c r="S34" s="1275"/>
      <c r="T34" s="1276"/>
      <c r="V34" s="1346"/>
      <c r="W34" s="1347"/>
    </row>
    <row r="35" spans="1:23" s="386" customFormat="1" ht="12.6" customHeight="1">
      <c r="B35" s="386" t="s">
        <v>3752</v>
      </c>
      <c r="E35" s="520">
        <f>'DCA Underwriting Assumptions'!$R$37</f>
        <v>0.02</v>
      </c>
      <c r="F35" s="521">
        <f>E35*($G$27+$G$32)</f>
        <v>110440</v>
      </c>
      <c r="G35" s="1275">
        <v>110440</v>
      </c>
      <c r="H35" s="1276"/>
      <c r="I35" s="406"/>
      <c r="J35" s="1275">
        <v>110440</v>
      </c>
      <c r="K35" s="1276"/>
      <c r="L35" s="796"/>
      <c r="M35" s="1275"/>
      <c r="N35" s="1276"/>
      <c r="P35" s="1275"/>
      <c r="Q35" s="1276"/>
      <c r="S35" s="1275"/>
      <c r="T35" s="1276"/>
      <c r="V35" s="1348"/>
      <c r="W35" s="1349"/>
    </row>
    <row r="36" spans="1:23" s="386" customFormat="1" ht="12.6" customHeight="1" thickBot="1">
      <c r="B36" s="386" t="s">
        <v>3753</v>
      </c>
      <c r="E36" s="520">
        <f>'DCA Underwriting Assumptions'!$R$38</f>
        <v>0.06</v>
      </c>
      <c r="F36" s="521">
        <f>E36*($G$27+$G$32)</f>
        <v>331320</v>
      </c>
      <c r="G36" s="1275">
        <v>331320</v>
      </c>
      <c r="H36" s="1276"/>
      <c r="I36" s="406"/>
      <c r="J36" s="1275">
        <v>331320</v>
      </c>
      <c r="K36" s="1276"/>
      <c r="L36" s="796"/>
      <c r="M36" s="1275"/>
      <c r="N36" s="1276"/>
      <c r="P36" s="1275"/>
      <c r="Q36" s="1276"/>
      <c r="S36" s="1275"/>
      <c r="T36" s="1276"/>
      <c r="V36" s="1348"/>
      <c r="W36" s="1349"/>
    </row>
    <row r="37" spans="1:23" s="386" customFormat="1" ht="12.6" customHeight="1" thickTop="1">
      <c r="B37" s="386" t="s">
        <v>2753</v>
      </c>
      <c r="D37" s="453"/>
      <c r="E37" s="786"/>
      <c r="F37" s="522" t="s">
        <v>209</v>
      </c>
      <c r="G37" s="1340">
        <f>SUM(G34:H36)</f>
        <v>773080</v>
      </c>
      <c r="H37" s="1352"/>
      <c r="J37" s="1340">
        <f>SUM(J34:K36)</f>
        <v>773080</v>
      </c>
      <c r="K37" s="1352"/>
      <c r="L37" s="448"/>
      <c r="M37" s="1340">
        <f>SUM(M34:N36)</f>
        <v>0</v>
      </c>
      <c r="N37" s="1352"/>
      <c r="P37" s="1340">
        <f>SUM(P34:Q36)</f>
        <v>0</v>
      </c>
      <c r="Q37" s="1352"/>
      <c r="S37" s="1340">
        <f>SUM(S34:T36)</f>
        <v>0</v>
      </c>
      <c r="T37" s="1352"/>
      <c r="V37" s="1350"/>
      <c r="W37" s="1351"/>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149" t="s">
        <v>3181</v>
      </c>
      <c r="D40" s="1398"/>
      <c r="E40" s="1398"/>
      <c r="F40" s="1399"/>
      <c r="G40" s="1275"/>
      <c r="H40" s="1276"/>
      <c r="I40" s="386"/>
      <c r="J40" s="1275"/>
      <c r="K40" s="1276"/>
      <c r="L40" s="796"/>
      <c r="M40" s="1275"/>
      <c r="N40" s="1276"/>
      <c r="O40" s="386"/>
      <c r="P40" s="1275"/>
      <c r="Q40" s="1276"/>
      <c r="R40" s="386"/>
      <c r="S40" s="1275"/>
      <c r="T40" s="1276"/>
      <c r="V40" s="1346"/>
      <c r="W40" s="1347"/>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348"/>
      <c r="W41" s="1349"/>
    </row>
    <row r="42" spans="1:23" s="386" customFormat="1" ht="12.6" customHeight="1">
      <c r="B42" s="454" t="s">
        <v>3766</v>
      </c>
      <c r="C42" s="455"/>
      <c r="D42" s="1396" t="s">
        <v>3765</v>
      </c>
      <c r="E42" s="456">
        <f>B43/'Part VI-Revenues &amp; Expenses'!$M$60</f>
        <v>89929.71428571429</v>
      </c>
      <c r="F42" s="688" t="s">
        <v>3731</v>
      </c>
      <c r="G42" s="1389">
        <f>B43/'Part VI-Revenues &amp; Expenses'!$M$62</f>
        <v>89929.71428571429</v>
      </c>
      <c r="H42" s="1389"/>
      <c r="I42" s="690"/>
      <c r="J42" s="457" t="s">
        <v>1840</v>
      </c>
      <c r="V42" s="1348"/>
      <c r="W42" s="1349"/>
    </row>
    <row r="43" spans="1:23" s="386" customFormat="1" ht="12.6" customHeight="1">
      <c r="B43" s="1381">
        <f>G27+G32+G37+G40</f>
        <v>6295080</v>
      </c>
      <c r="C43" s="1382"/>
      <c r="D43" s="1397"/>
      <c r="E43" s="797">
        <f>B43/'Part VI-Revenues &amp; Expenses'!$M$98</f>
        <v>98.823861852433282</v>
      </c>
      <c r="F43" s="689" t="s">
        <v>3732</v>
      </c>
      <c r="G43" s="1395">
        <f>B43/'Part VI-Revenues &amp; Expenses'!$M$100</f>
        <v>98.823861852433282</v>
      </c>
      <c r="H43" s="1395"/>
      <c r="I43" s="795"/>
      <c r="J43" s="458" t="s">
        <v>1151</v>
      </c>
      <c r="K43" s="445"/>
      <c r="L43" s="459"/>
      <c r="M43" s="445"/>
      <c r="N43" s="796"/>
      <c r="P43" s="445"/>
      <c r="Q43" s="796"/>
      <c r="S43" s="445"/>
      <c r="T43" s="796"/>
      <c r="V43" s="1350"/>
      <c r="W43" s="1351"/>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0.05</v>
      </c>
      <c r="G46" s="1275">
        <v>314754</v>
      </c>
      <c r="H46" s="1276"/>
      <c r="I46" s="386"/>
      <c r="J46" s="1275">
        <v>314754</v>
      </c>
      <c r="K46" s="1276"/>
      <c r="L46" s="796"/>
      <c r="M46" s="1275"/>
      <c r="N46" s="1276"/>
      <c r="O46" s="386"/>
      <c r="P46" s="1275"/>
      <c r="Q46" s="1276"/>
      <c r="R46" s="386"/>
      <c r="S46" s="1275"/>
      <c r="T46" s="1276"/>
      <c r="V46" s="1344"/>
      <c r="W46" s="1345"/>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1360" t="s">
        <v>299</v>
      </c>
      <c r="K49" s="1361"/>
      <c r="L49" s="445"/>
      <c r="M49" s="1385" t="s">
        <v>623</v>
      </c>
      <c r="N49" s="1386"/>
      <c r="P49" s="1360" t="s">
        <v>300</v>
      </c>
      <c r="Q49" s="1361"/>
      <c r="S49" s="1360" t="s">
        <v>301</v>
      </c>
      <c r="T49" s="1361"/>
      <c r="V49" s="567" t="str">
        <f>B49</f>
        <v>DEVELOPMENT BUDGET</v>
      </c>
    </row>
    <row r="50" spans="1:23" s="386" customFormat="1" ht="18.75" customHeight="1" thickBot="1">
      <c r="G50" s="1379" t="s">
        <v>107</v>
      </c>
      <c r="H50" s="1380"/>
      <c r="J50" s="1362"/>
      <c r="K50" s="1363"/>
      <c r="L50" s="445"/>
      <c r="M50" s="1387"/>
      <c r="N50" s="1388"/>
      <c r="P50" s="1362"/>
      <c r="Q50" s="1363"/>
      <c r="S50" s="1362"/>
      <c r="T50" s="1363"/>
      <c r="V50" s="1343" t="s">
        <v>3548</v>
      </c>
      <c r="W50" s="1343"/>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275">
        <v>79752</v>
      </c>
      <c r="H52" s="1276"/>
      <c r="J52" s="1275">
        <v>79752</v>
      </c>
      <c r="K52" s="1276"/>
      <c r="L52" s="796"/>
      <c r="M52" s="1275"/>
      <c r="N52" s="1276"/>
      <c r="P52" s="1275"/>
      <c r="Q52" s="1276"/>
      <c r="S52" s="1275"/>
      <c r="T52" s="1276"/>
      <c r="V52" s="1346"/>
      <c r="W52" s="1347"/>
    </row>
    <row r="53" spans="1:23" s="386" customFormat="1" ht="12" customHeight="1">
      <c r="B53" s="386" t="s">
        <v>3080</v>
      </c>
      <c r="G53" s="1275">
        <v>196569.942540063</v>
      </c>
      <c r="H53" s="1276"/>
      <c r="J53" s="1275">
        <v>174909.08167436899</v>
      </c>
      <c r="K53" s="1276"/>
      <c r="L53" s="796"/>
      <c r="M53" s="1275"/>
      <c r="N53" s="1276"/>
      <c r="P53" s="1275"/>
      <c r="Q53" s="1276"/>
      <c r="S53" s="1275">
        <v>21661.260865693301</v>
      </c>
      <c r="T53" s="1276"/>
      <c r="V53" s="1348"/>
      <c r="W53" s="1349"/>
    </row>
    <row r="54" spans="1:23" s="386" customFormat="1" ht="12" customHeight="1">
      <c r="B54" s="386" t="s">
        <v>3081</v>
      </c>
      <c r="G54" s="1275">
        <v>41000</v>
      </c>
      <c r="H54" s="1276"/>
      <c r="J54" s="1275">
        <v>41000</v>
      </c>
      <c r="K54" s="1276"/>
      <c r="L54" s="796"/>
      <c r="M54" s="1275"/>
      <c r="N54" s="1276"/>
      <c r="P54" s="1275"/>
      <c r="Q54" s="1276"/>
      <c r="S54" s="1275"/>
      <c r="T54" s="1276"/>
      <c r="V54" s="1348"/>
      <c r="W54" s="1349"/>
    </row>
    <row r="55" spans="1:23" s="386" customFormat="1" ht="12" customHeight="1">
      <c r="B55" s="386" t="s">
        <v>3580</v>
      </c>
      <c r="G55" s="1275">
        <v>3600</v>
      </c>
      <c r="H55" s="1276"/>
      <c r="J55" s="1275">
        <v>3600</v>
      </c>
      <c r="K55" s="1276"/>
      <c r="L55" s="796"/>
      <c r="M55" s="1275"/>
      <c r="N55" s="1276"/>
      <c r="P55" s="1275"/>
      <c r="Q55" s="1276"/>
      <c r="S55" s="1275"/>
      <c r="T55" s="1276"/>
      <c r="V55" s="1348"/>
      <c r="W55" s="1349"/>
    </row>
    <row r="56" spans="1:23" s="386" customFormat="1" ht="12" customHeight="1">
      <c r="B56" s="386" t="s">
        <v>916</v>
      </c>
      <c r="G56" s="1275">
        <v>5500</v>
      </c>
      <c r="H56" s="1276"/>
      <c r="J56" s="1275">
        <v>5500</v>
      </c>
      <c r="K56" s="1276"/>
      <c r="L56" s="796"/>
      <c r="M56" s="1275"/>
      <c r="N56" s="1276"/>
      <c r="P56" s="1275"/>
      <c r="Q56" s="1276"/>
      <c r="S56" s="1275"/>
      <c r="T56" s="1276"/>
      <c r="V56" s="1348"/>
      <c r="W56" s="1349"/>
    </row>
    <row r="57" spans="1:23" s="386" customFormat="1" ht="12" customHeight="1">
      <c r="B57" s="386" t="s">
        <v>3082</v>
      </c>
      <c r="G57" s="1275">
        <v>15000</v>
      </c>
      <c r="H57" s="1276"/>
      <c r="J57" s="1275">
        <v>15000</v>
      </c>
      <c r="K57" s="1276"/>
      <c r="L57" s="796"/>
      <c r="M57" s="1275"/>
      <c r="N57" s="1276"/>
      <c r="P57" s="1275"/>
      <c r="Q57" s="1276"/>
      <c r="S57" s="1275"/>
      <c r="T57" s="1276"/>
      <c r="V57" s="1348"/>
      <c r="W57" s="1349"/>
    </row>
    <row r="58" spans="1:23" s="386" customFormat="1" ht="12" customHeight="1">
      <c r="B58" s="386" t="s">
        <v>1701</v>
      </c>
      <c r="G58" s="1275">
        <v>15000</v>
      </c>
      <c r="H58" s="1276"/>
      <c r="J58" s="1275">
        <v>15000</v>
      </c>
      <c r="K58" s="1276"/>
      <c r="L58" s="796"/>
      <c r="M58" s="1275"/>
      <c r="N58" s="1276"/>
      <c r="P58" s="1275"/>
      <c r="Q58" s="1276"/>
      <c r="S58" s="1275"/>
      <c r="T58" s="1276"/>
      <c r="V58" s="1348"/>
      <c r="W58" s="1349"/>
    </row>
    <row r="59" spans="1:23" s="386" customFormat="1" ht="12" customHeight="1">
      <c r="B59" s="386" t="s">
        <v>309</v>
      </c>
      <c r="G59" s="1275"/>
      <c r="H59" s="1276"/>
      <c r="J59" s="1275"/>
      <c r="K59" s="1276"/>
      <c r="L59" s="796"/>
      <c r="M59" s="1275"/>
      <c r="N59" s="1276"/>
      <c r="P59" s="1275"/>
      <c r="Q59" s="1276"/>
      <c r="S59" s="1275"/>
      <c r="T59" s="1276"/>
      <c r="V59" s="1348"/>
      <c r="W59" s="1349"/>
    </row>
    <row r="60" spans="1:23" s="386" customFormat="1" ht="12" customHeight="1">
      <c r="B60" s="452" t="s">
        <v>1566</v>
      </c>
      <c r="D60" s="450"/>
      <c r="E60" s="450"/>
      <c r="F60" s="451"/>
      <c r="G60" s="1364">
        <v>62950.8</v>
      </c>
      <c r="H60" s="1365"/>
      <c r="I60" s="406"/>
      <c r="J60" s="1364">
        <v>62950.8</v>
      </c>
      <c r="K60" s="1365"/>
      <c r="L60" s="796"/>
      <c r="M60" s="1275"/>
      <c r="N60" s="1276"/>
      <c r="P60" s="1275"/>
      <c r="Q60" s="1276"/>
      <c r="S60" s="1275"/>
      <c r="T60" s="1276"/>
      <c r="V60" s="1348"/>
      <c r="W60" s="1349"/>
    </row>
    <row r="61" spans="1:23" s="386" customFormat="1" ht="12" customHeight="1">
      <c r="A61" s="480" t="str">
        <f>IF(AND(G61&gt;0,OR(C61="",C61="&lt;Enter detailed description here; use Comments section if needed&gt;")),"X","")</f>
        <v/>
      </c>
      <c r="B61" s="386" t="s">
        <v>1046</v>
      </c>
      <c r="C61" s="1149" t="s">
        <v>3181</v>
      </c>
      <c r="D61" s="1149"/>
      <c r="E61" s="1149"/>
      <c r="F61" s="1150"/>
      <c r="G61" s="1275"/>
      <c r="H61" s="1276"/>
      <c r="J61" s="1275"/>
      <c r="K61" s="1276"/>
      <c r="L61" s="796"/>
      <c r="M61" s="1275"/>
      <c r="N61" s="1276"/>
      <c r="P61" s="1275"/>
      <c r="Q61" s="1276"/>
      <c r="S61" s="1275"/>
      <c r="T61" s="1276"/>
      <c r="U61" s="479" t="str">
        <f>IF(AND(G61&gt;0,OR(C61="",C61="&lt;Enter detailed description here; use Comments section if needed&gt;")),"NO DESCRIPTION PROVIDED - please enter detailed description in Other box at left; use Comments section below if needed.","")</f>
        <v/>
      </c>
      <c r="V61" s="1348"/>
      <c r="W61" s="1349"/>
    </row>
    <row r="62" spans="1:23" s="386" customFormat="1" ht="12" customHeight="1" thickBot="1">
      <c r="A62" s="480" t="str">
        <f>IF(AND(G62&gt;0,OR(C62="",C62="&lt;Enter detailed description here; use Comments section if needed&gt;")),"X","")</f>
        <v/>
      </c>
      <c r="B62" s="386" t="s">
        <v>1046</v>
      </c>
      <c r="C62" s="1149" t="s">
        <v>3181</v>
      </c>
      <c r="D62" s="1149"/>
      <c r="E62" s="1149"/>
      <c r="F62" s="1150"/>
      <c r="G62" s="1275"/>
      <c r="H62" s="1276"/>
      <c r="J62" s="1275"/>
      <c r="K62" s="1276"/>
      <c r="L62" s="796"/>
      <c r="M62" s="1275"/>
      <c r="N62" s="1276"/>
      <c r="P62" s="1275"/>
      <c r="Q62" s="1276"/>
      <c r="S62" s="1275"/>
      <c r="T62" s="1276"/>
      <c r="U62" s="479" t="str">
        <f>IF(AND(G62&gt;0,OR(C62="",C62="&lt;Enter detailed description here; use Comments section if needed&gt;")),"NO DESCRIPTION PROVIDED - please enter detailed description in Other box at left; use Comments section below if needed.","")</f>
        <v/>
      </c>
      <c r="V62" s="1348"/>
      <c r="W62" s="1349"/>
    </row>
    <row r="63" spans="1:23" s="386" customFormat="1" ht="12" customHeight="1" thickTop="1">
      <c r="F63" s="446" t="s">
        <v>209</v>
      </c>
      <c r="G63" s="1340">
        <f>SUM(G52:H62)</f>
        <v>419372.74254006299</v>
      </c>
      <c r="H63" s="1352"/>
      <c r="J63" s="1340">
        <f>SUM(J52:K62)</f>
        <v>397711.88167436898</v>
      </c>
      <c r="K63" s="1352"/>
      <c r="L63" s="448"/>
      <c r="M63" s="1340">
        <f>SUM(M52:N62)</f>
        <v>0</v>
      </c>
      <c r="N63" s="1352"/>
      <c r="P63" s="1340">
        <f>SUM(P52:Q62)</f>
        <v>0</v>
      </c>
      <c r="Q63" s="1352"/>
      <c r="S63" s="1340">
        <f>SUM(S52:T62)</f>
        <v>21661.260865693301</v>
      </c>
      <c r="T63" s="1352"/>
      <c r="V63" s="1350"/>
      <c r="W63" s="1351"/>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364">
        <v>123200</v>
      </c>
      <c r="H65" s="1365"/>
      <c r="J65" s="1364">
        <v>123200</v>
      </c>
      <c r="K65" s="1365"/>
      <c r="L65" s="796"/>
      <c r="M65" s="1275"/>
      <c r="N65" s="1276"/>
      <c r="P65" s="1275"/>
      <c r="Q65" s="1276"/>
      <c r="S65" s="1275"/>
      <c r="T65" s="1276"/>
      <c r="V65" s="1346"/>
      <c r="W65" s="1347"/>
    </row>
    <row r="66" spans="1:23" s="386" customFormat="1" ht="12" customHeight="1">
      <c r="B66" s="386" t="s">
        <v>610</v>
      </c>
      <c r="G66" s="1364">
        <v>30800</v>
      </c>
      <c r="H66" s="1365"/>
      <c r="J66" s="1364">
        <v>30800</v>
      </c>
      <c r="K66" s="1365"/>
      <c r="L66" s="796"/>
      <c r="M66" s="1275"/>
      <c r="N66" s="1276"/>
      <c r="P66" s="1275"/>
      <c r="Q66" s="1276"/>
      <c r="S66" s="1275"/>
      <c r="T66" s="1276"/>
      <c r="V66" s="1348"/>
      <c r="W66" s="1349"/>
    </row>
    <row r="67" spans="1:23" s="386" customFormat="1" ht="12" customHeight="1">
      <c r="B67" s="386" t="s">
        <v>1537</v>
      </c>
      <c r="F67" s="386" t="s">
        <v>3952</v>
      </c>
      <c r="G67" s="1364">
        <v>20000</v>
      </c>
      <c r="H67" s="1365"/>
      <c r="J67" s="1364">
        <v>20000</v>
      </c>
      <c r="K67" s="1365"/>
      <c r="L67" s="796"/>
      <c r="M67" s="1275"/>
      <c r="N67" s="1276"/>
      <c r="P67" s="1275"/>
      <c r="Q67" s="1276"/>
      <c r="S67" s="1275"/>
      <c r="T67" s="1276"/>
      <c r="V67" s="1348"/>
      <c r="W67" s="1349"/>
    </row>
    <row r="68" spans="1:23" s="386" customFormat="1" ht="12" customHeight="1">
      <c r="B68" s="386" t="s">
        <v>1538</v>
      </c>
      <c r="G68" s="1364">
        <v>20000</v>
      </c>
      <c r="H68" s="1365"/>
      <c r="J68" s="1364">
        <v>20000</v>
      </c>
      <c r="K68" s="1365"/>
      <c r="L68" s="796"/>
      <c r="M68" s="1275"/>
      <c r="N68" s="1276"/>
      <c r="P68" s="1275"/>
      <c r="Q68" s="1276"/>
      <c r="S68" s="1275"/>
      <c r="T68" s="1276"/>
      <c r="V68" s="1348"/>
      <c r="W68" s="1349"/>
    </row>
    <row r="69" spans="1:23" s="386" customFormat="1" ht="12" customHeight="1">
      <c r="B69" s="386" t="s">
        <v>1539</v>
      </c>
      <c r="G69" s="1364">
        <v>4500</v>
      </c>
      <c r="H69" s="1365"/>
      <c r="J69" s="1364">
        <v>4500</v>
      </c>
      <c r="K69" s="1365"/>
      <c r="L69" s="796"/>
      <c r="M69" s="1275"/>
      <c r="N69" s="1276"/>
      <c r="P69" s="1275"/>
      <c r="Q69" s="1276"/>
      <c r="S69" s="1275"/>
      <c r="T69" s="1276"/>
      <c r="V69" s="1348"/>
      <c r="W69" s="1349"/>
    </row>
    <row r="70" spans="1:23" s="386" customFormat="1" ht="12" customHeight="1">
      <c r="B70" s="386" t="s">
        <v>1540</v>
      </c>
      <c r="G70" s="1364">
        <v>8000</v>
      </c>
      <c r="H70" s="1365"/>
      <c r="J70" s="1364">
        <v>8000</v>
      </c>
      <c r="K70" s="1365"/>
      <c r="L70" s="796"/>
      <c r="M70" s="1275"/>
      <c r="N70" s="1276"/>
      <c r="P70" s="1275"/>
      <c r="Q70" s="1276"/>
      <c r="S70" s="1275"/>
      <c r="T70" s="1276"/>
      <c r="V70" s="1348"/>
      <c r="W70" s="1349"/>
    </row>
    <row r="71" spans="1:23" s="386" customFormat="1" ht="12" customHeight="1">
      <c r="B71" s="386" t="s">
        <v>611</v>
      </c>
      <c r="G71" s="1364">
        <v>40000</v>
      </c>
      <c r="H71" s="1365"/>
      <c r="J71" s="1364">
        <v>40000</v>
      </c>
      <c r="K71" s="1365"/>
      <c r="L71" s="796"/>
      <c r="M71" s="1275"/>
      <c r="N71" s="1276"/>
      <c r="P71" s="1275"/>
      <c r="Q71" s="1276"/>
      <c r="S71" s="1275"/>
      <c r="T71" s="1276"/>
      <c r="V71" s="1348"/>
      <c r="W71" s="1349"/>
    </row>
    <row r="72" spans="1:23" s="386" customFormat="1" ht="12" customHeight="1">
      <c r="B72" s="386" t="s">
        <v>612</v>
      </c>
      <c r="G72" s="1364">
        <v>27500</v>
      </c>
      <c r="H72" s="1365"/>
      <c r="J72" s="1364">
        <v>12500</v>
      </c>
      <c r="K72" s="1365"/>
      <c r="L72" s="796"/>
      <c r="M72" s="1275"/>
      <c r="N72" s="1276"/>
      <c r="P72" s="1275"/>
      <c r="Q72" s="1276"/>
      <c r="S72" s="1275">
        <v>15000</v>
      </c>
      <c r="T72" s="1276"/>
      <c r="V72" s="1348"/>
      <c r="W72" s="1349"/>
    </row>
    <row r="73" spans="1:23" s="386" customFormat="1" ht="12" customHeight="1">
      <c r="B73" s="386" t="s">
        <v>2763</v>
      </c>
      <c r="G73" s="1364">
        <v>12000</v>
      </c>
      <c r="H73" s="1365"/>
      <c r="J73" s="1364">
        <v>12000</v>
      </c>
      <c r="K73" s="1365"/>
      <c r="L73" s="796"/>
      <c r="M73" s="1275"/>
      <c r="N73" s="1276"/>
      <c r="P73" s="1275"/>
      <c r="Q73" s="1276"/>
      <c r="S73" s="1275"/>
      <c r="T73" s="1276"/>
      <c r="V73" s="1348"/>
      <c r="W73" s="1349"/>
    </row>
    <row r="74" spans="1:23" s="386" customFormat="1" ht="12" customHeight="1">
      <c r="B74" s="386" t="s">
        <v>1702</v>
      </c>
      <c r="G74" s="1364">
        <v>8000</v>
      </c>
      <c r="H74" s="1365"/>
      <c r="J74" s="1364">
        <v>8000</v>
      </c>
      <c r="K74" s="1365"/>
      <c r="L74" s="796"/>
      <c r="M74" s="1275"/>
      <c r="N74" s="1276"/>
      <c r="P74" s="1275"/>
      <c r="Q74" s="1276"/>
      <c r="S74" s="1275"/>
      <c r="T74" s="1276"/>
      <c r="V74" s="1348"/>
      <c r="W74" s="1349"/>
    </row>
    <row r="75" spans="1:23" s="386" customFormat="1" ht="12" customHeight="1" thickBot="1">
      <c r="A75" s="480" t="str">
        <f>IF(AND(G75&gt;0,OR(C75="",C75="&lt;Enter detailed description here; use Comments section if needed&gt;")),"X","")</f>
        <v/>
      </c>
      <c r="B75" s="386" t="s">
        <v>1046</v>
      </c>
      <c r="C75" s="1149"/>
      <c r="D75" s="1149"/>
      <c r="E75" s="1149"/>
      <c r="F75" s="1150"/>
      <c r="G75" s="1275"/>
      <c r="H75" s="1276"/>
      <c r="J75" s="1275"/>
      <c r="K75" s="1276"/>
      <c r="L75" s="796"/>
      <c r="M75" s="1275"/>
      <c r="N75" s="1276"/>
      <c r="P75" s="1275"/>
      <c r="Q75" s="1276"/>
      <c r="S75" s="1275"/>
      <c r="T75" s="1276"/>
      <c r="U75" s="479" t="str">
        <f>IF(AND(G75&gt;0,OR(C75="",C75="&lt;Enter detailed description here; use Comments section if needed&gt;")),"NO DESCRIPTION PROVIDED - please enter detailed description in Other box at left; use Comments section below if needed.","")</f>
        <v/>
      </c>
      <c r="V75" s="1348"/>
      <c r="W75" s="1349"/>
    </row>
    <row r="76" spans="1:23" s="386" customFormat="1" ht="12" customHeight="1" thickTop="1">
      <c r="F76" s="446" t="s">
        <v>209</v>
      </c>
      <c r="G76" s="1340">
        <f>SUM(G65:H75)</f>
        <v>294000</v>
      </c>
      <c r="H76" s="1352"/>
      <c r="J76" s="1340">
        <f>SUM(J65:K75)</f>
        <v>279000</v>
      </c>
      <c r="K76" s="1352"/>
      <c r="L76" s="448"/>
      <c r="M76" s="1340">
        <f>SUM(M65:N75)</f>
        <v>0</v>
      </c>
      <c r="N76" s="1352"/>
      <c r="P76" s="1340">
        <f>SUM(P65:Q75)</f>
        <v>0</v>
      </c>
      <c r="Q76" s="1352"/>
      <c r="S76" s="1340">
        <f>SUM(S65:T75)</f>
        <v>15000</v>
      </c>
      <c r="T76" s="1352"/>
      <c r="V76" s="1350"/>
      <c r="W76" s="1351"/>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275">
        <v>24400</v>
      </c>
      <c r="H78" s="1276"/>
      <c r="J78" s="1275">
        <v>24400</v>
      </c>
      <c r="K78" s="1276"/>
      <c r="L78" s="796"/>
      <c r="M78" s="1275"/>
      <c r="N78" s="1276"/>
      <c r="P78" s="1275"/>
      <c r="Q78" s="1276"/>
      <c r="S78" s="1275"/>
      <c r="T78" s="1276"/>
      <c r="V78" s="1353"/>
      <c r="W78" s="1354"/>
    </row>
    <row r="79" spans="1:23" s="386" customFormat="1" ht="12" customHeight="1">
      <c r="B79" s="386" t="s">
        <v>1696</v>
      </c>
      <c r="G79" s="1275"/>
      <c r="H79" s="1276"/>
      <c r="J79" s="1275"/>
      <c r="K79" s="1276"/>
      <c r="L79" s="796"/>
      <c r="M79" s="1275"/>
      <c r="N79" s="1276"/>
      <c r="P79" s="1275"/>
      <c r="Q79" s="1276"/>
      <c r="S79" s="1275"/>
      <c r="T79" s="1276"/>
      <c r="V79" s="1355"/>
      <c r="W79" s="1356"/>
    </row>
    <row r="80" spans="1:23" s="386" customFormat="1" ht="12" customHeight="1">
      <c r="B80" s="386" t="s">
        <v>1697</v>
      </c>
      <c r="D80" s="461" t="s">
        <v>1841</v>
      </c>
      <c r="E80" s="928" t="s">
        <v>4067</v>
      </c>
      <c r="G80" s="1275">
        <v>68255</v>
      </c>
      <c r="H80" s="1276"/>
      <c r="I80" s="406"/>
      <c r="J80" s="1275">
        <v>68255</v>
      </c>
      <c r="K80" s="1276"/>
      <c r="L80" s="796"/>
      <c r="M80" s="1275"/>
      <c r="N80" s="1276"/>
      <c r="P80" s="1275"/>
      <c r="Q80" s="1276"/>
      <c r="S80" s="1275"/>
      <c r="T80" s="1276"/>
      <c r="V80" s="1355"/>
      <c r="W80" s="1356"/>
    </row>
    <row r="81" spans="1:23" s="386" customFormat="1" ht="12" customHeight="1" thickBot="1">
      <c r="B81" s="386" t="s">
        <v>1698</v>
      </c>
      <c r="D81" s="461" t="s">
        <v>1841</v>
      </c>
      <c r="E81" s="928" t="s">
        <v>4067</v>
      </c>
      <c r="G81" s="1275">
        <v>128510</v>
      </c>
      <c r="H81" s="1276"/>
      <c r="I81" s="406"/>
      <c r="J81" s="1275">
        <v>128510</v>
      </c>
      <c r="K81" s="1276"/>
      <c r="L81" s="796"/>
      <c r="M81" s="1275"/>
      <c r="N81" s="1276"/>
      <c r="P81" s="1275"/>
      <c r="Q81" s="1276"/>
      <c r="S81" s="1275"/>
      <c r="T81" s="1276"/>
      <c r="V81" s="1355"/>
      <c r="W81" s="1356"/>
    </row>
    <row r="82" spans="1:23" s="386" customFormat="1" ht="12" customHeight="1" thickTop="1">
      <c r="F82" s="446" t="s">
        <v>209</v>
      </c>
      <c r="G82" s="1340">
        <f>SUM(G78:H81)</f>
        <v>221165</v>
      </c>
      <c r="H82" s="1352"/>
      <c r="J82" s="1340">
        <f>SUM(J78:K81)</f>
        <v>221165</v>
      </c>
      <c r="K82" s="1352"/>
      <c r="L82" s="448"/>
      <c r="M82" s="1340">
        <f>SUM(M78:N81)</f>
        <v>0</v>
      </c>
      <c r="N82" s="1352"/>
      <c r="P82" s="1340">
        <f>SUM(P78:Q81)</f>
        <v>0</v>
      </c>
      <c r="Q82" s="1352"/>
      <c r="S82" s="1340">
        <f>SUM(S78:T81)</f>
        <v>0</v>
      </c>
      <c r="T82" s="1352"/>
      <c r="V82" s="1357"/>
      <c r="W82" s="1358"/>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275">
        <v>4550</v>
      </c>
      <c r="H84" s="1276"/>
      <c r="J84" s="1359"/>
      <c r="K84" s="1359"/>
      <c r="L84" s="796"/>
      <c r="M84" s="1359"/>
      <c r="N84" s="1359"/>
      <c r="P84" s="1359"/>
      <c r="Q84" s="1359"/>
      <c r="S84" s="1275">
        <v>4550</v>
      </c>
      <c r="T84" s="1276"/>
      <c r="V84" s="1353"/>
      <c r="W84" s="1354"/>
    </row>
    <row r="85" spans="1:23" s="386" customFormat="1" ht="12" customHeight="1">
      <c r="B85" s="386" t="s">
        <v>1700</v>
      </c>
      <c r="G85" s="1275">
        <v>9200</v>
      </c>
      <c r="H85" s="1276"/>
      <c r="J85" s="1359"/>
      <c r="K85" s="1359"/>
      <c r="L85" s="796"/>
      <c r="M85" s="1359"/>
      <c r="N85" s="1359"/>
      <c r="P85" s="1359"/>
      <c r="Q85" s="1359"/>
      <c r="S85" s="1275">
        <v>9200</v>
      </c>
      <c r="T85" s="1276"/>
      <c r="V85" s="1355"/>
      <c r="W85" s="1356"/>
    </row>
    <row r="86" spans="1:23" s="386" customFormat="1" ht="12" customHeight="1">
      <c r="B86" s="386" t="s">
        <v>1701</v>
      </c>
      <c r="G86" s="1275">
        <v>2000</v>
      </c>
      <c r="H86" s="1276"/>
      <c r="J86" s="1359"/>
      <c r="K86" s="1359"/>
      <c r="L86" s="796"/>
      <c r="M86" s="1359"/>
      <c r="N86" s="1359"/>
      <c r="P86" s="1359"/>
      <c r="Q86" s="1359"/>
      <c r="S86" s="1275">
        <v>2000</v>
      </c>
      <c r="T86" s="1276"/>
      <c r="V86" s="1355"/>
      <c r="W86" s="1356"/>
    </row>
    <row r="87" spans="1:23" s="386" customFormat="1" ht="12" customHeight="1">
      <c r="B87" s="386" t="s">
        <v>1703</v>
      </c>
      <c r="G87" s="1275"/>
      <c r="H87" s="1276"/>
      <c r="J87" s="1359"/>
      <c r="K87" s="1359"/>
      <c r="L87" s="796"/>
      <c r="M87" s="1359"/>
      <c r="N87" s="1359"/>
      <c r="P87" s="1359"/>
      <c r="Q87" s="1359"/>
      <c r="S87" s="1275"/>
      <c r="T87" s="1276"/>
      <c r="V87" s="1355"/>
      <c r="W87" s="1356"/>
    </row>
    <row r="88" spans="1:23" s="386" customFormat="1" ht="12" customHeight="1">
      <c r="B88" s="386" t="s">
        <v>3027</v>
      </c>
      <c r="G88" s="1275"/>
      <c r="H88" s="1276"/>
      <c r="J88" s="1359"/>
      <c r="K88" s="1359"/>
      <c r="L88" s="796"/>
      <c r="M88" s="1359"/>
      <c r="N88" s="1359"/>
      <c r="P88" s="1359"/>
      <c r="Q88" s="1359"/>
      <c r="S88" s="1275"/>
      <c r="T88" s="1276"/>
      <c r="V88" s="1355"/>
      <c r="W88" s="1356"/>
    </row>
    <row r="89" spans="1:23" s="386" customFormat="1" ht="12" customHeight="1" thickBot="1">
      <c r="A89" s="480" t="str">
        <f>IF(AND(G89&gt;0,OR(C89="",C89="&lt;Enter detailed description here; use Comments section if needed&gt;")),"X","")</f>
        <v/>
      </c>
      <c r="B89" s="386" t="s">
        <v>1046</v>
      </c>
      <c r="C89" s="1149" t="s">
        <v>3181</v>
      </c>
      <c r="D89" s="1149"/>
      <c r="E89" s="1149"/>
      <c r="F89" s="1150"/>
      <c r="G89" s="1275"/>
      <c r="H89" s="1276"/>
      <c r="J89" s="1359"/>
      <c r="K89" s="1359"/>
      <c r="L89" s="796"/>
      <c r="M89" s="1359"/>
      <c r="N89" s="1359"/>
      <c r="P89" s="1359"/>
      <c r="Q89" s="1359"/>
      <c r="S89" s="1275"/>
      <c r="T89" s="1276"/>
      <c r="U89" s="479" t="str">
        <f>IF(AND(G89&gt;0,OR(C89="",C89="&lt;Enter detailed description here; use Comments section if needed&gt;")),"NO DESCRIPTION PROVIDED - please enter detailed description in Other box at left; use Comments section below if needed.","")</f>
        <v/>
      </c>
      <c r="V89" s="1355"/>
      <c r="W89" s="1356"/>
    </row>
    <row r="90" spans="1:23" s="386" customFormat="1" ht="12" customHeight="1" thickTop="1">
      <c r="F90" s="446" t="s">
        <v>209</v>
      </c>
      <c r="G90" s="1340">
        <f>SUM(G84:H89)</f>
        <v>15750</v>
      </c>
      <c r="H90" s="1352"/>
      <c r="J90" s="1359"/>
      <c r="K90" s="1359"/>
      <c r="L90" s="448"/>
      <c r="M90" s="1359"/>
      <c r="N90" s="1359"/>
      <c r="P90" s="1359"/>
      <c r="Q90" s="1359"/>
      <c r="S90" s="1340">
        <f>SUM(S84:T89)</f>
        <v>15750</v>
      </c>
      <c r="T90" s="1352"/>
      <c r="V90" s="1357"/>
      <c r="W90" s="1358"/>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1360" t="s">
        <v>299</v>
      </c>
      <c r="K92" s="1361"/>
      <c r="L92" s="445"/>
      <c r="M92" s="1385" t="s">
        <v>623</v>
      </c>
      <c r="N92" s="1386"/>
      <c r="P92" s="1360" t="s">
        <v>300</v>
      </c>
      <c r="Q92" s="1361"/>
      <c r="S92" s="1360" t="s">
        <v>301</v>
      </c>
      <c r="T92" s="1361"/>
      <c r="V92" s="567" t="str">
        <f>B92</f>
        <v>DEVELOPMENT BUDGET</v>
      </c>
    </row>
    <row r="93" spans="1:23" s="386" customFormat="1" ht="18" customHeight="1" thickBot="1">
      <c r="G93" s="1379" t="s">
        <v>107</v>
      </c>
      <c r="H93" s="1380"/>
      <c r="J93" s="1362"/>
      <c r="K93" s="1363"/>
      <c r="L93" s="445"/>
      <c r="M93" s="1387"/>
      <c r="N93" s="1388"/>
      <c r="P93" s="1362"/>
      <c r="Q93" s="1363"/>
      <c r="S93" s="1362"/>
      <c r="T93" s="1363"/>
      <c r="V93" s="1343" t="s">
        <v>3548</v>
      </c>
      <c r="W93" s="1343"/>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364">
        <v>0</v>
      </c>
      <c r="H95" s="1365"/>
      <c r="J95" s="448"/>
      <c r="K95" s="448"/>
      <c r="L95" s="796"/>
      <c r="M95" s="448"/>
      <c r="N95" s="448"/>
      <c r="P95" s="448"/>
      <c r="Q95" s="448"/>
      <c r="S95" s="1364">
        <v>0</v>
      </c>
      <c r="T95" s="1365"/>
      <c r="V95" s="1353"/>
      <c r="W95" s="1354"/>
    </row>
    <row r="96" spans="1:23" s="386" customFormat="1" ht="12.6" customHeight="1">
      <c r="B96" s="386" t="s">
        <v>1618</v>
      </c>
      <c r="G96" s="1364">
        <v>6500</v>
      </c>
      <c r="H96" s="1365"/>
      <c r="J96" s="448"/>
      <c r="K96" s="448"/>
      <c r="L96" s="462"/>
      <c r="M96" s="448"/>
      <c r="N96" s="448"/>
      <c r="P96" s="448"/>
      <c r="Q96" s="448"/>
      <c r="S96" s="1364">
        <v>6500</v>
      </c>
      <c r="T96" s="1365"/>
      <c r="V96" s="1355"/>
      <c r="W96" s="1356"/>
    </row>
    <row r="97" spans="1:23" s="386" customFormat="1" ht="12.6" customHeight="1">
      <c r="B97" s="386" t="s">
        <v>3590</v>
      </c>
      <c r="G97" s="1364">
        <v>1000</v>
      </c>
      <c r="H97" s="1365"/>
      <c r="J97" s="448"/>
      <c r="K97" s="448"/>
      <c r="L97" s="462"/>
      <c r="M97" s="448"/>
      <c r="N97" s="448"/>
      <c r="O97" s="786"/>
      <c r="P97" s="448"/>
      <c r="Q97" s="448"/>
      <c r="S97" s="1364">
        <v>1000</v>
      </c>
      <c r="T97" s="1365"/>
      <c r="V97" s="1355"/>
      <c r="W97" s="1356"/>
    </row>
    <row r="98" spans="1:23" s="386" customFormat="1" ht="12.6" customHeight="1">
      <c r="B98" s="386" t="s">
        <v>686</v>
      </c>
      <c r="E98" s="1383">
        <f>'DCA Underwriting Assumptions'!$Q$39*$J$172</f>
        <v>67364.858656436627</v>
      </c>
      <c r="F98" s="1384"/>
      <c r="G98" s="1364">
        <v>67364.858656436641</v>
      </c>
      <c r="H98" s="1365"/>
      <c r="J98" s="448"/>
      <c r="K98" s="448"/>
      <c r="L98" s="796"/>
      <c r="M98" s="448"/>
      <c r="N98" s="448"/>
      <c r="O98" s="786"/>
      <c r="P98" s="448"/>
      <c r="Q98" s="448"/>
      <c r="S98" s="1364">
        <v>67364.858656436641</v>
      </c>
      <c r="T98" s="1365"/>
      <c r="V98" s="1355"/>
      <c r="W98" s="1356"/>
    </row>
    <row r="99" spans="1:23" s="386" customFormat="1" ht="12.6" customHeight="1">
      <c r="B99" s="386" t="s">
        <v>1058</v>
      </c>
      <c r="E99" s="1383">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56000</v>
      </c>
      <c r="F99" s="1384"/>
      <c r="G99" s="1364">
        <v>56000</v>
      </c>
      <c r="H99" s="1365"/>
      <c r="J99" s="353"/>
      <c r="K99" s="353"/>
      <c r="L99" s="353"/>
      <c r="M99" s="353"/>
      <c r="N99" s="353"/>
      <c r="O99" s="353"/>
      <c r="P99" s="353"/>
      <c r="Q99" s="353"/>
      <c r="S99" s="1364">
        <v>56000</v>
      </c>
      <c r="T99" s="1365"/>
      <c r="V99" s="1355"/>
      <c r="W99" s="1356"/>
    </row>
    <row r="100" spans="1:23" s="386" customFormat="1" ht="12.6" customHeight="1">
      <c r="B100" s="386" t="s">
        <v>618</v>
      </c>
      <c r="G100" s="1364"/>
      <c r="H100" s="1365"/>
      <c r="J100" s="353"/>
      <c r="K100" s="353"/>
      <c r="L100" s="353"/>
      <c r="M100" s="353"/>
      <c r="N100" s="353"/>
      <c r="O100" s="353"/>
      <c r="P100" s="353"/>
      <c r="Q100" s="353"/>
      <c r="S100" s="1364"/>
      <c r="T100" s="1365"/>
      <c r="V100" s="1355"/>
      <c r="W100" s="1356"/>
    </row>
    <row r="101" spans="1:23" s="386" customFormat="1" ht="12.6" customHeight="1">
      <c r="B101" s="386" t="s">
        <v>3105</v>
      </c>
      <c r="G101" s="1275">
        <v>3000</v>
      </c>
      <c r="H101" s="1276"/>
      <c r="J101" s="353"/>
      <c r="K101" s="353"/>
      <c r="L101" s="353"/>
      <c r="M101" s="353"/>
      <c r="N101" s="353"/>
      <c r="O101" s="353"/>
      <c r="P101" s="353"/>
      <c r="Q101" s="353"/>
      <c r="S101" s="1275">
        <v>3000</v>
      </c>
      <c r="T101" s="1276"/>
      <c r="V101" s="1355"/>
      <c r="W101" s="1356"/>
    </row>
    <row r="102" spans="1:23" s="386" customFormat="1" ht="12.6" customHeight="1">
      <c r="A102" s="480" t="str">
        <f>IF(AND(G102&gt;0,OR(C102="",C102="&lt;Enter detailed description here; use Comments section if needed&gt;")),"X","")</f>
        <v/>
      </c>
      <c r="B102" s="386" t="s">
        <v>1046</v>
      </c>
      <c r="C102" s="1149" t="s">
        <v>3181</v>
      </c>
      <c r="D102" s="1149"/>
      <c r="E102" s="1149"/>
      <c r="F102" s="1150"/>
      <c r="G102" s="1275"/>
      <c r="H102" s="1276"/>
      <c r="J102" s="353"/>
      <c r="K102" s="353"/>
      <c r="L102" s="353"/>
      <c r="M102" s="353"/>
      <c r="N102" s="353"/>
      <c r="O102" s="353"/>
      <c r="P102" s="353"/>
      <c r="Q102" s="353"/>
      <c r="S102" s="1275"/>
      <c r="T102" s="1276"/>
      <c r="U102" s="479" t="str">
        <f>IF(AND(G102&gt;0,OR(C102="",C102="&lt;Enter detailed description here; use Comments section if needed&gt;")),"NO DESCRIPTION PROVIDED - please enter detailed description in Other box at left; use Comments section below if needed.","")</f>
        <v/>
      </c>
      <c r="V102" s="1355"/>
      <c r="W102" s="1356"/>
    </row>
    <row r="103" spans="1:23" s="386" customFormat="1" ht="12.6" customHeight="1" thickBot="1">
      <c r="A103" s="480" t="str">
        <f>IF(AND(G103&gt;0,OR(C103="",C103="&lt;Enter detailed description here; use Comments section if needed&gt;")),"X","")</f>
        <v/>
      </c>
      <c r="B103" s="386" t="s">
        <v>1046</v>
      </c>
      <c r="C103" s="1149" t="s">
        <v>3181</v>
      </c>
      <c r="D103" s="1149"/>
      <c r="E103" s="1149"/>
      <c r="F103" s="1150"/>
      <c r="G103" s="1275"/>
      <c r="H103" s="1276"/>
      <c r="J103" s="353"/>
      <c r="K103" s="353"/>
      <c r="L103" s="353"/>
      <c r="M103" s="353"/>
      <c r="N103" s="353"/>
      <c r="O103" s="353"/>
      <c r="P103" s="353"/>
      <c r="Q103" s="353"/>
      <c r="S103" s="1275"/>
      <c r="T103" s="1276"/>
      <c r="U103" s="479" t="str">
        <f>IF(AND(G103&gt;0,OR(C103="",C103="&lt;Enter detailed description here; use Comments section if needed&gt;")),"NO DESCRIPTION PROVIDED - please enter detailed description in Other box at left; use Comments section below if needed.","")</f>
        <v/>
      </c>
      <c r="V103" s="1355"/>
      <c r="W103" s="1356"/>
    </row>
    <row r="104" spans="1:23" s="386" customFormat="1" ht="12.6" customHeight="1" thickTop="1">
      <c r="F104" s="446" t="s">
        <v>209</v>
      </c>
      <c r="G104" s="1340">
        <f>SUM(G95:H103)</f>
        <v>133864.85865643664</v>
      </c>
      <c r="H104" s="1352"/>
      <c r="J104" s="448"/>
      <c r="K104" s="448"/>
      <c r="L104" s="796"/>
      <c r="M104" s="448"/>
      <c r="N104" s="448"/>
      <c r="P104" s="448"/>
      <c r="Q104" s="448"/>
      <c r="S104" s="1340">
        <f>SUM(S95:T103)</f>
        <v>133864.85865643664</v>
      </c>
      <c r="T104" s="1352"/>
      <c r="V104" s="1357"/>
      <c r="W104" s="1358"/>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275">
        <v>1500</v>
      </c>
      <c r="H106" s="1276"/>
      <c r="J106" s="1359"/>
      <c r="K106" s="1359"/>
      <c r="L106" s="796"/>
      <c r="M106" s="1359"/>
      <c r="N106" s="1359"/>
      <c r="O106" s="786"/>
      <c r="P106" s="1359"/>
      <c r="Q106" s="1359"/>
      <c r="S106" s="1275">
        <v>1500</v>
      </c>
      <c r="T106" s="1276"/>
      <c r="V106" s="1353"/>
      <c r="W106" s="1354"/>
    </row>
    <row r="107" spans="1:23" s="386" customFormat="1" ht="12.6" customHeight="1">
      <c r="B107" s="386" t="s">
        <v>310</v>
      </c>
      <c r="G107" s="1275"/>
      <c r="H107" s="1276"/>
      <c r="J107" s="1359"/>
      <c r="K107" s="1359"/>
      <c r="L107" s="796"/>
      <c r="M107" s="1359"/>
      <c r="N107" s="1359"/>
      <c r="O107" s="786"/>
      <c r="P107" s="1359"/>
      <c r="Q107" s="1359"/>
      <c r="S107" s="1275"/>
      <c r="T107" s="1276"/>
      <c r="V107" s="1355"/>
      <c r="W107" s="1356"/>
    </row>
    <row r="108" spans="1:23" s="386" customFormat="1" ht="12.6" customHeight="1">
      <c r="B108" s="386" t="s">
        <v>3143</v>
      </c>
      <c r="G108" s="1275"/>
      <c r="H108" s="1276"/>
      <c r="J108" s="1359"/>
      <c r="K108" s="1359"/>
      <c r="L108" s="796"/>
      <c r="M108" s="1359"/>
      <c r="N108" s="1359"/>
      <c r="O108" s="786"/>
      <c r="P108" s="1359"/>
      <c r="Q108" s="1359"/>
      <c r="S108" s="1275"/>
      <c r="T108" s="1276"/>
      <c r="V108" s="1355"/>
      <c r="W108" s="1356"/>
    </row>
    <row r="109" spans="1:23" s="386" customFormat="1" ht="12.6" customHeight="1" thickBot="1">
      <c r="A109" s="480" t="str">
        <f>IF(AND(G109&gt;0,OR(C109="",C109="&lt;Enter detailed description here; use Comments section if needed&gt;")),"X","")</f>
        <v/>
      </c>
      <c r="B109" s="386" t="s">
        <v>1046</v>
      </c>
      <c r="C109" s="1149" t="s">
        <v>3181</v>
      </c>
      <c r="D109" s="1149"/>
      <c r="E109" s="1149"/>
      <c r="F109" s="1150"/>
      <c r="G109" s="1275"/>
      <c r="H109" s="1276"/>
      <c r="J109" s="1359"/>
      <c r="K109" s="1359"/>
      <c r="L109" s="796"/>
      <c r="M109" s="1359"/>
      <c r="N109" s="1359"/>
      <c r="O109" s="786"/>
      <c r="P109" s="1359"/>
      <c r="Q109" s="1359"/>
      <c r="S109" s="1275"/>
      <c r="T109" s="1276"/>
      <c r="U109" s="479" t="str">
        <f>IF(AND(G109&gt;0,OR(C109="",C109="&lt;Enter detailed description here; use Comments section if needed&gt;")),"NO DESCRIPTION PROVIDED - please enter detailed description in Other box at left; use Comments section below if needed.","")</f>
        <v/>
      </c>
      <c r="V109" s="1355"/>
      <c r="W109" s="1356"/>
    </row>
    <row r="110" spans="1:23" s="386" customFormat="1" ht="12.6" customHeight="1" thickTop="1">
      <c r="F110" s="446" t="s">
        <v>209</v>
      </c>
      <c r="G110" s="1340">
        <f>SUM(G106:H109)</f>
        <v>1500</v>
      </c>
      <c r="H110" s="1352"/>
      <c r="J110" s="1359"/>
      <c r="K110" s="1359"/>
      <c r="L110" s="796"/>
      <c r="M110" s="1359"/>
      <c r="N110" s="1359"/>
      <c r="O110" s="786"/>
      <c r="P110" s="1359"/>
      <c r="Q110" s="1359"/>
      <c r="S110" s="1340">
        <f>SUM(S106:T109)</f>
        <v>1500</v>
      </c>
      <c r="T110" s="1352"/>
      <c r="V110" s="1357"/>
      <c r="W110" s="1358"/>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0.5</v>
      </c>
      <c r="G112" s="1275">
        <v>602493.23353973741</v>
      </c>
      <c r="H112" s="1276"/>
      <c r="J112" s="1275">
        <v>602493.23353973741</v>
      </c>
      <c r="K112" s="1276"/>
      <c r="L112" s="447"/>
      <c r="M112" s="1275"/>
      <c r="N112" s="1276"/>
      <c r="P112" s="1275"/>
      <c r="Q112" s="1276"/>
      <c r="S112" s="1275"/>
      <c r="T112" s="1276"/>
      <c r="V112" s="1353"/>
      <c r="W112" s="1354"/>
    </row>
    <row r="113" spans="1:23" s="386" customFormat="1" ht="12.6" customHeight="1">
      <c r="B113" s="386" t="s">
        <v>2565</v>
      </c>
      <c r="F113" s="527">
        <f>G113/$G$115</f>
        <v>0</v>
      </c>
      <c r="G113" s="1275"/>
      <c r="H113" s="1276"/>
      <c r="J113" s="1275"/>
      <c r="K113" s="1276"/>
      <c r="L113" s="796"/>
      <c r="M113" s="1275"/>
      <c r="N113" s="1276"/>
      <c r="P113" s="1275"/>
      <c r="Q113" s="1276"/>
      <c r="S113" s="1275"/>
      <c r="T113" s="1276"/>
      <c r="V113" s="1355"/>
      <c r="W113" s="1356"/>
    </row>
    <row r="114" spans="1:23" s="386" customFormat="1" ht="12.6" customHeight="1" thickBot="1">
      <c r="B114" s="386" t="s">
        <v>2557</v>
      </c>
      <c r="F114" s="527">
        <f>G114/$G$115</f>
        <v>0.5</v>
      </c>
      <c r="G114" s="1275">
        <v>602493.23353973741</v>
      </c>
      <c r="H114" s="1276"/>
      <c r="J114" s="1275">
        <v>602493.23353973741</v>
      </c>
      <c r="K114" s="1276"/>
      <c r="L114" s="796"/>
      <c r="M114" s="1275"/>
      <c r="N114" s="1276"/>
      <c r="P114" s="1275"/>
      <c r="Q114" s="1276"/>
      <c r="S114" s="1275"/>
      <c r="T114" s="1276"/>
      <c r="V114" s="1355"/>
      <c r="W114" s="1356"/>
    </row>
    <row r="115" spans="1:23" s="386" customFormat="1" ht="12.6" customHeight="1" thickTop="1">
      <c r="C115" s="479" t="str">
        <f>IF(G115&lt;='DCA Underwriting Assumptions'!$Q$46,"","Developer Fee exceeds DCA Program Maximum !!!")</f>
        <v/>
      </c>
      <c r="F115" s="446" t="s">
        <v>209</v>
      </c>
      <c r="G115" s="1340">
        <f>SUM(G112:H114)</f>
        <v>1204986.4670794748</v>
      </c>
      <c r="H115" s="1352"/>
      <c r="J115" s="1340">
        <f>SUM(J112:K114)</f>
        <v>1204986.4670794748</v>
      </c>
      <c r="K115" s="1352"/>
      <c r="L115" s="796"/>
      <c r="M115" s="1340">
        <f>SUM(M112:N114)</f>
        <v>0</v>
      </c>
      <c r="N115" s="1352"/>
      <c r="P115" s="1340">
        <f>SUM(P112:Q114)</f>
        <v>0</v>
      </c>
      <c r="Q115" s="1352"/>
      <c r="S115" s="1340">
        <f>SUM(S112:T114)</f>
        <v>0</v>
      </c>
      <c r="T115" s="1352"/>
      <c r="V115" s="1357"/>
      <c r="W115" s="1358"/>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275">
        <v>14000</v>
      </c>
      <c r="H117" s="1276"/>
      <c r="J117" s="463"/>
      <c r="K117" s="463"/>
      <c r="L117" s="463"/>
      <c r="M117" s="463"/>
      <c r="N117" s="463"/>
      <c r="P117" s="463"/>
      <c r="Q117" s="463"/>
      <c r="S117" s="1275">
        <v>14000</v>
      </c>
      <c r="T117" s="1276"/>
      <c r="V117" s="1353"/>
      <c r="W117" s="1354"/>
    </row>
    <row r="118" spans="1:23" s="386" customFormat="1" ht="12.6" customHeight="1">
      <c r="B118" s="386" t="s">
        <v>1993</v>
      </c>
      <c r="F118" s="754">
        <f>+'Part VI-Revenues &amp; Expenses'!P157*('DCA Underwriting Assumptions'!$Q$58/12)</f>
        <v>70000</v>
      </c>
      <c r="G118" s="1275">
        <v>70000</v>
      </c>
      <c r="H118" s="1276"/>
      <c r="J118" s="1359"/>
      <c r="K118" s="1359"/>
      <c r="L118" s="796"/>
      <c r="M118" s="1359"/>
      <c r="N118" s="1359"/>
      <c r="O118" s="786"/>
      <c r="P118" s="1359"/>
      <c r="Q118" s="1359"/>
      <c r="R118" s="786"/>
      <c r="S118" s="1275">
        <v>70000</v>
      </c>
      <c r="T118" s="1276"/>
      <c r="V118" s="1355"/>
      <c r="W118" s="1356"/>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175036.72933667013</v>
      </c>
      <c r="G119" s="1275">
        <v>175036.51266666668</v>
      </c>
      <c r="H119" s="1276"/>
      <c r="J119" s="462"/>
      <c r="K119" s="462"/>
      <c r="L119" s="462"/>
      <c r="M119" s="462"/>
      <c r="N119" s="462"/>
      <c r="O119" s="786"/>
      <c r="P119" s="462"/>
      <c r="Q119" s="462"/>
      <c r="R119" s="786"/>
      <c r="S119" s="1275">
        <v>175036.51266666668</v>
      </c>
      <c r="T119" s="1276"/>
      <c r="V119" s="1355"/>
      <c r="W119" s="1356"/>
    </row>
    <row r="120" spans="1:23" s="386" customFormat="1" ht="12.6" customHeight="1">
      <c r="B120" s="386" t="s">
        <v>1667</v>
      </c>
      <c r="G120" s="1275">
        <v>0</v>
      </c>
      <c r="H120" s="1276"/>
      <c r="J120" s="463"/>
      <c r="K120" s="463"/>
      <c r="L120" s="463"/>
      <c r="M120" s="463"/>
      <c r="N120" s="463"/>
      <c r="P120" s="463"/>
      <c r="Q120" s="463"/>
      <c r="S120" s="1275"/>
      <c r="T120" s="1276"/>
      <c r="V120" s="1355"/>
      <c r="W120" s="1356"/>
    </row>
    <row r="121" spans="1:23" s="386" customFormat="1" ht="12.6" customHeight="1">
      <c r="B121" s="386" t="s">
        <v>1668</v>
      </c>
      <c r="E121" s="386" t="s">
        <v>3943</v>
      </c>
      <c r="F121" s="650">
        <f>G121/'Part VI-Revenues &amp; Expenses'!$M$62</f>
        <v>642.85714285714289</v>
      </c>
      <c r="G121" s="1275">
        <v>45000</v>
      </c>
      <c r="H121" s="1276"/>
      <c r="J121" s="1275">
        <v>45000</v>
      </c>
      <c r="K121" s="1276"/>
      <c r="L121" s="796"/>
      <c r="M121" s="1275"/>
      <c r="N121" s="1276"/>
      <c r="P121" s="1275"/>
      <c r="Q121" s="1276"/>
      <c r="S121" s="1275"/>
      <c r="T121" s="1276"/>
      <c r="V121" s="1355"/>
      <c r="W121" s="1356"/>
    </row>
    <row r="122" spans="1:23" s="386" customFormat="1" ht="12.6" customHeight="1" thickBot="1">
      <c r="A122" s="480" t="str">
        <f>IF(AND(G122&gt;0,OR(C122="",C122="&lt;Enter detailed description here; use Comments section if needed&gt;")),"X","")</f>
        <v/>
      </c>
      <c r="B122" s="386" t="s">
        <v>1046</v>
      </c>
      <c r="C122" s="1149" t="s">
        <v>3181</v>
      </c>
      <c r="D122" s="1149"/>
      <c r="E122" s="1149"/>
      <c r="F122" s="1150"/>
      <c r="G122" s="1275"/>
      <c r="H122" s="1276"/>
      <c r="J122" s="1275"/>
      <c r="K122" s="1276"/>
      <c r="L122" s="796"/>
      <c r="M122" s="1275"/>
      <c r="N122" s="1276"/>
      <c r="P122" s="1275"/>
      <c r="Q122" s="1276"/>
      <c r="S122" s="1275"/>
      <c r="T122" s="1276"/>
      <c r="U122" s="479" t="str">
        <f>IF(AND(G122&gt;0,OR(C122="",C122="&lt;Enter detailed description here; use Comments section if needed&gt;")),"NO DESCRIPTION PROVIDED - please enter detailed description in Other box at left; use Comments section below if needed.","")</f>
        <v/>
      </c>
      <c r="V122" s="1355"/>
      <c r="W122" s="1356"/>
    </row>
    <row r="123" spans="1:23" s="386" customFormat="1" ht="12.6" customHeight="1" thickTop="1">
      <c r="B123" s="464"/>
      <c r="F123" s="446" t="s">
        <v>209</v>
      </c>
      <c r="G123" s="1340">
        <f>SUM(G117:H122)</f>
        <v>304036.51266666665</v>
      </c>
      <c r="H123" s="1352"/>
      <c r="J123" s="1340">
        <f>SUM(J121:K122)</f>
        <v>45000</v>
      </c>
      <c r="K123" s="1352"/>
      <c r="L123" s="796"/>
      <c r="M123" s="1340">
        <f>SUM(M121:N122)</f>
        <v>0</v>
      </c>
      <c r="N123" s="1352"/>
      <c r="P123" s="1340">
        <f>SUM(P121:Q122)</f>
        <v>0</v>
      </c>
      <c r="Q123" s="1352"/>
      <c r="S123" s="1340">
        <f>SUM(S117:T122)</f>
        <v>259036.51266666668</v>
      </c>
      <c r="T123" s="1352"/>
      <c r="V123" s="1357"/>
      <c r="W123" s="1358"/>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275"/>
      <c r="H125" s="1276"/>
      <c r="J125" s="1275"/>
      <c r="K125" s="1276"/>
      <c r="L125" s="447"/>
      <c r="M125" s="1275"/>
      <c r="N125" s="1276"/>
      <c r="P125" s="1275"/>
      <c r="Q125" s="1276"/>
      <c r="S125" s="1275"/>
      <c r="T125" s="1276"/>
      <c r="V125" s="1353"/>
      <c r="W125" s="1354"/>
    </row>
    <row r="126" spans="1:23" s="386" customFormat="1" ht="12.6" customHeight="1" thickBot="1">
      <c r="A126" s="480" t="str">
        <f>IF(AND(G126&gt;0,OR(C126="",C126="&lt;Enter detailed description here; use Comments section if needed&gt;")),"X","")</f>
        <v/>
      </c>
      <c r="B126" s="386" t="s">
        <v>1046</v>
      </c>
      <c r="C126" s="1149" t="s">
        <v>3181</v>
      </c>
      <c r="D126" s="1149"/>
      <c r="E126" s="1149"/>
      <c r="F126" s="1150"/>
      <c r="G126" s="1275"/>
      <c r="H126" s="1276"/>
      <c r="J126" s="1275"/>
      <c r="K126" s="1276"/>
      <c r="L126" s="796"/>
      <c r="M126" s="1275"/>
      <c r="N126" s="1276"/>
      <c r="P126" s="1275"/>
      <c r="Q126" s="1276"/>
      <c r="S126" s="1275"/>
      <c r="T126" s="1276"/>
      <c r="U126" s="479" t="str">
        <f>IF(AND(G126&gt;0,OR(C126="",C126="&lt;Enter detailed description here; use Comments section if needed&gt;")),"NO DESCRIPTION PROVIDED - please enter detailed description in Other box at left; use Comments section below if needed.","")</f>
        <v/>
      </c>
      <c r="V126" s="1355"/>
      <c r="W126" s="1356"/>
    </row>
    <row r="127" spans="1:23" s="386" customFormat="1" ht="12.6" customHeight="1" thickTop="1">
      <c r="C127" s="778"/>
      <c r="F127" s="446" t="s">
        <v>209</v>
      </c>
      <c r="G127" s="1340">
        <f>SUM(G125:H126)</f>
        <v>0</v>
      </c>
      <c r="H127" s="1352"/>
      <c r="J127" s="1340">
        <f>SUM(J125:K126)</f>
        <v>0</v>
      </c>
      <c r="K127" s="1352"/>
      <c r="L127" s="796"/>
      <c r="M127" s="1340">
        <f>SUM(M125:N126)</f>
        <v>0</v>
      </c>
      <c r="N127" s="1352"/>
      <c r="P127" s="1340">
        <f>SUM(P125:Q126)</f>
        <v>0</v>
      </c>
      <c r="Q127" s="1352"/>
      <c r="S127" s="1340">
        <f>SUM(S125:T126)</f>
        <v>0</v>
      </c>
      <c r="T127" s="1352"/>
      <c r="V127" s="1355"/>
      <c r="W127" s="1356"/>
    </row>
    <row r="128" spans="1:23" s="386" customFormat="1" ht="3" customHeight="1" thickBot="1">
      <c r="C128" s="778"/>
      <c r="H128" s="460"/>
      <c r="I128" s="460"/>
      <c r="L128" s="786"/>
      <c r="V128" s="1355"/>
      <c r="W128" s="1356"/>
    </row>
    <row r="129" spans="1:23" s="386" customFormat="1" ht="13.9" customHeight="1" thickBot="1">
      <c r="B129" s="393" t="s">
        <v>3960</v>
      </c>
      <c r="G129" s="1366">
        <f>G17+G23+G27+G32+G37+G40+G46+G63+G76+G82+G90+G104+G110+G115+G123+G127</f>
        <v>10368229.580942642</v>
      </c>
      <c r="H129" s="1367"/>
      <c r="J129" s="1366">
        <f>J17+J23+J27+J32+J37+J40+J46+J63+J76+J82+J90+J104+J110+J115+J123+J127</f>
        <v>8741417.3487538435</v>
      </c>
      <c r="K129" s="1367"/>
      <c r="M129" s="1366">
        <f>M17+M23+M27+M32+M37+M40+M46+M63+M76+M82+M90+M104+M110+M115+M123+M127</f>
        <v>0</v>
      </c>
      <c r="N129" s="1367"/>
      <c r="P129" s="1366">
        <f>P17+P23+P27+P32+P37+P40+P46+P63+P76+P82+P90+P104+P110+P115+P123+P127</f>
        <v>0</v>
      </c>
      <c r="Q129" s="1367"/>
      <c r="S129" s="1366">
        <f>S17+S23+S27+S32+S37+S40+S46+S63+S76+S82+S90+S104+S110+S115+S123+S127</f>
        <v>1626812.6321887965</v>
      </c>
      <c r="T129" s="1367"/>
      <c r="V129" s="1357"/>
      <c r="W129" s="1358"/>
    </row>
    <row r="130" spans="1:23" s="386" customFormat="1" ht="3" customHeight="1">
      <c r="C130" s="778"/>
      <c r="H130" s="460"/>
      <c r="I130" s="460"/>
      <c r="L130" s="786"/>
    </row>
    <row r="131" spans="1:23" s="386" customFormat="1" ht="13.9" customHeight="1">
      <c r="B131" s="769" t="s">
        <v>3961</v>
      </c>
      <c r="C131" s="767"/>
      <c r="D131" s="1375">
        <f>G129/'Part VI-Revenues &amp; Expenses'!$M$62</f>
        <v>148117.56544203774</v>
      </c>
      <c r="E131" s="1375"/>
      <c r="F131" s="768" t="s">
        <v>3959</v>
      </c>
      <c r="G131" s="1375">
        <f>G129/'Part VI-Revenues &amp; Expenses'!$M$100</f>
        <v>162.76655543081071</v>
      </c>
      <c r="H131" s="1376"/>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1360" t="s">
        <v>299</v>
      </c>
      <c r="K134" s="1361"/>
      <c r="M134" s="1360" t="s">
        <v>106</v>
      </c>
      <c r="N134" s="1361"/>
      <c r="P134" s="1360" t="s">
        <v>300</v>
      </c>
      <c r="Q134" s="1361"/>
      <c r="V134" s="567" t="str">
        <f>B134</f>
        <v>TAX CREDIT CALCULATION - BASIS METHOD</v>
      </c>
    </row>
    <row r="135" spans="1:23" s="386" customFormat="1" ht="15" customHeight="1" thickBot="1">
      <c r="B135" s="393" t="s">
        <v>2758</v>
      </c>
      <c r="D135" s="796"/>
      <c r="E135" s="796"/>
      <c r="I135" s="467"/>
      <c r="J135" s="1362"/>
      <c r="K135" s="1363"/>
      <c r="L135" s="387"/>
      <c r="M135" s="1362"/>
      <c r="N135" s="1363"/>
      <c r="P135" s="1362"/>
      <c r="Q135" s="1363"/>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377"/>
      <c r="K137" s="1378"/>
      <c r="P137" s="1377"/>
      <c r="Q137" s="1378"/>
      <c r="V137" s="1353"/>
      <c r="W137" s="1354"/>
    </row>
    <row r="138" spans="1:23" s="386" customFormat="1" ht="13.9" customHeight="1">
      <c r="B138" s="786" t="s">
        <v>2869</v>
      </c>
      <c r="D138" s="786"/>
      <c r="E138" s="786"/>
      <c r="F138" s="786"/>
      <c r="G138" s="786"/>
      <c r="H138" s="786"/>
      <c r="I138" s="467"/>
      <c r="J138" s="1377"/>
      <c r="K138" s="1378"/>
      <c r="P138" s="1377"/>
      <c r="Q138" s="1378"/>
      <c r="V138" s="1355"/>
      <c r="W138" s="1356"/>
    </row>
    <row r="139" spans="1:23" s="386" customFormat="1" ht="13.9" customHeight="1">
      <c r="B139" s="786" t="s">
        <v>2567</v>
      </c>
      <c r="D139" s="786"/>
      <c r="E139" s="786"/>
      <c r="I139" s="467"/>
      <c r="J139" s="1377"/>
      <c r="K139" s="1378"/>
      <c r="P139" s="1377"/>
      <c r="Q139" s="1378"/>
      <c r="V139" s="1355"/>
      <c r="W139" s="1356"/>
    </row>
    <row r="140" spans="1:23" s="386" customFormat="1" ht="13.9" customHeight="1">
      <c r="B140" s="786" t="s">
        <v>2568</v>
      </c>
      <c r="D140" s="786"/>
      <c r="E140" s="786"/>
      <c r="I140" s="467"/>
      <c r="J140" s="1377"/>
      <c r="K140" s="1378"/>
      <c r="P140" s="1377"/>
      <c r="Q140" s="1378"/>
      <c r="V140" s="1355"/>
      <c r="W140" s="1356"/>
    </row>
    <row r="141" spans="1:23" s="386" customFormat="1" ht="13.9" customHeight="1">
      <c r="B141" s="786" t="s">
        <v>279</v>
      </c>
      <c r="D141" s="786"/>
      <c r="E141" s="786"/>
      <c r="I141" s="467"/>
      <c r="J141" s="1377"/>
      <c r="K141" s="1378"/>
      <c r="P141" s="1377"/>
      <c r="Q141" s="1378"/>
      <c r="V141" s="1355"/>
      <c r="W141" s="1356"/>
    </row>
    <row r="142" spans="1:23" s="386" customFormat="1" ht="13.9" customHeight="1" thickBot="1">
      <c r="B142" s="786" t="s">
        <v>2066</v>
      </c>
      <c r="C142" s="1149" t="s">
        <v>3181</v>
      </c>
      <c r="D142" s="1149"/>
      <c r="E142" s="1149"/>
      <c r="F142" s="1149"/>
      <c r="G142" s="1149"/>
      <c r="H142" s="1149"/>
      <c r="I142" s="1150"/>
      <c r="J142" s="1377"/>
      <c r="K142" s="1378"/>
      <c r="P142" s="1377"/>
      <c r="Q142" s="1378"/>
      <c r="V142" s="1355"/>
      <c r="W142" s="1356"/>
    </row>
    <row r="143" spans="1:23" s="386" customFormat="1" ht="13.9" customHeight="1" thickBot="1">
      <c r="B143" s="398" t="s">
        <v>2569</v>
      </c>
      <c r="C143" s="401"/>
      <c r="J143" s="1284">
        <f>SUM(J137:K142)</f>
        <v>0</v>
      </c>
      <c r="K143" s="1285"/>
      <c r="P143" s="1284">
        <f>SUM(P137:Q142)</f>
        <v>0</v>
      </c>
      <c r="Q143" s="1285"/>
      <c r="V143" s="1357"/>
      <c r="W143" s="1358"/>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1434">
        <f>J129</f>
        <v>8741417.3487538435</v>
      </c>
      <c r="K146" s="1435"/>
      <c r="M146" s="1436">
        <f>M129</f>
        <v>0</v>
      </c>
      <c r="N146" s="1437"/>
      <c r="P146" s="1434">
        <f>P129</f>
        <v>0</v>
      </c>
      <c r="Q146" s="1435"/>
      <c r="V146" s="1353"/>
      <c r="W146" s="1354"/>
    </row>
    <row r="147" spans="1:23" s="386" customFormat="1" ht="13.9" customHeight="1">
      <c r="B147" s="386" t="s">
        <v>2944</v>
      </c>
      <c r="J147" s="1368">
        <f>J143</f>
        <v>0</v>
      </c>
      <c r="K147" s="1369"/>
      <c r="M147" s="1372"/>
      <c r="N147" s="1372"/>
      <c r="P147" s="1368">
        <f>P143</f>
        <v>0</v>
      </c>
      <c r="Q147" s="1369"/>
      <c r="V147" s="1355"/>
      <c r="W147" s="1356"/>
    </row>
    <row r="148" spans="1:23" s="386" customFormat="1" ht="13.9" customHeight="1">
      <c r="B148" s="386" t="s">
        <v>2945</v>
      </c>
      <c r="J148" s="1368">
        <f>J146-J147</f>
        <v>8741417.3487538435</v>
      </c>
      <c r="K148" s="1369"/>
      <c r="M148" s="1368">
        <f>M146</f>
        <v>0</v>
      </c>
      <c r="N148" s="1369"/>
      <c r="P148" s="1368">
        <f>P146-P147</f>
        <v>0</v>
      </c>
      <c r="Q148" s="1369"/>
      <c r="V148" s="1355"/>
      <c r="W148" s="1356"/>
    </row>
    <row r="149" spans="1:23" s="386" customFormat="1" ht="13.9" customHeight="1">
      <c r="B149" s="386" t="s">
        <v>1937</v>
      </c>
      <c r="G149" s="781" t="s">
        <v>2404</v>
      </c>
      <c r="H149" s="1140" t="s">
        <v>4149</v>
      </c>
      <c r="I149" s="1141"/>
      <c r="J149" s="1373">
        <v>1.3</v>
      </c>
      <c r="K149" s="1374"/>
      <c r="M149" s="1433"/>
      <c r="N149" s="1433"/>
      <c r="P149" s="1373"/>
      <c r="Q149" s="1374"/>
      <c r="V149" s="1355"/>
      <c r="W149" s="1356"/>
    </row>
    <row r="150" spans="1:23" s="386" customFormat="1" ht="13.9" customHeight="1">
      <c r="B150" s="386" t="s">
        <v>2769</v>
      </c>
      <c r="J150" s="1368">
        <f>J148*J149</f>
        <v>11363842.553379998</v>
      </c>
      <c r="K150" s="1369"/>
      <c r="M150" s="1368">
        <f>+M148</f>
        <v>0</v>
      </c>
      <c r="N150" s="1369"/>
      <c r="P150" s="1368">
        <f>P148*P149</f>
        <v>0</v>
      </c>
      <c r="Q150" s="1369"/>
      <c r="V150" s="1355"/>
      <c r="W150" s="1356"/>
    </row>
    <row r="151" spans="1:23" s="386" customFormat="1" ht="13.9" customHeight="1">
      <c r="B151" s="386" t="s">
        <v>3339</v>
      </c>
      <c r="J151" s="1370">
        <f>MIN('Part VI-Revenues &amp; Expenses'!$M$58/'Part VI-Revenues &amp; Expenses'!$M$60,'Part VI-Revenues &amp; Expenses'!$M$96/'Part VI-Revenues &amp; Expenses'!$M$98)</f>
        <v>1</v>
      </c>
      <c r="K151" s="1371"/>
      <c r="M151" s="1370">
        <f>MIN('Part VI-Revenues &amp; Expenses'!$M$58/'Part VI-Revenues &amp; Expenses'!$M$60,'Part VI-Revenues &amp; Expenses'!$M$96/'Part VI-Revenues &amp; Expenses'!$M$98)</f>
        <v>1</v>
      </c>
      <c r="N151" s="1371"/>
      <c r="P151" s="1370">
        <f>MIN('Part VI-Revenues &amp; Expenses'!$M$58/'Part VI-Revenues &amp; Expenses'!$M$60,'Part VI-Revenues &amp; Expenses'!$M$96/'Part VI-Revenues &amp; Expenses'!$M$98)</f>
        <v>1</v>
      </c>
      <c r="Q151" s="1371"/>
      <c r="V151" s="1355"/>
      <c r="W151" s="1356"/>
    </row>
    <row r="152" spans="1:23" s="386" customFormat="1" ht="13.9" customHeight="1">
      <c r="B152" s="386" t="s">
        <v>2759</v>
      </c>
      <c r="J152" s="1368">
        <f>J150*J151</f>
        <v>11363842.553379998</v>
      </c>
      <c r="K152" s="1369"/>
      <c r="M152" s="1368">
        <f>M150*M151</f>
        <v>0</v>
      </c>
      <c r="N152" s="1369"/>
      <c r="P152" s="1368">
        <f>P150*P151</f>
        <v>0</v>
      </c>
      <c r="Q152" s="1369"/>
      <c r="V152" s="1355"/>
      <c r="W152" s="1356"/>
    </row>
    <row r="153" spans="1:23" s="386" customFormat="1" ht="13.9" customHeight="1">
      <c r="B153" s="386" t="s">
        <v>2760</v>
      </c>
      <c r="J153" s="1373">
        <v>7.4099999999999999E-2</v>
      </c>
      <c r="K153" s="1374"/>
      <c r="M153" s="1373"/>
      <c r="N153" s="1374"/>
      <c r="P153" s="1373"/>
      <c r="Q153" s="1374"/>
      <c r="V153" s="1355"/>
      <c r="W153" s="1356"/>
    </row>
    <row r="154" spans="1:23" s="386" customFormat="1" ht="13.9" customHeight="1" thickBot="1">
      <c r="B154" s="386" t="s">
        <v>3340</v>
      </c>
      <c r="J154" s="1431">
        <f>J152*J153</f>
        <v>842060.7332054578</v>
      </c>
      <c r="K154" s="1432"/>
      <c r="M154" s="1431">
        <f>M152*M153</f>
        <v>0</v>
      </c>
      <c r="N154" s="1432"/>
      <c r="P154" s="1431">
        <f>P152*P153</f>
        <v>0</v>
      </c>
      <c r="Q154" s="1432"/>
      <c r="V154" s="1355"/>
      <c r="W154" s="1356"/>
    </row>
    <row r="155" spans="1:23" s="386" customFormat="1" ht="13.9" customHeight="1" thickBot="1">
      <c r="B155" s="389" t="s">
        <v>1867</v>
      </c>
      <c r="J155" s="1284">
        <f>J154+M154+P154</f>
        <v>842060.7332054578</v>
      </c>
      <c r="K155" s="1421"/>
      <c r="L155" s="1421"/>
      <c r="M155" s="1421"/>
      <c r="N155" s="1421"/>
      <c r="O155" s="1421"/>
      <c r="P155" s="1421"/>
      <c r="Q155" s="1285"/>
      <c r="V155" s="1357"/>
      <c r="W155" s="1358"/>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1416" t="str">
        <f>IF(J160&gt;J159,"TDC exceeds QAP PUCL!","")</f>
        <v/>
      </c>
      <c r="H159" s="1416"/>
      <c r="I159" s="1417"/>
      <c r="J159" s="1418">
        <f>'Part VIII-Threshold Criteria'!$P$48</f>
        <v>10397226</v>
      </c>
      <c r="K159" s="1419"/>
      <c r="L159" s="1420"/>
      <c r="M159" s="1406" t="s">
        <v>3770</v>
      </c>
      <c r="N159" s="1407"/>
      <c r="O159" s="1407"/>
      <c r="P159" s="1407"/>
      <c r="Q159" s="1407"/>
      <c r="R159" s="1408"/>
      <c r="S159" s="1412" t="s">
        <v>3670</v>
      </c>
      <c r="T159" s="1413"/>
      <c r="V159" s="1353"/>
      <c r="W159" s="1354"/>
    </row>
    <row r="160" spans="1:23" s="386" customFormat="1" ht="13.9" customHeight="1">
      <c r="B160" s="386" t="s">
        <v>3772</v>
      </c>
      <c r="J160" s="1403">
        <f>MIN(G129,J159,(G129-O162))</f>
        <v>10368229.580942642</v>
      </c>
      <c r="K160" s="1404"/>
      <c r="L160" s="1405"/>
      <c r="M160" s="1409"/>
      <c r="N160" s="1410"/>
      <c r="O160" s="1410"/>
      <c r="P160" s="1410"/>
      <c r="Q160" s="1410"/>
      <c r="R160" s="1411"/>
      <c r="S160" s="1414"/>
      <c r="T160" s="1415"/>
      <c r="V160" s="1355"/>
      <c r="W160" s="1356"/>
    </row>
    <row r="161" spans="1:23" s="386" customFormat="1" ht="13.9" customHeight="1">
      <c r="B161" s="386" t="s">
        <v>289</v>
      </c>
      <c r="J161" s="1368">
        <f>'Part III-Sources of Funds'!$H$49-'Part III-Sources of Funds'!H36-'Part III-Sources of Funds'!$H$37-'Part III-Sources of Funds'!$H$40-'Part III-Sources of Funds'!$H$41</f>
        <v>995000</v>
      </c>
      <c r="K161" s="1372"/>
      <c r="L161" s="1422"/>
      <c r="M161" s="1409"/>
      <c r="N161" s="1410"/>
      <c r="O161" s="1410"/>
      <c r="P161" s="1410"/>
      <c r="Q161" s="1410"/>
      <c r="R161" s="1411"/>
      <c r="S161" s="1414"/>
      <c r="T161" s="1415"/>
      <c r="V161" s="1355"/>
      <c r="W161" s="1356"/>
    </row>
    <row r="162" spans="1:23" s="386" customFormat="1" ht="13.9" customHeight="1" thickBot="1">
      <c r="B162" s="386" t="s">
        <v>2957</v>
      </c>
      <c r="J162" s="1368">
        <f>+J160-J161</f>
        <v>9373229.5809426419</v>
      </c>
      <c r="K162" s="1372"/>
      <c r="L162" s="1422"/>
      <c r="M162" s="1442" t="s">
        <v>3771</v>
      </c>
      <c r="N162" s="1443"/>
      <c r="O162" s="1425">
        <f>'Part III-Sources of Funds'!H36</f>
        <v>0</v>
      </c>
      <c r="P162" s="1425"/>
      <c r="Q162" s="1425"/>
      <c r="R162" s="1426"/>
      <c r="S162" s="540" t="s">
        <v>2342</v>
      </c>
      <c r="T162" s="929" t="s">
        <v>4067</v>
      </c>
      <c r="V162" s="1355"/>
      <c r="W162" s="1356"/>
    </row>
    <row r="163" spans="1:23" s="386" customFormat="1" ht="13.9" customHeight="1">
      <c r="B163" s="386" t="s">
        <v>1720</v>
      </c>
      <c r="J163" s="1441" t="str">
        <f>"/ 10"</f>
        <v>/ 10</v>
      </c>
      <c r="K163" s="1441"/>
      <c r="L163" s="1441"/>
      <c r="M163" s="786"/>
      <c r="N163" s="668"/>
      <c r="O163" s="668"/>
      <c r="P163" s="668"/>
      <c r="Q163" s="668"/>
      <c r="R163" s="668"/>
      <c r="V163" s="1355"/>
      <c r="W163" s="1356"/>
    </row>
    <row r="164" spans="1:23" s="386" customFormat="1" ht="13.9" customHeight="1">
      <c r="B164" s="386" t="s">
        <v>1721</v>
      </c>
      <c r="J164" s="1368">
        <f>J162/10</f>
        <v>937322.95809426415</v>
      </c>
      <c r="K164" s="1372"/>
      <c r="L164" s="1369"/>
      <c r="M164" s="406"/>
      <c r="N164" s="1129" t="s">
        <v>1722</v>
      </c>
      <c r="O164" s="1129"/>
      <c r="Q164" s="1129" t="s">
        <v>2495</v>
      </c>
      <c r="R164" s="1129"/>
      <c r="V164" s="1355"/>
      <c r="W164" s="1356"/>
    </row>
    <row r="165" spans="1:23" s="386" customFormat="1" ht="13.9" customHeight="1" thickBot="1">
      <c r="B165" s="386" t="s">
        <v>1936</v>
      </c>
      <c r="J165" s="1427">
        <f>N165+Q165</f>
        <v>1.113</v>
      </c>
      <c r="K165" s="1428"/>
      <c r="L165" s="1429"/>
      <c r="M165" s="781" t="s">
        <v>1723</v>
      </c>
      <c r="N165" s="1423">
        <v>0.85</v>
      </c>
      <c r="O165" s="1424"/>
      <c r="P165" s="781" t="s">
        <v>792</v>
      </c>
      <c r="Q165" s="1423">
        <v>0.26300000000000001</v>
      </c>
      <c r="R165" s="1424"/>
      <c r="V165" s="1355"/>
      <c r="W165" s="1356"/>
    </row>
    <row r="166" spans="1:23" s="386" customFormat="1" ht="13.9" customHeight="1" thickBot="1">
      <c r="B166" s="389" t="s">
        <v>1868</v>
      </c>
      <c r="J166" s="1284">
        <f>IF(J165=0,"",J164/J165)</f>
        <v>842158.99199844035</v>
      </c>
      <c r="K166" s="1421"/>
      <c r="L166" s="1285"/>
      <c r="M166" s="406"/>
      <c r="N166" s="786"/>
      <c r="O166" s="786"/>
      <c r="V166" s="1355"/>
      <c r="W166" s="1356"/>
    </row>
    <row r="167" spans="1:23" s="386" customFormat="1" ht="6" customHeight="1">
      <c r="J167" s="470"/>
      <c r="K167" s="470"/>
      <c r="L167" s="470"/>
      <c r="M167" s="406"/>
      <c r="N167" s="792"/>
      <c r="O167" s="792"/>
      <c r="V167" s="1355"/>
      <c r="W167" s="1356"/>
    </row>
    <row r="168" spans="1:23" s="386" customFormat="1" ht="16.149999999999999" customHeight="1">
      <c r="B168" s="389" t="s">
        <v>381</v>
      </c>
      <c r="J168" s="1400">
        <f>+MIN(J155,J166,'DCA Underwriting Assumptions'!$R$6)</f>
        <v>842060.7332054578</v>
      </c>
      <c r="K168" s="1401"/>
      <c r="L168" s="1402"/>
      <c r="M168" s="406"/>
      <c r="N168" s="792"/>
      <c r="O168" s="792"/>
      <c r="V168" s="1355"/>
      <c r="W168" s="1356"/>
    </row>
    <row r="169" spans="1:23" s="386" customFormat="1" ht="3" customHeight="1">
      <c r="J169" s="470"/>
      <c r="K169" s="470"/>
      <c r="L169" s="470"/>
      <c r="M169" s="406"/>
      <c r="N169" s="792"/>
      <c r="O169" s="792"/>
      <c r="V169" s="1355"/>
      <c r="W169" s="1356"/>
    </row>
    <row r="170" spans="1:23" s="386" customFormat="1" ht="16.149999999999999" customHeight="1">
      <c r="B170" s="389" t="s">
        <v>382</v>
      </c>
      <c r="J170" s="1438">
        <v>842060.7332054578</v>
      </c>
      <c r="K170" s="1439"/>
      <c r="L170" s="1440"/>
      <c r="M170" s="471" t="str">
        <f>IF(J168=0,"",IF(J170&gt;J168,"ALLOCATION CANNOT EXCEED MAXIMUM - REVISE REQUEST!",""))</f>
        <v/>
      </c>
      <c r="N170" s="792"/>
      <c r="O170" s="792"/>
      <c r="V170" s="1355"/>
      <c r="W170" s="1356"/>
    </row>
    <row r="171" spans="1:23" s="386" customFormat="1" ht="3" customHeight="1">
      <c r="J171" s="470"/>
      <c r="K171" s="470"/>
      <c r="L171" s="470"/>
      <c r="M171" s="406"/>
      <c r="N171" s="792"/>
      <c r="O171" s="792"/>
      <c r="V171" s="1355"/>
      <c r="W171" s="1356"/>
    </row>
    <row r="172" spans="1:23" s="386" customFormat="1" ht="16.149999999999999" customHeight="1">
      <c r="A172" s="567" t="s">
        <v>2488</v>
      </c>
      <c r="B172" s="567" t="s">
        <v>3420</v>
      </c>
      <c r="D172" s="406"/>
      <c r="E172" s="406"/>
      <c r="F172" s="392"/>
      <c r="J172" s="1400">
        <f>IF(J170="",0,+MIN(J168,J170))</f>
        <v>842060.7332054578</v>
      </c>
      <c r="K172" s="1401"/>
      <c r="L172" s="1402"/>
      <c r="N172" s="930"/>
      <c r="O172" s="930"/>
      <c r="P172" s="930"/>
      <c r="Q172" s="930"/>
      <c r="R172" s="930"/>
      <c r="S172" s="930"/>
      <c r="T172" s="930"/>
      <c r="V172" s="1357"/>
      <c r="W172" s="1358"/>
    </row>
    <row r="173" spans="1:23" ht="3" customHeight="1"/>
    <row r="174" spans="1:23" ht="6" customHeight="1"/>
    <row r="175" spans="1:23" ht="12" customHeight="1">
      <c r="A175" s="389" t="s">
        <v>2490</v>
      </c>
      <c r="B175" s="415" t="s">
        <v>744</v>
      </c>
      <c r="K175" s="389" t="s">
        <v>697</v>
      </c>
      <c r="L175" s="389" t="s">
        <v>83</v>
      </c>
    </row>
    <row r="176" spans="1:23" ht="201" customHeight="1">
      <c r="A176" s="1444" t="s">
        <v>4157</v>
      </c>
      <c r="B176" s="1445"/>
      <c r="C176" s="1445"/>
      <c r="D176" s="1445"/>
      <c r="E176" s="1445"/>
      <c r="F176" s="1445"/>
      <c r="G176" s="1445"/>
      <c r="H176" s="1445"/>
      <c r="I176" s="1445"/>
      <c r="J176" s="1446"/>
      <c r="K176" s="1447"/>
      <c r="L176" s="1445"/>
      <c r="M176" s="1445"/>
      <c r="N176" s="1445"/>
      <c r="O176" s="1445"/>
      <c r="P176" s="1445"/>
      <c r="Q176" s="1445"/>
      <c r="R176" s="1445"/>
      <c r="S176" s="1445"/>
      <c r="T176" s="1446"/>
      <c r="V176" s="1314" t="s">
        <v>3596</v>
      </c>
      <c r="W176" s="13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4" priority="13" stopIfTrue="1" operator="greaterThan">
      <formula>$F34</formula>
    </cfRule>
  </conditionalFormatting>
  <conditionalFormatting sqref="J172:L172">
    <cfRule type="cellIs" dxfId="13" priority="15" stopIfTrue="1" operator="greaterThan">
      <formula>$J$168</formula>
    </cfRule>
  </conditionalFormatting>
  <conditionalFormatting sqref="G35">
    <cfRule type="cellIs" dxfId="12" priority="16" stopIfTrue="1" operator="greaterThan">
      <formula>$F$35</formula>
    </cfRule>
  </conditionalFormatting>
  <conditionalFormatting sqref="G33">
    <cfRule type="cellIs" priority="17" stopIfTrue="1" operator="equal">
      <formula>"""Exceeds the limit! Re-check amounts."""</formula>
    </cfRule>
  </conditionalFormatting>
  <conditionalFormatting sqref="M34:N34 P34:Q34">
    <cfRule type="cellIs" dxfId="11" priority="12" operator="greaterThan">
      <formula>$G$34</formula>
    </cfRule>
  </conditionalFormatting>
  <conditionalFormatting sqref="M35:N36 P35:Q36">
    <cfRule type="cellIs" dxfId="10" priority="11" operator="greaterThan">
      <formula>$G$36</formula>
    </cfRule>
  </conditionalFormatting>
  <conditionalFormatting sqref="G36">
    <cfRule type="cellIs" dxfId="9" priority="10"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48" t="str">
        <f>CONCATENATE("PART FIVE - UTILITY ALLOWANCES","  -  ",'Part I-Project Information'!$O$4," ",'Part I-Project Information'!$F$23,", ",'Part I-Project Information'!F26,", ",'Part I-Project Information'!J27," County")</f>
        <v>PART FIVE - UTILITY ALLOWANCES  -  2013-035 North Lake Senior Village, LP, Columbus, Muscogee County</v>
      </c>
      <c r="B1" s="1449"/>
      <c r="C1" s="1449"/>
      <c r="D1" s="1449"/>
      <c r="E1" s="1449"/>
      <c r="F1" s="1449"/>
      <c r="G1" s="1449"/>
      <c r="H1" s="1449"/>
      <c r="I1" s="1449"/>
      <c r="J1" s="1449"/>
      <c r="K1" s="1449"/>
      <c r="L1" s="1449"/>
      <c r="M1" s="144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450" t="s">
        <v>4137</v>
      </c>
      <c r="J5" s="1451"/>
      <c r="K5" s="1451"/>
      <c r="L5" s="1451"/>
      <c r="M5" s="1452"/>
    </row>
    <row r="6" spans="1:20" s="9" customFormat="1" ht="13.15" customHeight="1">
      <c r="A6" s="16"/>
      <c r="F6" s="9" t="s">
        <v>816</v>
      </c>
      <c r="H6" s="31"/>
      <c r="I6" s="1453">
        <v>40989</v>
      </c>
      <c r="J6" s="1454"/>
      <c r="K6" s="73" t="s">
        <v>707</v>
      </c>
      <c r="L6" s="1455" t="s">
        <v>4136</v>
      </c>
      <c r="M6" s="1452"/>
    </row>
    <row r="7" spans="1:20" s="9" customFormat="1" ht="6" customHeight="1">
      <c r="A7" s="16"/>
    </row>
    <row r="8" spans="1:20" s="16" customFormat="1">
      <c r="B8" s="307"/>
      <c r="C8" s="307"/>
      <c r="D8" s="307"/>
      <c r="E8" s="307"/>
      <c r="F8" s="1457" t="s">
        <v>789</v>
      </c>
      <c r="G8" s="1457"/>
      <c r="I8" s="1456" t="s">
        <v>218</v>
      </c>
      <c r="J8" s="1456"/>
      <c r="K8" s="1456"/>
      <c r="L8" s="1456"/>
      <c r="M8" s="145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458" t="s">
        <v>4101</v>
      </c>
      <c r="E10" s="1459"/>
      <c r="F10" s="931" t="s">
        <v>566</v>
      </c>
      <c r="G10" s="931"/>
      <c r="H10" s="312"/>
      <c r="I10" s="932"/>
      <c r="J10" s="932">
        <v>13</v>
      </c>
      <c r="K10" s="932">
        <v>15</v>
      </c>
      <c r="L10" s="932"/>
      <c r="M10" s="932"/>
    </row>
    <row r="11" spans="1:20" s="9" customFormat="1">
      <c r="B11" s="313" t="s">
        <v>596</v>
      </c>
      <c r="C11" s="314"/>
      <c r="D11" s="313" t="s">
        <v>2060</v>
      </c>
      <c r="E11" s="314"/>
      <c r="F11" s="933" t="s">
        <v>566</v>
      </c>
      <c r="G11" s="933"/>
      <c r="H11" s="315"/>
      <c r="I11" s="934"/>
      <c r="J11" s="934">
        <v>21</v>
      </c>
      <c r="K11" s="934">
        <v>26</v>
      </c>
      <c r="L11" s="935"/>
      <c r="M11" s="935"/>
    </row>
    <row r="12" spans="1:20" s="9" customFormat="1">
      <c r="B12" s="313" t="s">
        <v>2061</v>
      </c>
      <c r="C12" s="314"/>
      <c r="D12" s="1460" t="s">
        <v>2060</v>
      </c>
      <c r="E12" s="1461"/>
      <c r="F12" s="933" t="s">
        <v>566</v>
      </c>
      <c r="G12" s="933"/>
      <c r="H12" s="315"/>
      <c r="I12" s="934"/>
      <c r="J12" s="934">
        <v>11</v>
      </c>
      <c r="K12" s="934">
        <v>13</v>
      </c>
      <c r="L12" s="935"/>
      <c r="M12" s="935"/>
    </row>
    <row r="13" spans="1:20" s="9" customFormat="1">
      <c r="B13" s="313" t="s">
        <v>2062</v>
      </c>
      <c r="C13" s="314"/>
      <c r="D13" s="1460" t="s">
        <v>2060</v>
      </c>
      <c r="E13" s="1461"/>
      <c r="F13" s="933" t="s">
        <v>566</v>
      </c>
      <c r="G13" s="933"/>
      <c r="H13" s="315"/>
      <c r="I13" s="934"/>
      <c r="J13" s="934">
        <v>17</v>
      </c>
      <c r="K13" s="934">
        <v>24</v>
      </c>
      <c r="L13" s="935"/>
      <c r="M13" s="935"/>
    </row>
    <row r="14" spans="1:20" s="9" customFormat="1">
      <c r="B14" s="313" t="s">
        <v>2063</v>
      </c>
      <c r="C14" s="314"/>
      <c r="D14" s="313" t="s">
        <v>2060</v>
      </c>
      <c r="E14" s="316"/>
      <c r="F14" s="933" t="s">
        <v>566</v>
      </c>
      <c r="G14" s="933"/>
      <c r="H14" s="315"/>
      <c r="I14" s="934"/>
      <c r="J14" s="934">
        <v>31</v>
      </c>
      <c r="K14" s="934">
        <v>35</v>
      </c>
      <c r="L14" s="935"/>
      <c r="M14" s="935"/>
    </row>
    <row r="15" spans="1:20" s="9" customFormat="1">
      <c r="B15" s="313" t="s">
        <v>1805</v>
      </c>
      <c r="C15" s="314"/>
      <c r="D15" s="313" t="s">
        <v>2951</v>
      </c>
      <c r="E15" s="936" t="s">
        <v>4068</v>
      </c>
      <c r="F15" s="933" t="s">
        <v>566</v>
      </c>
      <c r="G15" s="933"/>
      <c r="H15" s="315"/>
      <c r="I15" s="934"/>
      <c r="J15" s="934">
        <v>21</v>
      </c>
      <c r="K15" s="934">
        <v>29</v>
      </c>
      <c r="L15" s="935"/>
      <c r="M15" s="935"/>
    </row>
    <row r="16" spans="1:20" s="9" customFormat="1">
      <c r="B16" s="317" t="s">
        <v>2555</v>
      </c>
      <c r="C16" s="318"/>
      <c r="D16" s="317"/>
      <c r="E16" s="284"/>
      <c r="F16" s="937"/>
      <c r="G16" s="937" t="s">
        <v>566</v>
      </c>
      <c r="H16" s="319"/>
      <c r="I16" s="938"/>
      <c r="J16" s="938"/>
      <c r="K16" s="938"/>
      <c r="L16" s="939"/>
      <c r="M16" s="939"/>
    </row>
    <row r="17" spans="1:19" s="9" customFormat="1">
      <c r="B17" s="307" t="s">
        <v>1423</v>
      </c>
      <c r="D17" s="31"/>
      <c r="E17" s="31"/>
      <c r="F17" s="97"/>
      <c r="G17" s="97"/>
      <c r="I17" s="800">
        <f>SUM(I10:I16)</f>
        <v>0</v>
      </c>
      <c r="J17" s="800">
        <f>SUM(J10:J16)</f>
        <v>114</v>
      </c>
      <c r="K17" s="800">
        <f>SUM(K10:K16)</f>
        <v>142</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455"/>
      <c r="J19" s="1451"/>
      <c r="K19" s="1451"/>
      <c r="L19" s="1451"/>
      <c r="M19" s="1452"/>
    </row>
    <row r="20" spans="1:19" s="9" customFormat="1" ht="13.15" customHeight="1">
      <c r="A20" s="16"/>
      <c r="B20" s="16"/>
      <c r="F20" s="9" t="s">
        <v>816</v>
      </c>
      <c r="H20" s="31"/>
      <c r="I20" s="1453"/>
      <c r="J20" s="1454"/>
      <c r="K20" s="73" t="s">
        <v>707</v>
      </c>
      <c r="L20" s="1455"/>
      <c r="M20" s="1452"/>
    </row>
    <row r="21" spans="1:19" s="9" customFormat="1" ht="6" customHeight="1">
      <c r="A21" s="16"/>
    </row>
    <row r="22" spans="1:19" s="16" customFormat="1">
      <c r="B22" s="307"/>
      <c r="C22" s="307"/>
      <c r="D22" s="307"/>
      <c r="E22" s="307"/>
      <c r="F22" s="1457" t="s">
        <v>789</v>
      </c>
      <c r="G22" s="1457"/>
      <c r="I22" s="1456" t="s">
        <v>218</v>
      </c>
      <c r="J22" s="1456"/>
      <c r="K22" s="1456"/>
      <c r="L22" s="1456"/>
      <c r="M22" s="145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458" t="s">
        <v>2519</v>
      </c>
      <c r="E24" s="1459"/>
      <c r="F24" s="931"/>
      <c r="G24" s="931"/>
      <c r="H24" s="312"/>
      <c r="I24" s="932"/>
      <c r="J24" s="932"/>
      <c r="K24" s="932"/>
      <c r="L24" s="932"/>
      <c r="M24" s="932"/>
    </row>
    <row r="25" spans="1:19" s="9" customFormat="1">
      <c r="B25" s="313" t="s">
        <v>596</v>
      </c>
      <c r="C25" s="314"/>
      <c r="D25" s="313" t="s">
        <v>2060</v>
      </c>
      <c r="E25" s="314"/>
      <c r="F25" s="933"/>
      <c r="G25" s="933"/>
      <c r="H25" s="315"/>
      <c r="I25" s="934"/>
      <c r="J25" s="934"/>
      <c r="K25" s="934"/>
      <c r="L25" s="935"/>
      <c r="M25" s="935"/>
    </row>
    <row r="26" spans="1:19" s="9" customFormat="1">
      <c r="B26" s="313" t="s">
        <v>2061</v>
      </c>
      <c r="C26" s="314"/>
      <c r="D26" s="1460" t="s">
        <v>2519</v>
      </c>
      <c r="E26" s="1461"/>
      <c r="F26" s="933"/>
      <c r="G26" s="933"/>
      <c r="H26" s="315"/>
      <c r="I26" s="934"/>
      <c r="J26" s="934"/>
      <c r="K26" s="934"/>
      <c r="L26" s="935"/>
      <c r="M26" s="935"/>
    </row>
    <row r="27" spans="1:19" s="9" customFormat="1">
      <c r="B27" s="313" t="s">
        <v>2062</v>
      </c>
      <c r="C27" s="314"/>
      <c r="D27" s="1460" t="s">
        <v>2519</v>
      </c>
      <c r="E27" s="1461"/>
      <c r="F27" s="933"/>
      <c r="G27" s="933"/>
      <c r="H27" s="315"/>
      <c r="I27" s="934"/>
      <c r="J27" s="934"/>
      <c r="K27" s="934"/>
      <c r="L27" s="935"/>
      <c r="M27" s="935"/>
    </row>
    <row r="28" spans="1:19" s="9" customFormat="1">
      <c r="B28" s="313" t="s">
        <v>2063</v>
      </c>
      <c r="C28" s="314"/>
      <c r="D28" s="313" t="s">
        <v>2060</v>
      </c>
      <c r="E28" s="316"/>
      <c r="F28" s="933"/>
      <c r="G28" s="933"/>
      <c r="H28" s="315"/>
      <c r="I28" s="934"/>
      <c r="J28" s="934"/>
      <c r="K28" s="934"/>
      <c r="L28" s="935"/>
      <c r="M28" s="935"/>
    </row>
    <row r="29" spans="1:19" s="9" customFormat="1">
      <c r="B29" s="313" t="s">
        <v>1805</v>
      </c>
      <c r="C29" s="314"/>
      <c r="D29" s="313" t="s">
        <v>2951</v>
      </c>
      <c r="E29" s="936" t="s">
        <v>219</v>
      </c>
      <c r="F29" s="933"/>
      <c r="G29" s="933"/>
      <c r="H29" s="315"/>
      <c r="I29" s="934"/>
      <c r="J29" s="934"/>
      <c r="K29" s="934"/>
      <c r="L29" s="935"/>
      <c r="M29" s="935"/>
    </row>
    <row r="30" spans="1:19" s="9" customFormat="1">
      <c r="B30" s="317" t="s">
        <v>2555</v>
      </c>
      <c r="C30" s="318"/>
      <c r="D30" s="317"/>
      <c r="E30" s="284"/>
      <c r="F30" s="937"/>
      <c r="G30" s="937"/>
      <c r="H30" s="319"/>
      <c r="I30" s="938"/>
      <c r="J30" s="938"/>
      <c r="K30" s="938"/>
      <c r="L30" s="939"/>
      <c r="M30" s="939"/>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465" t="s">
        <v>4138</v>
      </c>
      <c r="C36" s="1466"/>
      <c r="D36" s="1466"/>
      <c r="E36" s="1466"/>
      <c r="F36" s="1466"/>
      <c r="G36" s="1466"/>
      <c r="H36" s="1466"/>
      <c r="I36" s="1466"/>
      <c r="J36" s="1466"/>
      <c r="K36" s="1466"/>
      <c r="L36" s="1466"/>
      <c r="M36" s="1467"/>
      <c r="N36" s="31"/>
      <c r="O36" s="1066" t="s">
        <v>3596</v>
      </c>
      <c r="P36" s="1066"/>
      <c r="Q36" s="1066"/>
      <c r="R36" s="1066"/>
      <c r="S36" s="1066"/>
    </row>
    <row r="37" spans="1:19" s="9" customFormat="1" ht="3" customHeight="1">
      <c r="M37" s="31"/>
      <c r="N37" s="31"/>
      <c r="O37" s="1066"/>
      <c r="P37" s="1066"/>
      <c r="Q37" s="1066"/>
      <c r="R37" s="1066"/>
      <c r="S37" s="1066"/>
    </row>
    <row r="38" spans="1:19" s="9" customFormat="1" ht="12" customHeight="1">
      <c r="A38" s="16"/>
      <c r="B38" s="16" t="s">
        <v>2549</v>
      </c>
      <c r="M38" s="31"/>
      <c r="N38" s="31"/>
      <c r="O38" s="1066"/>
      <c r="P38" s="1066"/>
      <c r="Q38" s="1066"/>
      <c r="R38" s="1066"/>
      <c r="S38" s="1066"/>
    </row>
    <row r="39" spans="1:19" s="9" customFormat="1" ht="24.75" customHeight="1">
      <c r="B39" s="1462"/>
      <c r="C39" s="1463"/>
      <c r="D39" s="1463"/>
      <c r="E39" s="1463"/>
      <c r="F39" s="1463"/>
      <c r="G39" s="1463"/>
      <c r="H39" s="1463"/>
      <c r="I39" s="1463"/>
      <c r="J39" s="1463"/>
      <c r="K39" s="1463"/>
      <c r="L39" s="1463"/>
      <c r="M39" s="1464"/>
      <c r="N39" s="31"/>
      <c r="O39" s="1066"/>
      <c r="P39" s="1066"/>
      <c r="Q39" s="1066"/>
      <c r="R39" s="1066"/>
      <c r="S39" s="106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39EE5F-4E08-4C97-8C1B-FE6CC03DA5AA}">
  <ds:schemaRefs>
    <ds:schemaRef ds:uri="http://purl.org/dc/elements/1.1/"/>
    <ds:schemaRef ds:uri="http://www.w3.org/XML/1998/namespace"/>
    <ds:schemaRef ds:uri="http://schemas.microsoft.com/office/2006/metadata/properties"/>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09820175-5B3C-4823-84DA-62D6FAAF4403}">
  <ds:schemaRefs>
    <ds:schemaRef ds:uri="http://schemas.microsoft.com/sharepoint/v3/contenttype/forms"/>
  </ds:schemaRefs>
</ds:datastoreItem>
</file>

<file path=customXml/itemProps3.xml><?xml version="1.0" encoding="utf-8"?>
<ds:datastoreItem xmlns:ds="http://schemas.openxmlformats.org/officeDocument/2006/customXml" ds:itemID="{19DF40AA-450B-4C18-B879-43EA11E95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OperRes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lpstr>WorkCapRes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2013-06-13T05:21:22Z</cp:lastPrinted>
  <dcterms:created xsi:type="dcterms:W3CDTF">2005-09-15T20:51:37Z</dcterms:created>
  <dcterms:modified xsi:type="dcterms:W3CDTF">2013-10-15T17:44:46Z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