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70" yWindow="105" windowWidth="23745" windowHeight="1315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28" i="8"/>
  <c r="C28" s="1"/>
  <c r="D28" l="1"/>
  <c r="E28" s="1"/>
  <c r="F28" s="1"/>
  <c r="G28" s="1"/>
  <c r="H28" s="1"/>
  <c r="I28" s="1"/>
  <c r="J28" s="1"/>
  <c r="K28" s="1"/>
  <c r="C83"/>
  <c r="D83"/>
  <c r="E83"/>
  <c r="F83"/>
  <c r="G83"/>
  <c r="H83"/>
  <c r="I83"/>
  <c r="J83"/>
  <c r="K83"/>
  <c r="C82"/>
  <c r="D82"/>
  <c r="E82"/>
  <c r="F82"/>
  <c r="G82"/>
  <c r="H82"/>
  <c r="I82"/>
  <c r="J82"/>
  <c r="K82"/>
  <c r="C81"/>
  <c r="D81"/>
  <c r="E81"/>
  <c r="F81"/>
  <c r="G81"/>
  <c r="H81"/>
  <c r="I81"/>
  <c r="J81"/>
  <c r="K81"/>
  <c r="B83"/>
  <c r="B82"/>
  <c r="B81"/>
  <c r="C54"/>
  <c r="D54"/>
  <c r="E54"/>
  <c r="F54"/>
  <c r="G54"/>
  <c r="H54"/>
  <c r="I54"/>
  <c r="J54"/>
  <c r="K54"/>
  <c r="C53"/>
  <c r="D53"/>
  <c r="E53"/>
  <c r="F53"/>
  <c r="G53"/>
  <c r="H53"/>
  <c r="I53"/>
  <c r="J53"/>
  <c r="K53"/>
  <c r="C52"/>
  <c r="D52"/>
  <c r="E52"/>
  <c r="F52"/>
  <c r="G52"/>
  <c r="H52"/>
  <c r="I52"/>
  <c r="J52"/>
  <c r="K52"/>
  <c r="B54"/>
  <c r="B53"/>
  <c r="B52"/>
  <c r="M33" i="3"/>
  <c r="J53" i="15"/>
  <c r="J52"/>
  <c r="G52"/>
  <c r="G53"/>
  <c r="B57" i="8" l="1"/>
  <c r="C57" s="1"/>
  <c r="D57" s="1"/>
  <c r="E57" s="1"/>
  <c r="F57" s="1"/>
  <c r="G57" s="1"/>
  <c r="H57" s="1"/>
  <c r="I57" s="1"/>
  <c r="J57" s="1"/>
  <c r="K57" s="1"/>
  <c r="B86" s="1"/>
  <c r="J13" i="15"/>
  <c r="G13"/>
  <c r="L156" i="11" l="1"/>
  <c r="O63"/>
  <c r="M214"/>
  <c r="P211" s="1"/>
  <c r="K214"/>
  <c r="O211" s="1"/>
  <c r="P38"/>
  <c r="O38"/>
  <c r="M37" i="3" l="1"/>
  <c r="M35"/>
  <c r="M34"/>
  <c r="M32"/>
  <c r="A113" i="11"/>
  <c r="A105"/>
  <c r="A103"/>
  <c r="A102"/>
  <c r="A95"/>
  <c r="A89"/>
  <c r="U61" i="15"/>
  <c r="A61"/>
  <c r="V39"/>
  <c r="O39"/>
  <c r="E36"/>
  <c r="E35"/>
  <c r="S37"/>
  <c r="P37"/>
  <c r="M37"/>
  <c r="J37"/>
  <c r="G37"/>
  <c r="S32"/>
  <c r="P32"/>
  <c r="M32"/>
  <c r="J32"/>
  <c r="G32"/>
  <c r="B24" i="8" l="1"/>
  <c r="B26"/>
  <c r="B23"/>
  <c r="B25"/>
  <c r="B29"/>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68"/>
  <c r="K97"/>
  <c r="J97"/>
  <c r="I97"/>
  <c r="H97"/>
  <c r="G97"/>
  <c r="F97"/>
  <c r="E97"/>
  <c r="D97"/>
  <c r="C97"/>
  <c r="C68"/>
  <c r="D68"/>
  <c r="E68"/>
  <c r="F68"/>
  <c r="G68"/>
  <c r="H68"/>
  <c r="I68"/>
  <c r="J68"/>
  <c r="K68"/>
  <c r="D39"/>
  <c r="E39"/>
  <c r="F39"/>
  <c r="G39"/>
  <c r="H39"/>
  <c r="I39"/>
  <c r="J39"/>
  <c r="K39"/>
  <c r="C39"/>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55"/>
  <c r="J55"/>
  <c r="I55"/>
  <c r="H55"/>
  <c r="G55"/>
  <c r="F55"/>
  <c r="E55"/>
  <c r="D55"/>
  <c r="C55"/>
  <c r="B55"/>
  <c r="K26"/>
  <c r="J26"/>
  <c r="I26"/>
  <c r="H26"/>
  <c r="G26"/>
  <c r="F26"/>
  <c r="E26"/>
  <c r="D26"/>
  <c r="C26"/>
  <c r="K25"/>
  <c r="J25"/>
  <c r="I25"/>
  <c r="H25"/>
  <c r="G25"/>
  <c r="F25"/>
  <c r="E25"/>
  <c r="D25"/>
  <c r="C25"/>
  <c r="K24"/>
  <c r="J24"/>
  <c r="I24"/>
  <c r="H24"/>
  <c r="G24"/>
  <c r="F24"/>
  <c r="E24"/>
  <c r="D24"/>
  <c r="C24"/>
  <c r="C38" l="1"/>
  <c r="C37"/>
  <c r="N53" i="6"/>
  <c r="Q15" i="36"/>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38" i="8" l="1"/>
  <c r="D37"/>
  <c r="L26" i="3"/>
  <c r="C40" i="8"/>
  <c r="A82" i="36"/>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58" i="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E38" i="8" l="1"/>
  <c r="F38" s="1"/>
  <c r="E37"/>
  <c r="D40"/>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12" l="1"/>
  <c r="Q11"/>
  <c r="Q13"/>
  <c r="Q10"/>
  <c r="Q14"/>
  <c r="G38" i="8"/>
  <c r="F37"/>
  <c r="K14"/>
  <c r="E40"/>
  <c r="Q61" i="36"/>
  <c r="Q64"/>
  <c r="Q97"/>
  <c r="Q99"/>
  <c r="Q89"/>
  <c r="Q56"/>
  <c r="Q59"/>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H38" i="8" l="1"/>
  <c r="G37"/>
  <c r="F40"/>
  <c r="K164" i="11"/>
  <c r="I164"/>
  <c r="J159" i="36"/>
  <c r="J157"/>
  <c r="J158"/>
  <c r="F45" i="7"/>
  <c r="F46"/>
  <c r="E42" i="15"/>
  <c r="Q58" i="36"/>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M98" i="36"/>
  <c r="H100"/>
  <c r="M100" s="1"/>
  <c r="P49" i="7"/>
  <c r="P51" s="1"/>
  <c r="P53" s="1"/>
  <c r="P58" s="1"/>
  <c r="Q96" i="36"/>
  <c r="I38" i="8" l="1"/>
  <c r="H37"/>
  <c r="K20"/>
  <c r="D20"/>
  <c r="E78"/>
  <c r="E49"/>
  <c r="J20"/>
  <c r="G49"/>
  <c r="B20"/>
  <c r="D78"/>
  <c r="H20"/>
  <c r="G20"/>
  <c r="J78"/>
  <c r="G78"/>
  <c r="H78"/>
  <c r="C78"/>
  <c r="H49"/>
  <c r="I49"/>
  <c r="J49"/>
  <c r="B49"/>
  <c r="C20"/>
  <c r="K49"/>
  <c r="D49"/>
  <c r="F78"/>
  <c r="B78"/>
  <c r="F49"/>
  <c r="I78"/>
  <c r="C49"/>
  <c r="E20"/>
  <c r="F20"/>
  <c r="I20"/>
  <c r="G40"/>
  <c r="J151" i="15"/>
  <c r="J152" s="1"/>
  <c r="J154" s="1"/>
  <c r="P30" i="11"/>
  <c r="O30"/>
  <c r="J159" i="15"/>
  <c r="Q98" i="36"/>
  <c r="E43" i="15"/>
  <c r="K5" i="8"/>
  <c r="P151" i="15"/>
  <c r="P152" s="1"/>
  <c r="P154" s="1"/>
  <c r="M151"/>
  <c r="M152" s="1"/>
  <c r="M154" s="1"/>
  <c r="B21" i="8"/>
  <c r="Q100" i="36"/>
  <c r="G43" i="15"/>
  <c r="G131"/>
  <c r="J38" i="8" l="1"/>
  <c r="I37"/>
  <c r="P147" i="36"/>
  <c r="K7" i="8"/>
  <c r="H40"/>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K38" l="1"/>
  <c r="J37"/>
  <c r="P157" i="36"/>
  <c r="F118" i="15" s="1"/>
  <c r="N149" i="36"/>
  <c r="N148"/>
  <c r="I40" i="8"/>
  <c r="P6" i="11"/>
  <c r="P289"/>
  <c r="O6"/>
  <c r="J162" i="15"/>
  <c r="J164" s="1"/>
  <c r="J166" s="1"/>
  <c r="J168" s="1"/>
  <c r="G159"/>
  <c r="O289" i="11"/>
  <c r="M170" i="15" l="1"/>
  <c r="J172"/>
  <c r="B67" i="8"/>
  <c r="K37"/>
  <c r="B19"/>
  <c r="F119" i="15"/>
  <c r="N157" i="36"/>
  <c r="P165"/>
  <c r="J40" i="8"/>
  <c r="J40" i="3" l="1"/>
  <c r="L40" s="1"/>
  <c r="J6" i="7"/>
  <c r="J41" i="3"/>
  <c r="L41" s="1"/>
  <c r="E98" i="15"/>
  <c r="C67" i="8"/>
  <c r="B66"/>
  <c r="F77"/>
  <c r="I48"/>
  <c r="H19"/>
  <c r="C77"/>
  <c r="H77"/>
  <c r="F19"/>
  <c r="E19"/>
  <c r="J77"/>
  <c r="K19"/>
  <c r="G77"/>
  <c r="G48"/>
  <c r="D48"/>
  <c r="H48"/>
  <c r="I19"/>
  <c r="E77"/>
  <c r="J48"/>
  <c r="E48"/>
  <c r="C48"/>
  <c r="G19"/>
  <c r="D77"/>
  <c r="J19"/>
  <c r="F48"/>
  <c r="B77"/>
  <c r="B48"/>
  <c r="D19"/>
  <c r="K48"/>
  <c r="C19"/>
  <c r="K77"/>
  <c r="I77"/>
  <c r="B35"/>
  <c r="B22"/>
  <c r="K40"/>
  <c r="D67" l="1"/>
  <c r="C66"/>
  <c r="K93"/>
  <c r="K80"/>
  <c r="K64"/>
  <c r="K51"/>
  <c r="B64"/>
  <c r="B51"/>
  <c r="F64"/>
  <c r="F51"/>
  <c r="D93"/>
  <c r="D80"/>
  <c r="C64"/>
  <c r="C51"/>
  <c r="J64"/>
  <c r="J51"/>
  <c r="I35"/>
  <c r="I22"/>
  <c r="D64"/>
  <c r="D51"/>
  <c r="G93"/>
  <c r="G80"/>
  <c r="J93"/>
  <c r="J80"/>
  <c r="F35"/>
  <c r="F22"/>
  <c r="C93"/>
  <c r="C80"/>
  <c r="I64"/>
  <c r="I51"/>
  <c r="I93"/>
  <c r="I80"/>
  <c r="C35"/>
  <c r="C22"/>
  <c r="D35"/>
  <c r="D22"/>
  <c r="B93"/>
  <c r="B80"/>
  <c r="J35"/>
  <c r="J22"/>
  <c r="G35"/>
  <c r="G22"/>
  <c r="E64"/>
  <c r="E51"/>
  <c r="E93"/>
  <c r="E80"/>
  <c r="H64"/>
  <c r="H51"/>
  <c r="G64"/>
  <c r="G51"/>
  <c r="K35"/>
  <c r="K22"/>
  <c r="E35"/>
  <c r="E22"/>
  <c r="H93"/>
  <c r="H80"/>
  <c r="H35"/>
  <c r="H22"/>
  <c r="F93"/>
  <c r="F80"/>
  <c r="B69"/>
  <c r="E67" l="1"/>
  <c r="D66"/>
  <c r="C69"/>
  <c r="F67" l="1"/>
  <c r="E66"/>
  <c r="D69"/>
  <c r="G67" l="1"/>
  <c r="F66"/>
  <c r="E69"/>
  <c r="H67" l="1"/>
  <c r="G66"/>
  <c r="F69"/>
  <c r="I67" l="1"/>
  <c r="H66"/>
  <c r="G69"/>
  <c r="J67" l="1"/>
  <c r="I66"/>
  <c r="H69"/>
  <c r="K67" l="1"/>
  <c r="J66"/>
  <c r="I69"/>
  <c r="B96" l="1"/>
  <c r="K66"/>
  <c r="J69"/>
  <c r="C96" l="1"/>
  <c r="B95"/>
  <c r="K69"/>
  <c r="D96" l="1"/>
  <c r="C95"/>
  <c r="B98"/>
  <c r="E96" l="1"/>
  <c r="D95"/>
  <c r="C98"/>
  <c r="C86"/>
  <c r="F96" l="1"/>
  <c r="E95"/>
  <c r="D98"/>
  <c r="D86"/>
  <c r="G96" l="1"/>
  <c r="F95"/>
  <c r="E98"/>
  <c r="E86"/>
  <c r="H96" l="1"/>
  <c r="G95"/>
  <c r="F98"/>
  <c r="F86"/>
  <c r="I96" l="1"/>
  <c r="H95"/>
  <c r="G98"/>
  <c r="G86"/>
  <c r="J96" l="1"/>
  <c r="I95"/>
  <c r="H98"/>
  <c r="H86"/>
  <c r="K96" l="1"/>
  <c r="J95"/>
  <c r="I98"/>
  <c r="I86"/>
  <c r="K95" l="1"/>
  <c r="J98"/>
  <c r="J86"/>
  <c r="K98" l="1"/>
  <c r="K86"/>
  <c r="B30" l="1"/>
  <c r="C23"/>
  <c r="D23"/>
  <c r="D32" s="1"/>
  <c r="E23"/>
  <c r="F23"/>
  <c r="G23"/>
  <c r="H23"/>
  <c r="H30" s="1"/>
  <c r="I23"/>
  <c r="J23"/>
  <c r="K23"/>
  <c r="D30"/>
  <c r="E30"/>
  <c r="D31"/>
  <c r="E32"/>
  <c r="B33"/>
  <c r="E34"/>
  <c r="D59"/>
  <c r="E59"/>
  <c r="B60"/>
  <c r="C60"/>
  <c r="H61"/>
  <c r="I61"/>
  <c r="D88"/>
  <c r="E88"/>
  <c r="H32" l="1"/>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<sst xmlns="http://schemas.openxmlformats.org/spreadsheetml/2006/main" count="8190" uniqueCount="4184">
  <si>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</si>
  <si>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</si>
  <si>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</si>
  <si>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</si>
  <si>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</si>
  <si>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</si>
  <si>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</si>
  <si>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</si>
  <si>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</si>
  <si>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</si>
  <si>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</si>
  <si>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</si>
  <si>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</si>
  <si>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</si>
  <si>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</si>
  <si>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</si>
  <si>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</si>
  <si>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</si>
  <si>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</si>
  <si>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</si>
  <si>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</si>
  <si>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</si>
  <si>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</si>
  <si>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</si>
  <si>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</si>
  <si>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</si>
  <si>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</si>
  <si>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</si>
  <si>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</si>
  <si>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</si>
  <si>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</si>
  <si>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</si>
  <si>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</si>
  <si>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</si>
  <si>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</si>
  <si>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</si>
  <si>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</si>
  <si>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</si>
  <si>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</si>
  <si>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</si>
  <si>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</si>
  <si>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</si>
  <si>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</si>
  <si>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</si>
  <si>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</si>
  <si>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</si>
  <si>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</si>
  <si>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</si>
  <si>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</si>
  <si>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</si>
  <si>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</si>
  <si>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</si>
  <si>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</si>
  <si>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</si>
  <si>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</si>
  <si>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</si>
  <si>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</si>
  <si>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</si>
  <si>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</si>
  <si>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</si>
  <si>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</si>
  <si>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</si>
  <si>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</si>
  <si>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</si>
  <si>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</si>
  <si>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</si>
  <si>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</si>
  <si>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</si>
  <si>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</si>
  <si>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</si>
  <si>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</si>
  <si>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</si>
  <si>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</si>
  <si>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</si>
  <si>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</si>
  <si>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</si>
  <si>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</si>
  <si>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</si>
  <si>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</si>
  <si>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</si>
  <si>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</si>
  <si>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</si>
  <si>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</si>
  <si>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</si>
  <si>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</si>
  <si>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</si>
  <si>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</si>
  <si>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</si>
  <si>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</si>
  <si>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</si>
  <si>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</si>
  <si>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</si>
  <si>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</si>
  <si>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</si>
  <si>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</si>
  <si>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</si>
  <si>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</si>
  <si>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</si>
  <si>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</si>
  <si>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</si>
  <si>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</si>
  <si>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</si>
  <si>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</si>
  <si>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</si>
  <si>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</si>
  <si>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</si>
  <si>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</si>
  <si>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</si>
  <si>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</si>
  <si>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</si>
  <si>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</si>
  <si>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</si>
  <si>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</si>
  <si>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</si>
  <si>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</si>
  <si>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</si>
  <si>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</si>
  <si>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</si>
  <si>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</si>
  <si>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</si>
  <si>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</si>
  <si>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</si>
  <si>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</si>
  <si>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</si>
  <si>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</si>
  <si>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</si>
  <si>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</si>
  <si>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</si>
  <si>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</si>
  <si>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</si>
  <si>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</si>
  <si>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</si>
  <si>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</si>
  <si>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</si>
  <si>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</si>
  <si>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</si>
  <si>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</si>
  <si>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</si>
  <si>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</si>
  <si>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</si>
  <si>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</si>
  <si>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</si>
  <si>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</si>
  <si>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</si>
  <si>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</si>
  <si>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</si>
  <si>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</si>
  <si>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</si>
  <si>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</si>
  <si>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</si>
  <si>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</si>
  <si>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</si>
  <si>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</si>
  <si>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</si>
  <si>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</si>
  <si>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</si>
  <si>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</si>
  <si>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</si>
  <si>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</si>
  <si>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</si>
  <si>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</si>
  <si>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</si>
  <si>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</si>
  <si>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</si>
  <si>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</si>
  <si>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</si>
  <si>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</si>
  <si>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</si>
  <si>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</si>
  <si>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</si>
  <si>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</si>
  <si>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</si>
  <si>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</si>
  <si>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</si>
  <si>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</si>
  <si>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</si>
  <si>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</si>
  <si>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</si>
  <si>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</si>
  <si>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</si>
  <si>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</si>
  <si>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</si>
  <si>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</si>
  <si>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</si>
  <si>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</si>
  <si>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</si>
  <si>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</si>
  <si>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</si>
  <si>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</si>
  <si>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</si>
  <si>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</si>
  <si>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</si>
  <si>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</si>
  <si>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</si>
  <si>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</si>
  <si>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</si>
  <si>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</si>
  <si>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</si>
  <si>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</si>
  <si>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</si>
  <si>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</si>
  <si>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</si>
  <si>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</si>
  <si>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</si>
  <si>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</si>
  <si>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</si>
  <si>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</si>
  <si>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</si>
  <si>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</si>
  <si>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</si>
  <si>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</si>
  <si>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</si>
  <si>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</si>
  <si>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</si>
  <si>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</si>
  <si>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</si>
  <si>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</si>
  <si>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</si>
  <si>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</si>
  <si>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</si>
  <si>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</si>
  <si>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</si>
  <si>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</si>
  <si>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</si>
  <si>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</si>
  <si>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</si>
  <si>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</si>
  <si>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</si>
  <si>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</si>
  <si>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</si>
  <si>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</si>
  <si>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</si>
  <si>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</si>
  <si>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</si>
  <si>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</si>
  <si>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</si>
  <si>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</si>
  <si>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</si>
  <si>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</si>
  <si>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</si>
  <si>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</si>
  <si>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</si>
  <si>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</si>
  <si>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</si>
  <si>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</si>
  <si>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</si>
  <si>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</si>
  <si>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</si>
  <si>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</si>
  <si>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</si>
  <si>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</si>
  <si>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</si>
  <si>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</si>
  <si>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</si>
  <si>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</si>
  <si>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</si>
  <si>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</si>
  <si>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</si>
  <si>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</si>
  <si>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</si>
  <si>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</si>
  <si>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</si>
  <si>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</si>
  <si>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</si>
  <si>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</si>
  <si>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</si>
  <si>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</si>
  <si>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</si>
  <si>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</si>
  <si>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</si>
  <si>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</si>
  <si>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</si>
  <si>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</si>
  <si>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</si>
  <si>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</si>
  <si>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</si>
  <si>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</si>
  <si>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</si>
  <si>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</si>
  <si>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</si>
  <si>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</si>
  <si>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</si>
  <si>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</si>
  <si>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</si>
  <si>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</si>
  <si>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</si>
  <si>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</si>
  <si>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</si>
  <si>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</si>
  <si>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</si>
  <si>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</si>
  <si>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</si>
  <si>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</si>
  <si>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</si>
  <si>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</si>
  <si>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</si>
  <si>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</si>
  <si>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</si>
  <si>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</si>
  <si>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</si>
  <si>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</si>
  <si>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</si>
  <si>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</si>
  <si>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</si>
  <si>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</si>
  <si>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</si>
  <si>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</si>
  <si>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</si>
  <si>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</si>
  <si>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</si>
  <si>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</si>
  <si>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</si>
  <si>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</si>
  <si>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</si>
  <si>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</si>
  <si>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</si>
  <si>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</si>
  <si>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</si>
  <si>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</si>
  <si>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</si>
  <si>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</si>
  <si>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</si>
  <si>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</si>
  <si>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</si>
  <si>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</si>
  <si>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</si>
  <si>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</si>
  <si>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</si>
  <si>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</si>
  <si>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</si>
  <si>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</si>
  <si>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</si>
  <si>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</si>
  <si>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</si>
  <si>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</si>
  <si>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</si>
  <si>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</si>
  <si>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</si>
  <si>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</si>
  <si>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</si>
  <si>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</si>
  <si>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</si>
  <si>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</si>
  <si>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</si>
  <si>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</si>
  <si>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</si>
  <si>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</si>
  <si>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</si>
  <si>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</si>
  <si>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</si>
  <si>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</si>
  <si>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</si>
  <si>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</si>
  <si>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</si>
  <si>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</si>
  <si>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</si>
  <si>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</si>
  <si>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</si>
  <si>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</si>
  <si>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</si>
  <si>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</si>
  <si>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</si>
  <si>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</si>
  <si>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</si>
  <si>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</si>
  <si>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</si>
  <si>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</si>
  <si>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</si>
  <si>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</si>
  <si>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</si>
  <si>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</si>
  <si>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</si>
  <si>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</si>
  <si>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</si>
  <si>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</si>
  <si>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</si>
  <si>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</si>
  <si>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</si>
  <si>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</si>
  <si>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</si>
  <si>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</si>
  <si>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</si>
  <si>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</si>
  <si>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</si>
  <si>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</si>
  <si>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</si>
  <si>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</si>
  <si>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</si>
  <si>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</si>
  <si>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</si>
  <si>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</si>
  <si>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</si>
  <si>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</si>
  <si>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</si>
  <si>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</si>
  <si>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</si>
  <si>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</si>
  <si>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</si>
  <si>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</si>
  <si>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</si>
  <si>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</si>
  <si>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</si>
  <si>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</si>
  <si>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</si>
  <si>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</si>
  <si>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</si>
  <si>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</si>
  <si>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</si>
  <si>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</si>
  <si>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</si>
  <si>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</si>
  <si>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</si>
  <si>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</si>
  <si>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</si>
  <si>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</si>
  <si>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</si>
  <si>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</si>
  <si>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</si>
  <si>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</si>
  <si>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</si>
  <si>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</si>
  <si>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</si>
  <si>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</si>
  <si>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</si>
  <si>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</si>
  <si>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</si>
  <si>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</si>
  <si>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</si>
  <si>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</si>
  <si>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</si>
  <si>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</si>
  <si>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</si>
  <si>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</si>
  <si>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</si>
  <si>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</si>
  <si>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</si>
  <si>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</si>
  <si>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</si>
  <si>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</si>
  <si>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</si>
  <si>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</si>
  <si>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</si>
  <si>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</si>
  <si>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</si>
  <si>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</si>
  <si>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</si>
  <si>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</si>
  <si>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</si>
  <si>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</si>
  <si>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</si>
  <si>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</si>
  <si>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</si>
  <si>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</si>
  <si>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</si>
  <si>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</si>
  <si>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</si>
  <si>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</si>
  <si>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</si>
  <si>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</si>
  <si>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</si>
  <si>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</si>
  <si>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</si>
  <si>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</si>
  <si>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</si>
  <si>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</si>
  <si>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</si>
  <si>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</si>
  <si>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</si>
  <si>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</si>
  <si>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</si>
  <si>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</si>
  <si>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</si>
  <si>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</si>
  <si>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</si>
  <si>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</si>
  <si>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</si>
  <si>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</si>
  <si>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</si>
  <si>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</si>
  <si>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</si>
  <si>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</si>
  <si>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</si>
  <si>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</si>
  <si>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</si>
  <si>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</si>
  <si>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</si>
  <si>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</si>
  <si>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</si>
  <si>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</si>
  <si>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</si>
  <si>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</si>
  <si>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</si>
  <si>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</si>
  <si>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</si>
  <si>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</si>
  <si>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</si>
  <si>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</si>
  <si>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</si>
  <si>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</si>
  <si>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</si>
  <si>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</si>
  <si>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</si>
  <si>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</si>
  <si>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</si>
  <si>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</si>
  <si>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</si>
  <si>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</si>
  <si>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</si>
  <si>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</si>
  <si>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</si>
  <si>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</si>
  <si>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</si>
  <si>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</si>
  <si>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</si>
  <si>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</si>
  <si>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</si>
  <si>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</si>
  <si>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</si>
  <si>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</si>
  <si>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</si>
  <si>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</si>
  <si>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</si>
  <si>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</si>
  <si>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</si>
  <si>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</si>
  <si>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</si>
  <si>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</si>
  <si>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</si>
  <si>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</si>
  <si>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</si>
  <si>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</si>
  <si>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</si>
  <si>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</si>
  <si>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</si>
  <si>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</si>
  <si>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</si>
  <si>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</si>
  <si>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</si>
  <si>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</si>
  <si>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</si>
  <si>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</si>
  <si>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</si>
  <si>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</si>
  <si>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</si>
  <si>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</si>
  <si>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</si>
  <si>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</si>
  <si>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</si>
  <si>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</si>
  <si>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</si>
  <si>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</si>
  <si>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</si>
  <si>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</si>
  <si>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</si>
  <si>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</si>
  <si>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</si>
  <si>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</si>
  <si>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</si>
  <si>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</si>
  <si>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</si>
  <si>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</si>
  <si>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</si>
  <si>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</si>
  <si>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</si>
  <si>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</si>
  <si>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</si>
  <si>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</si>
  <si>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</si>
  <si>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</si>
  <si>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</si>
  <si>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</si>
  <si>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</si>
  <si>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</si>
  <si>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</si>
  <si>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</si>
  <si>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</si>
  <si>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</si>
  <si>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</si>
  <si>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</si>
  <si>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</si>
  <si>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</si>
  <si>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</si>
  <si>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</si>
  <si>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</si>
  <si>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</si>
  <si>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</si>
  <si>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</si>
  <si>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</si>
  <si>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</si>
  <si>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</si>
  <si>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</si>
  <si>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</si>
  <si>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</si>
  <si>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</si>
  <si>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</si>
  <si>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</si>
  <si>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</si>
  <si>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</si>
  <si>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</si>
  <si>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</si>
  <si>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</si>
  <si>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</si>
  <si>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</si>
  <si>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</si>
  <si>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</si>
  <si>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</si>
  <si>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</si>
  <si>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</si>
  <si>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</si>
  <si>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</si>
  <si>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</si>
  <si>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</si>
  <si>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</si>
  <si>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</si>
  <si>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</si>
  <si>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</si>
  <si>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</si>
  <si>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</si>
  <si>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</si>
  <si>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</si>
  <si>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</si>
  <si>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</si>
  <si>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</si>
  <si>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</si>
  <si>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</si>
  <si>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</si>
  <si>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</si>
  <si>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</si>
  <si>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</si>
  <si>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</si>
  <si>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</si>
  <si>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</si>
  <si>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</si>
  <si>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</si>
  <si>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</si>
  <si>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</si>
  <si>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</si>
  <si>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</si>
  <si>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</si>
  <si>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</si>
  <si>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</si>
  <si>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</si>
  <si>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</si>
  <si>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</si>
  <si>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</si>
  <si>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</si>
  <si>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</si>
  <si>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</si>
  <si>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</si>
  <si>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</si>
  <si>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</si>
  <si>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</si>
  <si>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</si>
  <si>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</si>
  <si>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</si>
  <si>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</si>
  <si>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</si>
  <si>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</si>
  <si>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</si>
  <si>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</si>
  <si>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</si>
  <si>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</si>
  <si>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</si>
  <si>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</si>
  <si>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</si>
  <si>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</si>
  <si>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</si>
  <si>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</si>
  <si>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</si>
  <si>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</si>
  <si>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</si>
  <si>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</si>
  <si>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</si>
  <si>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</si>
  <si>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</si>
  <si>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</si>
  <si>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</si>
  <si>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</si>
  <si>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</si>
  <si>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</si>
  <si>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</si>
  <si>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</si>
  <si>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</si>
  <si>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</si>
  <si>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</si>
  <si>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</si>
  <si>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</si>
  <si>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</si>
  <si>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</si>
  <si>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</si>
  <si>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</si>
  <si>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</si>
  <si>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</si>
  <si>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</si>
  <si>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</si>
  <si>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</si>
  <si>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</si>
  <si>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</si>
  <si>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</si>
  <si>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</si>
  <si>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</si>
  <si>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</si>
  <si>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</si>
  <si>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</si>
  <si>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</si>
  <si>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</si>
  <si>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</si>
  <si>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</si>
  <si>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</si>
  <si>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</si>
  <si>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</si>
  <si>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</si>
  <si>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</si>
  <si>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</si>
  <si>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</si>
  <si>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</si>
  <si>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</si>
  <si>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</si>
  <si>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</si>
  <si>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</si>
  <si>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</si>
  <si>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</si>
  <si>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</si>
  <si>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</si>
  <si>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</si>
  <si>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</si>
  <si>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</si>
  <si>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</si>
  <si>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</si>
  <si>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</si>
  <si>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</si>
  <si>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</si>
  <si>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</si>
  <si>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</si>
  <si>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</si>
  <si>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</si>
  <si>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</si>
  <si>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</si>
  <si>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</si>
  <si>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</si>
  <si>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</si>
  <si>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</si>
  <si>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</si>
  <si>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</si>
  <si>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</si>
  <si>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</si>
  <si>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</si>
  <si>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</si>
  <si>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</si>
  <si>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</si>
  <si>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</si>
  <si>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</si>
  <si>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</si>
  <si>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</si>
  <si>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</si>
  <si>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</si>
  <si>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</si>
  <si>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</si>
  <si>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</si>
  <si>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</si>
  <si>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</si>
  <si>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</si>
  <si>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</si>
  <si>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</si>
  <si>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</si>
  <si>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</si>
  <si>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</si>
  <si>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</si>
  <si>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</si>
  <si>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</si>
  <si>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</si>
  <si>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</si>
  <si>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</si>
  <si>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</si>
  <si>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</si>
  <si>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</si>
  <si>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</si>
  <si>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</si>
  <si>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</si>
  <si>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</si>
  <si>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</si>
  <si>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</si>
  <si>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</si>
  <si>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</si>
  <si>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</si>
  <si>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</si>
  <si>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</si>
  <si>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</si>
  <si>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</si>
  <si>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</si>
  <si>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</si>
  <si>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</si>
  <si>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</si>
  <si>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</si>
  <si>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</si>
  <si>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</si>
  <si>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</si>
  <si>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</si>
  <si>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</si>
  <si>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</si>
  <si>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</si>
  <si>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</si>
  <si>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</si>
  <si>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</si>
  <si>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</si>
  <si>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</si>
  <si>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</si>
  <si>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</si>
  <si>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</si>
  <si>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</si>
  <si>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</si>
  <si>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</si>
  <si>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</si>
  <si>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</si>
  <si>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</si>
  <si>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</si>
  <si>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</si>
  <si>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</si>
  <si>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</si>
  <si>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</si>
  <si>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</si>
  <si>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</si>
  <si>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</si>
  <si>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</si>
  <si>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</si>
  <si>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</si>
  <si>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</si>
  <si>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</si>
  <si>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</si>
  <si>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</si>
  <si>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</si>
  <si>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</si>
  <si>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</si>
  <si>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</si>
  <si>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</si>
  <si>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</si>
  <si>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</si>
  <si>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</si>
  <si>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</si>
  <si>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</si>
  <si>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</si>
  <si>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</si>
  <si>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</si>
  <si>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</si>
  <si>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</si>
  <si>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</si>
  <si>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</si>
  <si>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</si>
  <si>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</si>
  <si>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</si>
  <si>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</si>
  <si>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</si>
  <si>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</si>
  <si>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</si>
  <si>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</si>
  <si>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</si>
  <si>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</si>
  <si>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</si>
  <si>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</si>
  <si>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</si>
  <si>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</si>
  <si>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</si>
  <si>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</si>
  <si>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</si>
  <si>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</si>
  <si>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</si>
  <si>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</si>
  <si>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</si>
  <si>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</si>
  <si>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</si>
  <si>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</si>
  <si>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</si>
  <si>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</si>
  <si>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</si>
  <si>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</si>
  <si>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</si>
  <si>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</si>
  <si>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</si>
  <si>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</si>
  <si>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</si>
  <si>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</si>
  <si>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</si>
  <si>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</si>
  <si>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</si>
  <si>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</si>
  <si>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</si>
  <si>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</si>
  <si>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</si>
  <si>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</si>
  <si>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</si>
  <si>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</si>
  <si>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</si>
  <si>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</si>
  <si>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</si>
  <si>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</si>
  <si>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</si>
  <si>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</si>
  <si>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</si>
  <si>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</si>
  <si>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</si>
  <si>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</si>
  <si>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</si>
  <si>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</si>
  <si>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</si>
  <si>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</si>
  <si>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</si>
  <si>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</si>
  <si>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</si>
  <si>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</si>
  <si>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</si>
  <si>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</si>
  <si>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</si>
  <si>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</si>
  <si>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</si>
  <si>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</si>
  <si>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</si>
  <si>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</si>
  <si>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</si>
  <si>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</si>
  <si>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</si>
  <si>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</si>
  <si>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</si>
  <si>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</si>
  <si>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</si>
  <si>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</si>
  <si>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</si>
  <si>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</si>
  <si>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</si>
  <si>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</si>
  <si>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</si>
  <si>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</si>
  <si>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</si>
  <si>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</si>
  <si>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</si>
  <si>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</si>
  <si>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</si>
  <si>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</si>
  <si>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</si>
  <si>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</si>
  <si>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</si>
  <si>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</si>
  <si>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</si>
  <si>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</si>
  <si>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</si>
  <si>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</si>
  <si>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</si>
  <si>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</si>
  <si>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</si>
  <si>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</si>
  <si>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</si>
  <si>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</si>
  <si>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</si>
  <si>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</si>
  <si>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</si>
  <si>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</si>
  <si>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</si>
  <si>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</si>
  <si>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</si>
  <si>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</si>
  <si>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</si>
  <si>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</si>
  <si>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</si>
  <si>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</si>
  <si>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</si>
  <si>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</si>
  <si>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</si>
  <si>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</si>
  <si>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</si>
  <si>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</si>
  <si>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</si>
  <si>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</si>
  <si>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</si>
  <si>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</si>
  <si>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</si>
  <si>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</si>
  <si>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</si>
  <si>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</si>
  <si>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</si>
  <si>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</si>
  <si>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</si>
  <si>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</si>
  <si>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</si>
  <si>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</si>
  <si>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</si>
  <si>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</si>
  <si>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</si>
  <si>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</si>
  <si>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</si>
  <si>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</si>
  <si>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</si>
  <si>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</si>
  <si>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</si>
  <si>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</si>
  <si>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</si>
  <si>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</si>
  <si>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</si>
  <si>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</si>
  <si>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</si>
  <si>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</si>
  <si>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</si>
  <si>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</si>
  <si>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</si>
  <si>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</si>
  <si>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</si>
  <si>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</si>
  <si>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</si>
  <si>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</si>
  <si>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</si>
  <si>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</si>
  <si>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</si>
  <si>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</si>
  <si>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</si>
  <si>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</si>
  <si>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</si>
  <si>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</si>
  <si>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</si>
  <si>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</si>
  <si>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</si>
  <si>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</si>
  <si>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</si>
  <si>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</si>
  <si>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</si>
  <si>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</si>
  <si>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</si>
  <si>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</si>
  <si>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</si>
  <si>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</si>
  <si>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</si>
  <si>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</si>
  <si>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</si>
  <si>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</si>
  <si>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</si>
  <si>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</si>
  <si>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</si>
  <si>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</si>
  <si>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</si>
  <si>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</si>
  <si>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</si>
  <si>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</si>
  <si>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</si>
  <si>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</si>
  <si>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</si>
  <si>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</si>
  <si>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</si>
  <si>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</si>
  <si>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</si>
  <si>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</si>
  <si>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</si>
  <si>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</si>
  <si>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</si>
  <si>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</si>
  <si>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</si>
  <si>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</si>
  <si>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</si>
  <si>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</si>
  <si>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</si>
  <si>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</si>
  <si>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</si>
  <si>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</si>
  <si>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</si>
  <si>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</si>
  <si>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</si>
  <si>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</si>
  <si>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</si>
  <si>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</si>
  <si>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</si>
  <si>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</si>
  <si>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</si>
  <si>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</si>
  <si>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</si>
  <si>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</si>
  <si>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</si>
  <si>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</si>
  <si>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</si>
  <si>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</si>
  <si>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</si>
  <si>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</si>
  <si>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</si>
  <si>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</si>
  <si>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</si>
  <si>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</si>
  <si>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</si>
  <si>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</si>
  <si>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</si>
  <si>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</si>
  <si>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</si>
  <si>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</si>
  <si>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</si>
  <si>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</si>
  <si>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</si>
  <si>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</si>
  <si>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</si>
  <si>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</si>
  <si>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</si>
  <si>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</si>
  <si>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</si>
  <si>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</si>
  <si>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</si>
  <si>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</si>
  <si>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</si>
  <si>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</si>
  <si>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</si>
  <si>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</si>
  <si>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</si>
  <si>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</si>
  <si>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</si>
  <si>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</si>
  <si>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</si>
  <si>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</si>
  <si>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</si>
  <si>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</si>
  <si>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</si>
  <si>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</si>
  <si>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</si>
  <si>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</si>
  <si>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</si>
  <si>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</si>
  <si>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</si>
  <si>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</si>
  <si>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</si>
  <si>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</si>
  <si>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</si>
  <si>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</si>
  <si>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</si>
  <si>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</si>
  <si>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</si>
  <si>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</si>
  <si>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</si>
  <si>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</si>
  <si>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</si>
  <si>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</si>
  <si>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</si>
  <si>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</si>
  <si>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</si>
  <si>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</si>
  <si>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</si>
  <si>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</si>
  <si>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</si>
  <si>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</si>
  <si>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</si>
  <si>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</si>
  <si>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</si>
  <si>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</si>
  <si>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</si>
  <si>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</si>
  <si>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</si>
  <si>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</si>
  <si>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</si>
  <si>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</si>
  <si>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</si>
  <si>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</si>
  <si>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</si>
  <si>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</si>
  <si>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</si>
  <si>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</si>
  <si>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</si>
  <si>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</si>
  <si>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</si>
  <si>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</si>
  <si>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</si>
  <si>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</si>
  <si>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</si>
  <si>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</si>
  <si>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</si>
  <si>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</si>
  <si>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</si>
  <si>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</si>
  <si>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</si>
  <si>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</si>
  <si>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</si>
  <si>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</si>
  <si>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</si>
  <si>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</si>
  <si>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</si>
  <si>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</si>
  <si>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</si>
  <si>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</si>
  <si>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</si>
  <si>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</si>
  <si>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</si>
  <si>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</si>
  <si>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</si>
  <si>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</si>
  <si>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</si>
  <si>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</si>
  <si>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</si>
  <si>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</si>
  <si>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</si>
  <si>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</si>
  <si>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</si>
  <si>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</si>
  <si>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</si>
  <si>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</si>
  <si>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</si>
  <si>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</si>
  <si>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</si>
  <si>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</si>
  <si>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</si>
  <si>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</si>
  <si>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</si>
  <si>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</si>
  <si>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</si>
  <si>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</si>
  <si>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</si>
  <si>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</si>
  <si>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</si>
  <si>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</si>
  <si>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</si>
  <si>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</si>
  <si>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</si>
  <si>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</si>
  <si>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</si>
  <si>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</si>
  <si>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</si>
  <si>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</si>
  <si>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</si>
  <si>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</si>
  <si>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</si>
  <si>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</si>
  <si>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</si>
  <si>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</si>
  <si>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</si>
  <si>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</si>
  <si>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</si>
  <si>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</si>
  <si>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</si>
  <si>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</si>
  <si>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</si>
  <si>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</si>
  <si>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</si>
  <si>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</si>
  <si>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</si>
  <si>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</si>
  <si>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</si>
  <si>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</si>
  <si>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</si>
  <si>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</si>
  <si>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</si>
  <si>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</si>
  <si>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</si>
  <si>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</si>
  <si>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</si>
  <si>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</si>
  <si>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</si>
  <si>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</si>
  <si>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</si>
  <si>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</si>
  <si>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</si>
  <si>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</si>
  <si>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</si>
  <si>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</si>
  <si>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</si>
  <si>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</si>
  <si>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</si>
  <si>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</si>
  <si>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</si>
  <si>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</si>
  <si>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</si>
  <si>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</si>
  <si>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</si>
  <si>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</si>
  <si>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</si>
  <si>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</si>
  <si>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</si>
  <si>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</si>
  <si>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</si>
  <si>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</si>
  <si>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</si>
  <si>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</si>
  <si>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</si>
  <si>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</si>
  <si>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</si>
  <si>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</si>
  <si>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</si>
  <si>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</si>
  <si>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</si>
  <si>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</si>
  <si>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</si>
  <si>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</si>
  <si>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</si>
  <si>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</si>
  <si>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</si>
  <si>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</si>
  <si>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</si>
  <si>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</si>
  <si>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</si>
  <si>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</si>
  <si>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</si>
  <si>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</si>
  <si>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</si>
  <si>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</si>
  <si>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</si>
  <si>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</si>
  <si>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</si>
  <si>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</si>
  <si>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</si>
  <si>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</si>
  <si>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</si>
  <si>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</si>
  <si>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</si>
  <si>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</si>
  <si>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</si>
  <si>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</si>
  <si>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</si>
  <si>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</si>
  <si>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</si>
  <si>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</si>
  <si>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</si>
  <si>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</si>
  <si>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</si>
  <si>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</si>
  <si>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</si>
  <si>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</si>
  <si>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</si>
  <si>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</si>
  <si>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</si>
  <si>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</si>
  <si>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</si>
  <si>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</si>
  <si>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</si>
  <si>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</si>
  <si>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</si>
  <si>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</si>
  <si>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</si>
  <si>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</si>
  <si>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</si>
  <si>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</si>
  <si>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</si>
  <si>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</si>
  <si>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</si>
  <si>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</si>
  <si>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</si>
  <si>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</si>
  <si>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</si>
  <si>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</si>
  <si>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</si>
  <si>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</si>
  <si>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</si>
  <si>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</si>
  <si>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</si>
  <si>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</si>
  <si>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</si>
  <si>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</si>
  <si>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</si>
  <si>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</si>
  <si>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</si>
  <si>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</si>
  <si>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</si>
  <si>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</si>
  <si>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</si>
  <si>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</si>
  <si>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</si>
  <si>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</si>
  <si>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</si>
  <si>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</si>
  <si>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</si>
  <si>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</si>
  <si>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</si>
  <si>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</si>
  <si>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</si>
  <si>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</si>
  <si>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</si>
  <si>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</si>
  <si>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</si>
  <si>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</si>
  <si>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</si>
  <si>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</si>
  <si>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</si>
  <si>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</si>
  <si>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</si>
  <si>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</si>
  <si>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</si>
  <si>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</si>
  <si>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</si>
  <si>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</si>
  <si>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</si>
  <si>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</si>
  <si>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</si>
  <si>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</si>
  <si>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</si>
  <si>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</si>
  <si>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</si>
  <si>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</si>
  <si>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</si>
  <si>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</si>
  <si>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</si>
  <si>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</si>
  <si>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</si>
  <si>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</si>
  <si>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</si>
  <si>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</si>
  <si>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</si>
  <si>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</si>
  <si>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</si>
  <si>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</si>
  <si>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</si>
  <si>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</si>
  <si>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</si>
  <si>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</si>
  <si>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</si>
  <si>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</si>
  <si>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</si>
  <si>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</si>
  <si>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</si>
  <si>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</si>
  <si>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</si>
  <si>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</si>
  <si>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</si>
  <si>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</si>
  <si>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</si>
  <si>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</si>
  <si>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</si>
  <si>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</si>
  <si>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</si>
  <si>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</si>
  <si>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</si>
  <si>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</si>
  <si>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</si>
  <si>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</si>
  <si>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</si>
  <si>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</si>
  <si>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</si>
  <si>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</si>
  <si>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</si>
  <si>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</si>
  <si>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</si>
  <si>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</si>
  <si>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</si>
  <si>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</si>
  <si>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</si>
  <si>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</si>
  <si>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</si>
  <si>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</si>
  <si>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</si>
  <si>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</si>
  <si>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</si>
  <si>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</si>
  <si>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</si>
  <si>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</si>
  <si>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</si>
  <si>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</si>
  <si>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</si>
  <si>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</si>
  <si>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</si>
  <si>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</si>
  <si>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</si>
  <si>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</si>
  <si>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</si>
  <si>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</si>
  <si>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</si>
  <si>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</si>
  <si>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</si>
  <si>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</si>
  <si>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</si>
  <si>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</si>
  <si>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</si>
  <si>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</si>
  <si>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</si>
  <si>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</si>
  <si>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</si>
  <si>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</si>
  <si>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</si>
  <si>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</si>
  <si>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</si>
  <si>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</si>
  <si>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</si>
  <si>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</si>
  <si>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</si>
  <si>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</si>
  <si>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</si>
  <si>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</si>
  <si>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</si>
  <si>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</si>
  <si>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</si>
  <si>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</si>
  <si>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</si>
  <si>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</si>
  <si>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</si>
  <si>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</si>
  <si>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</si>
  <si>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</si>
  <si>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</si>
  <si>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</si>
  <si>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</si>
  <si>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</si>
  <si>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</si>
  <si>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</si>
  <si>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</si>
  <si>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</si>
  <si>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</si>
  <si>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</si>
  <si>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</si>
  <si>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</si>
  <si>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</si>
  <si>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</si>
  <si>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</si>
  <si>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</si>
  <si>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</si>
  <si>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</si>
  <si>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</si>
  <si>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</si>
  <si>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</si>
  <si>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</si>
  <si>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</si>
  <si>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</si>
  <si>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</si>
  <si>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</si>
  <si>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</si>
  <si>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</si>
  <si>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</si>
  <si>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</si>
  <si>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</si>
  <si>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</si>
  <si>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</si>
  <si>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</si>
  <si>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</si>
  <si>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</si>
  <si>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</si>
  <si>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</si>
  <si>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</si>
  <si>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</si>
  <si>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</si>
  <si>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</si>
  <si>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</si>
  <si>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</si>
  <si>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</si>
  <si>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</si>
  <si>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</si>
  <si>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</si>
  <si>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</si>
  <si>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</si>
  <si>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</si>
  <si>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</si>
  <si>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</si>
  <si>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</si>
  <si>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</si>
  <si>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</si>
  <si>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</si>
  <si>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</si>
  <si>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</si>
  <si>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</si>
  <si>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</si>
  <si>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</si>
  <si>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</si>
  <si>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</si>
  <si>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</si>
  <si>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</si>
  <si>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</si>
  <si>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</si>
  <si>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</si>
  <si>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</si>
  <si>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</si>
  <si>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</si>
  <si>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</si>
  <si>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</si>
  <si>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</si>
  <si>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</si>
  <si>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</si>
  <si>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</si>
  <si>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</si>
  <si>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</si>
  <si>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</si>
  <si>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</si>
  <si>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</si>
  <si>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</si>
  <si>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</si>
  <si>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</si>
  <si>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</si>
  <si>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</si>
  <si>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</si>
  <si>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</si>
  <si>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</si>
  <si>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</si>
  <si>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</si>
  <si>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</si>
  <si>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</si>
  <si>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</si>
  <si>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</si>
  <si>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</si>
  <si>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</si>
  <si>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</si>
  <si>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</si>
  <si>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</si>
  <si>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</si>
  <si>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</si>
  <si>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</si>
  <si>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</si>
  <si>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</si>
  <si>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</si>
  <si>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</si>
  <si>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</si>
  <si>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</si>
  <si>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</si>
  <si>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</si>
  <si>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</si>
  <si>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</si>
  <si>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</si>
  <si>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</si>
  <si>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</si>
  <si>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</si>
  <si>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</si>
  <si>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</si>
  <si>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</si>
  <si>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</si>
  <si>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</si>
  <si>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</si>
  <si>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</si>
  <si>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</si>
  <si>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</si>
  <si>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</si>
  <si>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</si>
  <si>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</si>
  <si>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</si>
  <si>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</si>
  <si>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</si>
  <si>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</si>
  <si>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</si>
  <si>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</si>
  <si>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</si>
  <si>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</si>
  <si>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</si>
  <si>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</si>
  <si>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</si>
  <si>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</si>
  <si>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</si>
  <si>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</si>
  <si>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</si>
  <si>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</si>
  <si>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</si>
  <si>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</si>
  <si>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</si>
  <si>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</si>
  <si>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</si>
  <si>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</si>
  <si>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</si>
  <si>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</si>
  <si>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</si>
  <si>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</si>
  <si>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</si>
  <si>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</si>
  <si>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</si>
  <si>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</si>
  <si>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</si>
  <si>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</si>
  <si>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</si>
  <si>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</si>
  <si>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</si>
  <si>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</si>
  <si>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</si>
  <si>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</si>
  <si>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</si>
  <si>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</si>
  <si>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</si>
  <si>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</si>
  <si>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</si>
  <si>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</si>
  <si>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</si>
  <si>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</si>
  <si>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</si>
  <si>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</si>
  <si>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</si>
  <si>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</si>
  <si>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</si>
  <si>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</si>
  <si>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</si>
  <si>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</si>
  <si>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</si>
  <si>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</si>
  <si>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</si>
  <si>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</si>
  <si>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</si>
  <si>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</si>
  <si>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</si>
  <si>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</si>
  <si>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</si>
  <si>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</si>
  <si>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</si>
  <si>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</si>
  <si>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</si>
  <si>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</si>
  <si>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</si>
  <si>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</si>
  <si>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</si>
  <si>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</si>
  <si>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</si>
  <si>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</si>
  <si>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</si>
  <si>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</si>
  <si>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</si>
  <si>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</si>
  <si>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</si>
  <si>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</si>
  <si>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</si>
  <si>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</si>
  <si>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</si>
  <si>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</si>
  <si>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</si>
  <si>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</si>
  <si>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</si>
  <si>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</si>
  <si>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</si>
  <si>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</si>
  <si>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</si>
  <si>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</si>
  <si>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</si>
  <si>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</si>
  <si>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</si>
  <si>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</si>
  <si>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</si>
  <si>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</si>
  <si>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</si>
  <si>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</si>
  <si>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</si>
  <si>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</si>
  <si>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</si>
  <si>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</si>
  <si>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</si>
  <si>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</si>
  <si>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</si>
  <si>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</si>
  <si>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</si>
  <si>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</si>
  <si>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</si>
  <si>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</si>
  <si>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</si>
  <si>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</si>
  <si>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</si>
  <si>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</si>
  <si>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</si>
  <si>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</si>
  <si>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</si>
  <si>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</si>
  <si>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</si>
  <si>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</si>
  <si>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</si>
  <si>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</si>
  <si>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</si>
  <si>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</si>
  <si>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</si>
  <si>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</si>
  <si>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</si>
  <si>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</si>
  <si>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</si>
  <si>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</si>
  <si>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</si>
  <si>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</si>
  <si>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</si>
  <si>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</si>
  <si>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</si>
  <si>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</si>
  <si>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</si>
  <si>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</si>
  <si>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</si>
  <si>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</si>
  <si>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</si>
  <si>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</si>
  <si>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</si>
  <si>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</si>
  <si>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</si>
  <si>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</si>
  <si>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</si>
  <si>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</si>
  <si>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</si>
  <si>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</si>
  <si>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</si>
  <si>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</si>
  <si>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</si>
  <si>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</si>
  <si>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</si>
  <si>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</si>
  <si>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</si>
  <si>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</si>
  <si>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</si>
  <si>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</si>
  <si>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</si>
  <si>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</si>
  <si>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</si>
  <si>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</si>
  <si>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</si>
  <si>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</si>
  <si>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</si>
  <si>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</si>
  <si>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</si>
  <si>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</si>
  <si>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</si>
  <si>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</si>
  <si>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</si>
  <si>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</si>
  <si>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</si>
  <si>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</si>
  <si>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</si>
  <si>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</si>
  <si>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</si>
  <si>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</si>
  <si>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</si>
  <si>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</si>
  <si>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</si>
  <si>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</si>
  <si>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</si>
  <si>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</si>
  <si>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</si>
  <si>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</si>
  <si>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</si>
  <si>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</si>
  <si>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</si>
  <si>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</si>
  <si>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</si>
  <si>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</si>
  <si>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</si>
  <si>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</si>
  <si>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</si>
  <si>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</si>
  <si>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</si>
  <si>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</si>
  <si>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</si>
  <si>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</si>
  <si>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</si>
  <si>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</si>
  <si>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</si>
  <si>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</si>
  <si>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</si>
  <si>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</si>
  <si>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</si>
  <si>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</si>
  <si>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</si>
  <si>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</si>
  <si>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</si>
  <si>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</si>
  <si>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</si>
  <si>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</si>
  <si>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</si>
  <si>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</si>
  <si>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</si>
  <si>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</si>
  <si>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</si>
  <si>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</si>
  <si>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</si>
  <si>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</si>
  <si>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</si>
  <si>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</si>
  <si>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</si>
  <si>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</si>
  <si>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</si>
  <si>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</si>
  <si>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</si>
  <si>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</si>
  <si>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</si>
  <si>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</si>
  <si>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</si>
  <si>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</si>
  <si>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</si>
  <si>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</si>
  <si>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</si>
  <si>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</si>
  <si>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</si>
  <si>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</si>
  <si>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</si>
  <si>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</si>
  <si>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</si>
  <si>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</si>
  <si>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</si>
  <si>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</si>
  <si>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</si>
  <si>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</si>
  <si>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</si>
  <si>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</si>
  <si>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</si>
  <si>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</si>
  <si>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</si>
  <si>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</si>
  <si>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</si>
  <si>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</si>
  <si>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</si>
  <si>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</si>
  <si>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</si>
  <si>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</si>
  <si>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</si>
  <si>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</si>
  <si>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</si>
  <si>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</si>
  <si>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</si>
  <si>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</si>
  <si>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</si>
  <si>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</si>
  <si>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</si>
  <si>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</si>
  <si>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</si>
  <si>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</si>
  <si>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</si>
  <si>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</si>
  <si>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</si>
  <si>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</si>
  <si>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</si>
  <si>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</si>
  <si>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</si>
  <si>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</si>
  <si>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</si>
  <si>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</si>
  <si>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</si>
  <si>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</si>
  <si>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</si>
  <si>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</si>
  <si>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</si>
  <si>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</si>
  <si>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</si>
  <si>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</si>
  <si>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</si>
  <si>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</si>
  <si>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</si>
  <si>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</si>
  <si>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</si>
  <si>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</si>
  <si>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</si>
  <si>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</si>
  <si>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</si>
  <si>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</si>
  <si>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</si>
  <si>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</si>
  <si>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</si>
  <si>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</si>
  <si>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</si>
  <si>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</si>
  <si>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</si>
  <si>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</si>
  <si>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</si>
  <si>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</si>
  <si>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</si>
  <si>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</si>
  <si>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</si>
  <si>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</si>
  <si>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</si>
  <si>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</si>
  <si>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</si>
  <si>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</si>
  <si>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</si>
  <si>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</si>
  <si>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</si>
  <si>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</si>
  <si>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</si>
  <si>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</si>
  <si>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</si>
  <si>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</si>
  <si>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</si>
  <si>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</si>
  <si>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</si>
  <si>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</si>
  <si>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</si>
  <si>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</si>
  <si>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</si>
  <si>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</si>
  <si>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</si>
  <si>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</si>
  <si>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</si>
  <si>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</si>
  <si>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</si>
  <si>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</si>
  <si>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</si>
  <si>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</si>
  <si>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</si>
  <si>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</si>
  <si>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</si>
  <si>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</si>
  <si>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</si>
  <si>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</si>
  <si>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</si>
  <si>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</si>
  <si>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</si>
  <si>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</si>
  <si>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</si>
  <si>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</si>
  <si>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</si>
  <si>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</si>
  <si>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</si>
  <si>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</si>
  <si>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</si>
  <si>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</si>
  <si>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</si>
  <si>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</si>
  <si>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</si>
  <si>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</si>
  <si>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</si>
  <si>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</si>
  <si>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</si>
  <si>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</si>
  <si>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</si>
  <si>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</si>
  <si>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</si>
  <si>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</si>
  <si>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</si>
  <si>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</si>
  <si>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</si>
  <si>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</si>
  <si>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</si>
  <si>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</si>
  <si>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</si>
  <si>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</si>
  <si>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</si>
  <si>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</si>
  <si>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</si>
  <si>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</si>
  <si>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</si>
  <si>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</si>
  <si>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</si>
  <si>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</si>
  <si>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</si>
  <si>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</si>
  <si>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</si>
  <si>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</si>
  <si>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</si>
  <si>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</si>
  <si>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</si>
  <si>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</si>
  <si>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</si>
  <si>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</si>
  <si>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</si>
  <si>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</si>
  <si>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</si>
  <si>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</si>
  <si>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</si>
  <si>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</si>
  <si>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</si>
  <si>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</si>
  <si>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</si>
  <si>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</si>
  <si>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</si>
  <si>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</si>
  <si>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</si>
  <si>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</si>
  <si>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</si>
  <si>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</si>
  <si>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</si>
  <si>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</si>
  <si>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</si>
  <si>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</si>
  <si>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</si>
  <si>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</si>
  <si>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</si>
  <si>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</si>
  <si>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</si>
  <si>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</si>
  <si>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</si>
  <si>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</si>
  <si>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</si>
  <si>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</si>
  <si>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</si>
  <si>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</si>
  <si>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</si>
  <si>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</si>
  <si>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</si>
  <si>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</si>
  <si>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</si>
  <si>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</si>
  <si>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</si>
  <si>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</si>
  <si>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</si>
  <si>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</si>
  <si>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</si>
  <si>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</si>
  <si>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</si>
  <si>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</si>
  <si>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</si>
  <si>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</si>
  <si>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</si>
  <si>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</si>
  <si>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</si>
  <si>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</si>
  <si>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</si>
  <si>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</si>
  <si>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</si>
  <si>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</si>
  <si>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</si>
  <si>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</si>
  <si>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</si>
  <si>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</si>
  <si>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</si>
  <si>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</si>
  <si>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</si>
  <si>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</si>
  <si>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</si>
  <si>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</si>
  <si>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</si>
  <si>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</si>
  <si>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</si>
  <si>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</si>
  <si>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</si>
  <si>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</si>
  <si>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</si>
  <si>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</si>
  <si>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</si>
  <si>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</si>
  <si>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</si>
  <si>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</si>
  <si>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</si>
  <si>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</si>
  <si>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</si>
  <si>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</si>
  <si>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</si>
  <si>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</si>
  <si>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</si>
  <si>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</si>
  <si>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</si>
  <si>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</si>
  <si>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</si>
  <si>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</si>
  <si>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</si>
  <si>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</si>
  <si>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</si>
  <si>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</si>
  <si>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</si>
  <si>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</si>
  <si>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</si>
  <si>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</si>
  <si>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</si>
  <si>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</si>
  <si>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</si>
  <si>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</si>
  <si>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</si>
  <si>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</si>
  <si>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</si>
  <si>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</si>
  <si>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</si>
  <si>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</si>
  <si>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</si>
  <si>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</si>
  <si>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</si>
  <si>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</si>
  <si>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</si>
  <si>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</si>
  <si>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</si>
  <si>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</si>
  <si>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</si>
  <si>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</si>
  <si>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</si>
  <si>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</si>
  <si>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</si>
  <si>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</si>
  <si>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</si>
  <si>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</si>
  <si>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</si>
  <si>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</si>
  <si>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</si>
  <si>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</si>
  <si>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</si>
  <si>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</si>
  <si>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</si>
  <si>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</si>
  <si>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</si>
  <si>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</si>
  <si>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</si>
  <si>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</si>
  <si>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</si>
  <si>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</si>
  <si>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</si>
  <si>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</si>
  <si>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</si>
  <si>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</si>
  <si>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</si>
  <si>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</si>
  <si>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</si>
  <si>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</si>
  <si>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</si>
  <si>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</si>
  <si>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</si>
  <si>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</si>
  <si>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</si>
  <si>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</si>
  <si>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</si>
  <si>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</si>
  <si>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</si>
  <si>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</si>
  <si>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</si>
  <si>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</si>
  <si>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</si>
  <si>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</si>
  <si>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</si>
  <si>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</si>
  <si>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</si>
  <si>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</si>
  <si>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</si>
  <si>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</si>
  <si>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</si>
  <si>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</si>
  <si>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</si>
  <si>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</si>
  <si>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</si>
  <si>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</si>
  <si>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</si>
  <si>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</si>
  <si>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</si>
  <si>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</si>
  <si>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</si>
  <si>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</si>
  <si>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</si>
  <si>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</si>
  <si>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</si>
  <si>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</si>
  <si>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</si>
  <si>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</si>
  <si>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</si>
  <si>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</si>
  <si>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</si>
  <si>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</si>
  <si>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</si>
  <si>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</si>
  <si>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</si>
  <si>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</si>
  <si>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</si>
  <si>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</si>
  <si>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</si>
  <si>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</si>
  <si>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</si>
  <si>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</si>
  <si>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</si>
  <si>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</si>
  <si>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</si>
  <si>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</si>
  <si>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</si>
  <si>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</si>
  <si>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</si>
  <si>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</si>
  <si>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</si>
  <si>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</si>
  <si>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</si>
  <si>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</si>
  <si>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</si>
  <si>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</si>
  <si>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</si>
  <si>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</si>
  <si>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</si>
  <si>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</si>
  <si>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</si>
  <si>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</si>
  <si>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</si>
  <si>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</si>
  <si>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</si>
  <si>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</si>
  <si>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</si>
  <si>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</si>
  <si>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</si>
  <si>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</si>
  <si>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</si>
  <si>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</si>
  <si>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</si>
  <si>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</si>
  <si>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</si>
  <si>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</si>
  <si>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</si>
  <si>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</si>
  <si>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</si>
  <si>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</si>
  <si>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</si>
  <si>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</si>
  <si>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</si>
  <si>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</si>
  <si>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</si>
  <si>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</si>
  <si>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</si>
  <si>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</si>
  <si>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</si>
  <si>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</si>
  <si>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</si>
  <si>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</si>
  <si>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</si>
  <si>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</si>
  <si>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</si>
  <si>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</si>
  <si>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</si>
  <si>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</si>
  <si>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</si>
  <si>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</si>
  <si>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</si>
  <si>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</si>
  <si>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</si>
  <si>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</si>
  <si>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</si>
  <si>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</si>
  <si>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</si>
  <si>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</si>
  <si>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</si>
  <si>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</si>
  <si>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</si>
  <si>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</si>
  <si>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</si>
  <si>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</si>
  <si>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</si>
  <si>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</si>
  <si>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</si>
  <si>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</si>
  <si>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</si>
  <si>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</si>
  <si>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</si>
  <si>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</si>
  <si>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</si>
  <si>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</si>
  <si>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</si>
  <si>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</si>
  <si>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</si>
  <si>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</si>
  <si>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</si>
  <si>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</si>
  <si>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</si>
  <si>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</si>
  <si>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</si>
  <si>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</si>
  <si>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</si>
  <si>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</si>
  <si>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</si>
  <si>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</si>
  <si>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</si>
  <si>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</si>
  <si>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</si>
  <si>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</si>
  <si>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</si>
  <si>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</si>
  <si>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</si>
  <si>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</si>
  <si>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</si>
  <si>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</si>
  <si>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</si>
  <si>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</si>
  <si>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</si>
  <si>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</si>
  <si>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</si>
  <si>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</si>
  <si>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</si>
  <si>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</si>
  <si>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</si>
  <si>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</si>
  <si>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</si>
  <si>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</si>
  <si>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</si>
  <si>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</si>
  <si>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</si>
  <si>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</si>
  <si>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</si>
  <si>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</si>
  <si>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</si>
  <si>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</si>
  <si>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</si>
  <si>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</si>
  <si>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</si>
  <si>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</si>
  <si>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</si>
  <si>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</si>
  <si>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</si>
  <si>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</si>
  <si>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</si>
  <si>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</si>
  <si>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</si>
  <si>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</si>
  <si>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</si>
  <si>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</si>
  <si>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</si>
  <si>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</si>
  <si>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</si>
  <si>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</si>
  <si>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</si>
  <si>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</si>
  <si>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</si>
  <si>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</si>
  <si>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</si>
  <si>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</si>
  <si>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</si>
  <si>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</si>
  <si>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</si>
  <si>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</si>
  <si>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</si>
  <si>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</si>
  <si>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</si>
  <si>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</si>
  <si>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</si>
  <si>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</si>
  <si>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</si>
  <si>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</si>
  <si>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</si>
  <si>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</si>
  <si>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</si>
  <si>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</si>
  <si>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</si>
  <si>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</si>
  <si>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</si>
  <si>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</si>
  <si>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</si>
  <si>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</si>
  <si>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</si>
  <si>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</si>
  <si>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</si>
  <si>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</si>
  <si>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</si>
  <si>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</si>
  <si>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</si>
  <si>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</si>
  <si>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</si>
  <si>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</si>
  <si>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</si>
  <si>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</si>
  <si>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</si>
  <si>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</si>
  <si>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</si>
  <si>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</si>
  <si>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</si>
  <si>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</si>
  <si>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</si>
  <si>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</si>
  <si>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</si>
  <si>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</si>
  <si>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</si>
  <si>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</si>
  <si>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</si>
  <si>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</si>
  <si>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</si>
  <si>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</si>
  <si>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</si>
  <si>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</si>
  <si>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</si>
  <si>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</si>
  <si>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</si>
  <si>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</si>
  <si>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</si>
  <si>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</si>
  <si>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</si>
  <si>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</si>
  <si>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</si>
  <si>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</si>
  <si>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</si>
  <si>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</si>
  <si>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</si>
  <si>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</si>
  <si>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</si>
  <si>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</si>
  <si>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</si>
  <si>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</si>
  <si>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</si>
  <si>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</si>
  <si>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</si>
  <si>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</si>
  <si>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</si>
  <si>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</si>
  <si>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</si>
  <si>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</si>
  <si>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</si>
  <si>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</si>
  <si>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</si>
  <si>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</si>
  <si>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</si>
  <si>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</si>
  <si>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</si>
  <si>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</si>
  <si>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</si>
  <si>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</si>
  <si>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</si>
  <si>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</si>
  <si>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</si>
  <si>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</si>
  <si>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</si>
  <si>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</si>
  <si>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</si>
  <si>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</si>
  <si>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</si>
  <si>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</si>
  <si>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</si>
  <si>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</si>
  <si>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</si>
  <si>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</si>
  <si>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</si>
  <si>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</si>
  <si>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</si>
  <si>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</si>
  <si>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</si>
  <si>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</si>
  <si>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</si>
  <si>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</si>
  <si>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</si>
  <si>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</si>
  <si>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</si>
  <si>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</si>
  <si>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</si>
  <si>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</si>
  <si>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</si>
  <si>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</si>
  <si>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</si>
  <si>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</si>
  <si>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</si>
  <si>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</si>
  <si>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</si>
  <si>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</si>
  <si>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</si>
  <si>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</si>
  <si>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</si>
  <si>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</si>
  <si>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</si>
  <si>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</si>
  <si>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</si>
  <si>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</si>
  <si>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</si>
  <si>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</si>
  <si>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</si>
  <si>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</si>
  <si>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</si>
  <si>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</si>
  <si>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</si>
  <si>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</si>
  <si>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</si>
  <si>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</si>
  <si>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</si>
  <si>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</si>
  <si>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</si>
  <si>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</si>
  <si>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</si>
  <si>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</si>
  <si>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</si>
  <si>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</si>
  <si>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</si>
  <si>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</si>
  <si>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</si>
  <si>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</si>
  <si>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</si>
  <si>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</si>
  <si>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</si>
  <si>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</si>
  <si>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</si>
  <si>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</si>
  <si>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</si>
  <si>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</si>
  <si>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</si>
  <si>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</si>
  <si>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</si>
  <si>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</si>
  <si>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</si>
  <si>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</si>
  <si>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</si>
  <si>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</si>
  <si>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</si>
  <si>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</si>
  <si>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</si>
  <si>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</si>
  <si>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</si>
  <si>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</si>
  <si>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</si>
  <si>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</si>
  <si>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</si>
  <si>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</si>
  <si>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</si>
  <si>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</si>
  <si>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</si>
  <si>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</si>
  <si>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</si>
  <si>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</si>
  <si>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</si>
  <si>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</si>
  <si>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</si>
  <si>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</si>
  <si>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</si>
  <si>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</si>
  <si>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</si>
  <si>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</si>
  <si>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</si>
  <si>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</si>
  <si>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</si>
  <si>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</si>
  <si>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</si>
  <si>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</si>
  <si>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</si>
  <si>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</si>
  <si>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</si>
  <si>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</si>
  <si>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</si>
  <si>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</si>
  <si>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</si>
  <si>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</si>
  <si>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</si>
  <si>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</si>
  <si>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</si>
  <si>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</si>
  <si>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</si>
  <si>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</si>
  <si>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</si>
  <si>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</si>
  <si>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</si>
  <si>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</si>
  <si>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</si>
  <si>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</si>
  <si>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</si>
  <si>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</si>
  <si>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</si>
  <si>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</si>
  <si>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</si>
  <si>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</si>
  <si>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</si>
  <si>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</si>
  <si>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</si>
  <si>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</si>
  <si>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</si>
  <si>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</si>
  <si>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</si>
  <si>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</si>
  <si>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</si>
  <si>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</si>
  <si>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</si>
  <si>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</si>
  <si>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</si>
  <si>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</si>
  <si>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</si>
  <si>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</si>
  <si>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</si>
  <si>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</si>
  <si>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</si>
  <si>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</si>
  <si>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</si>
  <si>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</si>
  <si>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</si>
  <si>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</si>
  <si>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</si>
  <si>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</si>
  <si>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</si>
  <si>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</si>
  <si>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</si>
  <si>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</si>
  <si>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</si>
  <si>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</si>
  <si>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</si>
  <si>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</si>
  <si>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</si>
  <si>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</si>
  <si>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</si>
  <si>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</si>
  <si>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</si>
  <si>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</si>
  <si>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</si>
  <si>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</si>
  <si>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</si>
  <si>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</si>
  <si>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</si>
  <si>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</si>
  <si>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</si>
  <si>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</si>
  <si>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</si>
  <si>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</si>
  <si>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</si>
  <si>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</si>
  <si>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</si>
  <si>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</si>
  <si>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</si>
  <si>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</si>
  <si>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</si>
  <si>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</si>
  <si>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</si>
  <si>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</si>
  <si>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</si>
  <si>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</si>
  <si>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</si>
  <si>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</si>
  <si>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</si>
  <si>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</si>
  <si>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</si>
  <si>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</si>
  <si>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</si>
  <si>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</si>
  <si>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</si>
  <si>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</si>
  <si>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</si>
  <si>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</si>
  <si>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</si>
  <si>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</si>
  <si>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</si>
  <si>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</si>
  <si>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</si>
  <si>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</si>
  <si>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</si>
  <si>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</si>
  <si>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</si>
  <si>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</si>
  <si>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</si>
  <si>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</si>
  <si>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</si>
  <si>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</si>
  <si>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</si>
  <si>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</si>
  <si>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</si>
  <si>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</si>
  <si>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</si>
  <si>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</si>
  <si>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</si>
  <si>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</si>
  <si>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</si>
  <si>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</si>
  <si>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</si>
  <si>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</si>
  <si>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</si>
  <si>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</si>
  <si>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</si>
  <si>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</si>
  <si>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</si>
  <si>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</si>
  <si>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</si>
  <si>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</si>
  <si>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</si>
  <si>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</si>
  <si>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</si>
  <si>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</si>
  <si>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</si>
  <si>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</si>
  <si>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</si>
  <si>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</si>
  <si>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</si>
  <si>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</si>
  <si>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</si>
  <si>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</si>
  <si>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</si>
  <si>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</si>
  <si>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</si>
  <si>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</si>
  <si>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</si>
  <si>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</si>
  <si>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</si>
  <si>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</si>
  <si>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</si>
  <si>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</si>
  <si>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</si>
  <si>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</si>
  <si>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</si>
  <si>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</si>
  <si>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</si>
  <si>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</si>
  <si>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</si>
  <si>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</si>
  <si>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</si>
  <si>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</si>
  <si>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</si>
  <si>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</si>
  <si>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</si>
  <si>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</si>
  <si>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</si>
  <si>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</si>
  <si>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</si>
  <si>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</si>
  <si>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</si>
  <si>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</si>
  <si>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</si>
  <si>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</si>
  <si>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</si>
  <si>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</si>
  <si>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</si>
  <si>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</si>
  <si>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</si>
  <si>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</si>
  <si>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</si>
  <si>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</si>
  <si>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</si>
  <si>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</si>
  <si>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</si>
  <si>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</si>
  <si>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</si>
  <si>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</si>
  <si>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</si>
  <si>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</si>
  <si>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</si>
  <si>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</si>
  <si>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</si>
  <si>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</si>
  <si>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</si>
  <si>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</si>
  <si>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</si>
  <si>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</si>
  <si>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</si>
  <si>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</si>
  <si>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</si>
  <si>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</si>
  <si>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</si>
  <si>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</si>
  <si>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</si>
  <si>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</si>
  <si>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</si>
  <si>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</si>
  <si>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</si>
  <si>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</si>
  <si>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</si>
  <si>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</si>
  <si>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</si>
  <si>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</si>
  <si>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</si>
  <si>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</si>
  <si>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</si>
  <si>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</si>
  <si>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</si>
  <si>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</si>
  <si>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</si>
  <si>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</si>
  <si>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</si>
  <si>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</si>
  <si>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</si>
  <si>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</si>
  <si>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</si>
  <si>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</si>
  <si>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</si>
  <si>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</si>
  <si>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</si>
  <si>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</si>
  <si>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</si>
  <si>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</si>
  <si>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</si>
  <si>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</si>
  <si>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</si>
  <si>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</si>
  <si>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</si>
  <si>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</si>
  <si>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</si>
  <si>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</si>
  <si>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</si>
  <si>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</si>
  <si>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</si>
  <si>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</si>
  <si>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</si>
  <si>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</si>
  <si>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</si>
  <si>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</si>
  <si>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</si>
  <si>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</si>
  <si>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</si>
  <si>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</si>
  <si>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</si>
  <si>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</si>
  <si>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</si>
  <si>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</si>
  <si>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</si>
  <si>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</si>
  <si>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</si>
  <si>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</si>
  <si>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</si>
  <si>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</si>
  <si>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</si>
  <si>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</si>
  <si>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</si>
  <si>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</si>
  <si>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</si>
  <si>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</si>
  <si>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</si>
  <si>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</si>
  <si>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</si>
  <si>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</si>
  <si>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</si>
  <si>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</si>
  <si>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</si>
  <si>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</si>
  <si>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</si>
  <si>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</si>
  <si>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</si>
  <si>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</si>
  <si>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</si>
  <si>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</si>
  <si>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</si>
  <si>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</si>
  <si>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</si>
  <si>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</si>
  <si>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</si>
  <si>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</si>
  <si>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</si>
  <si>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</si>
  <si>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</si>
  <si>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</si>
  <si>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</si>
  <si>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</si>
  <si>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</si>
  <si>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</si>
  <si>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</si>
  <si>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</si>
  <si>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</si>
  <si>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</si>
  <si>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</si>
  <si>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</si>
  <si>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</si>
  <si>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</si>
  <si>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</si>
  <si>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</si>
  <si>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</si>
  <si>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</si>
  <si>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</si>
  <si>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</si>
  <si>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</si>
  <si>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</si>
  <si>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</si>
  <si>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</si>
  <si>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</si>
  <si>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</si>
  <si>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</si>
  <si>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</si>
  <si>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</si>
  <si>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</si>
  <si>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</si>
  <si>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</si>
  <si>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</si>
  <si>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</si>
  <si>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</si>
  <si>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</si>
  <si>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</si>
  <si>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</si>
  <si>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</si>
  <si>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</si>
  <si>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</si>
  <si>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</si>
  <si>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</si>
  <si>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</si>
  <si>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</si>
  <si>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</si>
  <si>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</si>
  <si>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</si>
  <si>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</si>
  <si>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</si>
  <si>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</si>
  <si>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</si>
  <si>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</si>
  <si>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</si>
  <si>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</si>
  <si>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</si>
  <si>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</si>
  <si>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</si>
  <si>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</si>
  <si>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</si>
  <si>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</si>
  <si>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</si>
  <si>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</si>
  <si>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</si>
  <si>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</si>
  <si>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</si>
  <si>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</si>
  <si>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</si>
  <si>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</si>
  <si>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</si>
  <si>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</si>
  <si>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</si>
  <si>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</si>
  <si>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</si>
  <si>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</si>
  <si>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</si>
  <si>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</si>
  <si>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</si>
  <si>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</si>
  <si>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</si>
  <si>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</si>
  <si>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</si>
  <si>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</si>
  <si>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</si>
  <si>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</si>
  <si>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</si>
  <si>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</si>
  <si>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</si>
  <si>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</si>
  <si>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</si>
  <si>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</si>
  <si>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</si>
  <si>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</si>
  <si>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</si>
  <si>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</si>
  <si>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</si>
  <si>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</si>
  <si>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</si>
  <si>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</si>
  <si>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</si>
  <si>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</si>
  <si>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</si>
  <si>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</si>
  <si>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</si>
  <si>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</si>
  <si>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</si>
  <si>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</si>
  <si>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</si>
  <si>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</si>
  <si>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</si>
  <si>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</si>
  <si>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</si>
  <si>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</si>
  <si>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</si>
  <si>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</si>
  <si>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</si>
  <si>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</si>
  <si>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</si>
  <si>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</si>
  <si>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</si>
  <si>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</si>
  <si>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</si>
  <si>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</si>
  <si>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</si>
  <si>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</si>
  <si>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</si>
  <si>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</si>
  <si>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</si>
  <si>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</si>
  <si>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</si>
  <si>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</si>
  <si>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</si>
  <si>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</si>
  <si>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</si>
  <si>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</si>
  <si>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</si>
  <si>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</si>
  <si>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</si>
  <si>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</si>
  <si>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</si>
  <si>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</si>
  <si>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</si>
  <si>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</si>
  <si>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</si>
  <si>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</si>
  <si>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</si>
  <si>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</si>
  <si>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</si>
  <si>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</si>
  <si>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</si>
  <si>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</si>
  <si>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</si>
  <si>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</si>
  <si>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</si>
  <si>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</si>
  <si>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</si>
  <si>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</si>
  <si>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</si>
  <si>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</si>
  <si>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</si>
  <si>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</si>
  <si>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</si>
  <si>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</si>
  <si>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</si>
  <si>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</si>
  <si>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</si>
  <si>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</si>
  <si>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</si>
  <si>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</si>
  <si>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</si>
  <si>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</si>
  <si>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</si>
  <si>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</si>
  <si>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</si>
  <si>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</si>
  <si>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</si>
  <si>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</si>
  <si>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</si>
  <si>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</si>
  <si>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</si>
  <si>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</si>
  <si>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</si>
  <si>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</si>
  <si>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</si>
  <si>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</si>
  <si>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</si>
  <si>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</si>
  <si>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</si>
  <si>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</si>
  <si>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</si>
  <si>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</si>
  <si>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</si>
  <si>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</si>
  <si>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</si>
  <si>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</si>
  <si>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</si>
  <si>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</si>
  <si>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</si>
  <si>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</si>
  <si>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</si>
  <si>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</si>
  <si>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</si>
  <si>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</si>
  <si>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</si>
  <si>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</si>
  <si>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</si>
  <si>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</si>
  <si>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</si>
  <si>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</si>
  <si>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</si>
  <si>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</si>
  <si>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</si>
  <si>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</si>
  <si>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</si>
  <si>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</si>
  <si>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</si>
  <si>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</si>
  <si>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</si>
  <si>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</si>
  <si>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</si>
  <si>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</si>
  <si>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</si>
  <si>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</si>
  <si>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</si>
  <si>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</si>
  <si>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</si>
  <si>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</si>
  <si>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</si>
  <si>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</si>
  <si>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</si>
  <si>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</si>
  <si>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</si>
  <si>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</si>
  <si>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</si>
  <si>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</si>
  <si>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</si>
  <si>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</si>
  <si>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</si>
  <si>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</si>
  <si>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</si>
  <si>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</si>
  <si>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</si>
  <si>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</si>
  <si>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</si>
  <si>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</si>
  <si>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</si>
  <si>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</si>
  <si>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</si>
  <si>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</si>
  <si>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</si>
  <si>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</si>
  <si>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</si>
  <si>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</si>
  <si>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</si>
  <si>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</si>
  <si>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</si>
  <si>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</si>
  <si>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</si>
  <si>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</si>
  <si>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</si>
  <si>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</si>
  <si>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</si>
  <si>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</si>
  <si>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</si>
  <si>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</si>
  <si>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</si>
  <si>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</si>
  <si>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</si>
  <si>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</si>
  <si>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</si>
  <si>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</si>
  <si>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</si>
  <si>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</si>
  <si>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</si>
  <si>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</si>
  <si>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</si>
  <si>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</si>
  <si>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</si>
  <si>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</si>
  <si>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</si>
  <si>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</si>
  <si>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</si>
  <si>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</si>
  <si>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</si>
  <si>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</si>
  <si>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</si>
  <si>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</si>
  <si>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</si>
  <si>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</si>
  <si>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</si>
  <si>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</si>
  <si>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</si>
  <si>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</si>
  <si>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</si>
  <si>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</si>
  <si>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</si>
  <si>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</si>
  <si>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</si>
  <si>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</si>
  <si>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</si>
  <si>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</si>
  <si>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</si>
  <si>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</si>
  <si>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</si>
  <si>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</si>
  <si>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</si>
  <si>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</si>
  <si>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</si>
  <si>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</si>
  <si>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</si>
  <si>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</si>
  <si>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</si>
  <si>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</si>
  <si>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</si>
  <si>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</si>
  <si>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</si>
  <si>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</si>
  <si>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</si>
  <si>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</si>
  <si>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</si>
  <si>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</si>
  <si>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</si>
  <si>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</si>
  <si>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</si>
  <si>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</si>
  <si>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</si>
  <si>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</si>
  <si>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</si>
  <si>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</si>
  <si>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</si>
  <si>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</si>
  <si>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</si>
  <si>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</si>
  <si>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</si>
  <si>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</si>
  <si>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</si>
  <si>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</si>
  <si>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</si>
  <si>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</si>
  <si>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</si>
  <si>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</si>
  <si>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</si>
  <si>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</si>
  <si>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</si>
  <si>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</si>
  <si>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</si>
  <si>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</si>
  <si>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</si>
  <si>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</si>
  <si>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</si>
  <si>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</si>
  <si>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</si>
  <si>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</si>
  <si>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</si>
  <si>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</si>
  <si>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</si>
  <si>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</si>
  <si>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</si>
  <si>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</si>
  <si>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</si>
  <si>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</si>
  <si>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</si>
  <si>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</si>
  <si>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</si>
  <si>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</si>
  <si>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</si>
  <si>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</si>
  <si>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</si>
  <si>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</si>
  <si>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</si>
  <si>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</si>
  <si>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</si>
  <si>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</si>
  <si>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</si>
  <si>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</si>
  <si>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</si>
  <si>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</si>
  <si>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</si>
  <si>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</si>
  <si>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</si>
  <si>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</si>
  <si>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</si>
  <si>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</si>
  <si>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</si>
  <si>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</si>
  <si>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</si>
  <si>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</si>
  <si>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</si>
  <si>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</si>
  <si>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</si>
  <si>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</si>
  <si>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</si>
  <si>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</si>
  <si>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</si>
  <si>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</si>
  <si>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</si>
  <si>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</si>
  <si>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</si>
  <si>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</si>
  <si>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</si>
  <si>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</si>
  <si>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</si>
  <si>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</si>
  <si>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</si>
  <si>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</si>
  <si>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</si>
  <si>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</si>
  <si>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</si>
  <si>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</si>
  <si>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</si>
  <si>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</si>
  <si>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</si>
  <si>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</si>
  <si>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</si>
  <si>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</si>
  <si>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</si>
  <si>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</si>
  <si>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</si>
  <si>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</si>
  <si>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</si>
  <si>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</si>
  <si>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</si>
  <si>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</si>
  <si>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</si>
  <si>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</si>
  <si>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</si>
  <si>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</si>
  <si>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</si>
  <si>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</si>
  <si>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</si>
  <si>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</si>
  <si>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</si>
  <si>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</si>
  <si>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</si>
  <si>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</si>
  <si>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</si>
  <si>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</si>
  <si>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</si>
  <si>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</si>
  <si>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</si>
  <si>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</si>
  <si>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</si>
  <si>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</si>
  <si>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</si>
  <si>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</si>
  <si>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</si>
  <si>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</si>
  <si>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</si>
  <si>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</si>
  <si>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</si>
  <si>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</si>
  <si>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</si>
  <si>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</si>
  <si>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</si>
  <si>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</si>
  <si>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</si>
  <si>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</si>
  <si>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</si>
  <si>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</si>
  <si>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</si>
  <si>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</si>
  <si>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</si>
  <si>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</si>
  <si>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</si>
  <si>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</si>
  <si>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</si>
  <si>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</si>
  <si>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</si>
  <si>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</si>
  <si>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</si>
  <si>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</si>
  <si>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</si>
  <si>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</si>
  <si>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</si>
  <si>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</si>
  <si>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</si>
  <si>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</si>
  <si>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</si>
  <si>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</si>
  <si>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</si>
  <si>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</si>
  <si>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</si>
  <si>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</si>
  <si>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</si>
  <si>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</si>
  <si>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</si>
  <si>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</si>
  <si>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</si>
  <si>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</si>
  <si>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</si>
  <si>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</si>
  <si>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</si>
  <si>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</si>
  <si>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</si>
  <si>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</si>
  <si>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</si>
  <si>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</si>
  <si>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</si>
  <si>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</si>
  <si>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</si>
  <si>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</si>
  <si>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</si>
  <si>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</si>
  <si>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</si>
  <si>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</si>
  <si>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</si>
  <si>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</si>
  <si>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</si>
  <si>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</si>
  <si>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</si>
  <si>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</si>
  <si>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</si>
  <si>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</si>
  <si>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</si>
  <si>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</si>
  <si>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</si>
  <si>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</si>
  <si>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</si>
  <si>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</si>
  <si>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</si>
  <si>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</si>
  <si>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</si>
  <si>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</si>
  <si>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</si>
  <si>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</si>
  <si>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</si>
  <si>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</si>
  <si>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</si>
  <si>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</si>
  <si>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</si>
  <si>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</si>
  <si>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</si>
  <si>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</si>
  <si>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</si>
  <si>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</si>
  <si>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</si>
  <si>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</si>
  <si>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</si>
  <si>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</si>
  <si>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</si>
  <si>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</si>
  <si>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</si>
  <si>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</si>
  <si>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</si>
  <si>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</si>
  <si>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</si>
  <si>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</si>
  <si>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</si>
  <si>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</si>
  <si>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</si>
  <si>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</si>
  <si>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</si>
  <si>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</si>
  <si>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</si>
  <si>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</si>
  <si>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</si>
  <si>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</si>
  <si>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</si>
  <si>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</si>
  <si>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</si>
  <si>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</si>
  <si>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</si>
  <si>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</si>
  <si>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</si>
  <si>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</si>
  <si>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</si>
  <si>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</si>
  <si>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</si>
  <si>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</si>
  <si>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</si>
  <si>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</si>
  <si>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</si>
  <si>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</si>
  <si>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</si>
  <si>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</si>
  <si>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</si>
  <si>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</si>
  <si>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</si>
  <si>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</si>
  <si>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</si>
  <si>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</si>
  <si>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</si>
  <si>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</si>
  <si>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</si>
  <si>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</si>
  <si>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</si>
  <si>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</si>
  <si>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</si>
  <si>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</si>
  <si>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</si>
  <si>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</si>
  <si>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</si>
  <si>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</si>
  <si>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</si>
  <si>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</si>
  <si>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</si>
  <si>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</si>
  <si>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</si>
  <si>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</si>
  <si>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</si>
  <si>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</si>
  <si>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</si>
  <si>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</si>
  <si>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</si>
  <si>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</si>
  <si>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</si>
  <si>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</si>
  <si>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</si>
  <si>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</si>
  <si>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</si>
  <si>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</si>
  <si>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</si>
  <si>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</si>
  <si>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</si>
  <si>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</si>
  <si>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</si>
  <si>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</si>
  <si>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</si>
  <si>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</si>
  <si>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</si>
  <si>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</si>
  <si>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</si>
  <si>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</si>
  <si>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</si>
  <si>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</si>
  <si>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</si>
  <si>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</si>
  <si>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</si>
  <si>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</si>
  <si>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</si>
  <si>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</si>
  <si>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</si>
  <si>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</si>
  <si>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</si>
  <si>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</si>
  <si>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</si>
  <si>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</si>
  <si>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</si>
  <si>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</si>
  <si>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</si>
  <si>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</si>
  <si>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</si>
  <si>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</si>
  <si>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</si>
  <si>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</si>
  <si>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</si>
  <si>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</si>
  <si>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</si>
  <si>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</si>
  <si>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</si>
  <si>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</si>
  <si>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</si>
  <si>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</si>
  <si>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</si>
  <si>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</si>
  <si>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</si>
  <si>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</si>
  <si>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</si>
  <si>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</si>
  <si>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</si>
  <si>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</si>
  <si>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</si>
  <si>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</si>
  <si>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</si>
  <si>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</si>
  <si>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</si>
  <si>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</si>
  <si>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</si>
  <si>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</si>
  <si>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</si>
  <si>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</si>
  <si>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</si>
  <si>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</si>
  <si>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</si>
  <si>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</si>
  <si>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</si>
  <si>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</si>
  <si>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</si>
  <si>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</si>
  <si>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</si>
  <si>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</si>
  <si>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</si>
  <si>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</si>
  <si>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</si>
  <si>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</si>
  <si>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</si>
  <si>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</si>
  <si>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</si>
  <si>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</si>
  <si>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</si>
  <si>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</si>
  <si>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</si>
  <si>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</si>
  <si>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</si>
  <si>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</si>
  <si>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</si>
  <si>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</si>
  <si>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</si>
  <si>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</si>
  <si>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</si>
  <si>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</si>
  <si>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</si>
  <si>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</si>
  <si>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</si>
  <si>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</si>
  <si>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</si>
  <si>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</si>
  <si>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</si>
  <si>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</si>
  <si>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</si>
  <si>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</si>
  <si>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</si>
  <si>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</si>
  <si>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</si>
  <si>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</si>
  <si>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</si>
  <si>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</si>
  <si>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</si>
  <si>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</si>
  <si>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</si>
  <si>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</si>
  <si>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</si>
  <si>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</si>
  <si>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</si>
  <si>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</si>
  <si>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</si>
  <si>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</si>
  <si>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</si>
  <si>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</si>
  <si>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</si>
  <si>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</si>
  <si>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</si>
  <si>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</si>
  <si>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</si>
  <si>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</si>
  <si>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</si>
  <si>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</si>
  <si>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</si>
  <si>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</si>
  <si>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</si>
  <si>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</si>
  <si>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</si>
  <si>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</si>
  <si>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</si>
  <si>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</si>
  <si>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</si>
  <si>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</si>
  <si>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</si>
  <si>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</si>
  <si>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</si>
  <si>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</si>
  <si>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</si>
  <si>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</si>
  <si>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</si>
  <si>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</si>
  <si>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</si>
  <si>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</si>
  <si>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</si>
  <si>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</si>
  <si>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</si>
  <si>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</si>
  <si>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</si>
  <si>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</si>
  <si>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</si>
  <si>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</si>
  <si>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</si>
  <si>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</si>
  <si>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</si>
  <si>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</si>
  <si>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</si>
  <si>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</si>
  <si>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</si>
  <si>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</si>
  <si>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</si>
  <si>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</si>
  <si>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</si>
  <si>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</si>
  <si>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</si>
  <si>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</si>
  <si>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</si>
  <si>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</si>
  <si>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</si>
  <si>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</si>
  <si>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</si>
  <si>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</si>
  <si>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</si>
  <si>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</si>
  <si>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</si>
  <si>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</si>
  <si>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</si>
  <si>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</si>
  <si>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</si>
  <si>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</si>
  <si>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</si>
  <si>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</si>
  <si>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</si>
  <si>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</si>
  <si>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</si>
  <si>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</si>
  <si>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</si>
  <si>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</si>
  <si>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</si>
  <si>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</si>
  <si>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</si>
  <si>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</si>
  <si>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</si>
  <si>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</si>
  <si>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</si>
  <si>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</si>
  <si>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</si>
  <si>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</si>
  <si>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</si>
  <si>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</si>
  <si>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</si>
  <si>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</si>
  <si>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</si>
  <si>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</si>
  <si>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</si>
  <si>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</si>
  <si>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</si>
  <si>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</si>
  <si>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</si>
  <si>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</si>
  <si>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</si>
  <si>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</si>
  <si>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</si>
  <si>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</si>
  <si>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</si>
  <si>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</si>
  <si>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</si>
  <si>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</si>
  <si>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</si>
  <si>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</si>
  <si>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</si>
  <si>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</si>
  <si>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</si>
  <si>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</si>
  <si>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</si>
  <si>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</si>
  <si>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</si>
  <si>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</si>
  <si>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</si>
  <si>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</si>
  <si>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</si>
  <si>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</si>
  <si>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</si>
  <si>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</si>
  <si>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</si>
  <si>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</si>
  <si>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</si>
  <si>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</si>
  <si>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</si>
  <si>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</si>
  <si>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</si>
  <si>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</si>
  <si>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</si>
  <si>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</si>
  <si>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</si>
  <si>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</si>
  <si>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</si>
  <si>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</si>
  <si>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</si>
  <si>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</si>
  <si>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</si>
  <si>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</si>
  <si>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</si>
  <si>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</si>
  <si>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</si>
  <si>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</si>
  <si>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</si>
  <si>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</si>
  <si>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</si>
  <si>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</si>
  <si>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</si>
  <si>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</si>
  <si>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</si>
  <si>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</si>
  <si>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</si>
  <si>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</si>
  <si>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</si>
  <si>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</si>
  <si>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</si>
  <si>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</si>
  <si>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</si>
  <si>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</si>
  <si>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</si>
  <si>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</si>
  <si>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</si>
  <si>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</si>
  <si>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</si>
  <si>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</si>
  <si>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</si>
  <si>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</si>
  <si>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</si>
  <si>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</si>
  <si>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</si>
  <si>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</si>
  <si>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</si>
  <si>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</si>
  <si>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</si>
  <si>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</si>
  <si>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</si>
  <si>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</si>
  <si>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</si>
  <si>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</si>
  <si>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</si>
  <si>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</si>
  <si>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</si>
  <si>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</si>
  <si>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</si>
  <si>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</si>
  <si>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</si>
  <si>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</si>
  <si>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</si>
  <si>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</si>
  <si>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</si>
  <si>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</si>
  <si>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</si>
  <si>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</si>
  <si>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</si>
  <si>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</si>
  <si>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</si>
  <si>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</si>
  <si>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</si>
  <si>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</si>
  <si>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</si>
  <si>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</si>
  <si>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</si>
  <si>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</si>
  <si>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</si>
  <si>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</si>
  <si>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</si>
  <si>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</si>
  <si>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</si>
  <si>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</si>
  <si>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</si>
  <si>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</si>
  <si>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</si>
  <si>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</si>
  <si>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</si>
  <si>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</si>
  <si>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</si>
  <si>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</si>
  <si>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</si>
  <si>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</si>
  <si>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</si>
  <si>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</si>
  <si>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</si>
  <si>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</si>
  <si>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</si>
  <si>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</si>
  <si>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</si>
  <si>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</si>
  <si>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</si>
  <si>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</si>
  <si>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</si>
  <si>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</si>
  <si>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</si>
  <si>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</si>
  <si>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</si>
  <si>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</si>
  <si>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</si>
  <si>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</si>
  <si>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</si>
  <si>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</si>
  <si>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</si>
  <si>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</si>
  <si>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</si>
  <si>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</si>
  <si>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</si>
  <si>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</si>
  <si>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</si>
  <si>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</si>
  <si>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</si>
  <si>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</si>
  <si>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</si>
  <si>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</si>
  <si>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</si>
  <si>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</si>
  <si>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</si>
  <si>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</si>
  <si>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</si>
  <si>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</si>
  <si>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</si>
  <si>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</si>
  <si>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</si>
  <si>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</si>
  <si>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</si>
  <si>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</si>
  <si>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</si>
  <si>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</si>
  <si>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</si>
  <si>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</si>
  <si>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</si>
  <si>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</si>
  <si>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</si>
  <si>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</si>
  <si>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</si>
  <si>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</si>
  <si>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</si>
  <si>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</si>
  <si>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</si>
  <si>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</si>
  <si>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</si>
  <si>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</si>
  <si>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</si>
  <si>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</si>
  <si>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</si>
  <si>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</si>
  <si>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</si>
  <si>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</si>
  <si>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</si>
  <si>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</si>
  <si>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</si>
  <si>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</si>
  <si>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</si>
  <si>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</si>
  <si>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</si>
  <si>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</si>
  <si>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</si>
  <si>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</si>
  <si>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</si>
  <si>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</si>
  <si>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</si>
  <si>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</si>
  <si>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</si>
  <si>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</si>
  <si>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</si>
  <si>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</si>
  <si>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</si>
  <si>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</si>
  <si>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</si>
  <si>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</si>
  <si>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</si>
  <si>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</si>
  <si>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</si>
  <si>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</si>
  <si>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</si>
  <si>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</si>
  <si>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</si>
  <si>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</si>
  <si>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</si>
  <si>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</si>
  <si>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</si>
  <si>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</si>
  <si>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</si>
  <si>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</si>
  <si>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</si>
  <si>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</si>
  <si>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</si>
  <si>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</si>
  <si>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</si>
  <si>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</si>
  <si>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</si>
  <si>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</si>
  <si>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</si>
  <si>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</si>
  <si>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</si>
  <si>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</si>
  <si>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</si>
  <si>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</si>
  <si>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</si>
  <si>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</si>
  <si>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</si>
  <si>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</si>
  <si>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</si>
  <si>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</si>
  <si>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</si>
  <si>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</si>
  <si>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</si>
  <si>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</si>
  <si>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</si>
  <si>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</si>
  <si>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</si>
  <si>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</si>
  <si>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</si>
  <si>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</si>
  <si>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</si>
  <si>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</si>
  <si>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</si>
  <si>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</si>
  <si>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</si>
  <si>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</si>
  <si>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</si>
  <si>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</si>
  <si>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</si>
  <si>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</si>
  <si>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</si>
  <si>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</si>
  <si>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</si>
  <si>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</si>
  <si>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</si>
  <si>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</si>
  <si>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</si>
  <si>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</si>
  <si>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</si>
  <si>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</si>
  <si>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</si>
  <si>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</si>
  <si>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</si>
  <si>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</si>
  <si>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</si>
  <si>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</si>
  <si>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</si>
  <si>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</si>
  <si>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</si>
  <si>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</si>
  <si>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</si>
  <si>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</si>
  <si>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</si>
  <si>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</si>
  <si>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</si>
  <si>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</si>
  <si>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</si>
  <si>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</si>
  <si>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</si>
  <si>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</si>
  <si>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</si>
  <si>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</si>
  <si>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</si>
  <si>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</si>
  <si>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</si>
  <si>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</si>
  <si>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</si>
  <si>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</si>
  <si>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</si>
  <si>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</si>
  <si>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</si>
  <si>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</si>
  <si>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</si>
  <si>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</si>
  <si>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</si>
  <si>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</si>
  <si>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</si>
  <si>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</si>
  <si>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</si>
  <si>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</si>
  <si>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</si>
  <si>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</si>
  <si>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</si>
  <si>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</si>
  <si>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</si>
  <si>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</si>
  <si>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</si>
  <si>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</si>
  <si>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</si>
  <si>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</si>
  <si>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</si>
  <si>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</si>
  <si>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</si>
  <si>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</si>
  <si>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</si>
  <si>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</si>
  <si>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</si>
  <si>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</si>
  <si>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</si>
  <si>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</si>
  <si>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</si>
  <si>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</si>
  <si>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</si>
  <si>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</si>
  <si>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</si>
  <si>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</si>
  <si>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</si>
  <si>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</si>
  <si>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</si>
  <si>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</si>
  <si>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</si>
  <si>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</si>
  <si>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</si>
  <si>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</si>
  <si>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</si>
  <si>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</si>
  <si>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</si>
  <si>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</si>
  <si>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</si>
  <si>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</si>
  <si>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</si>
  <si>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</si>
  <si>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</si>
  <si>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</si>
  <si>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</si>
  <si>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</si>
  <si>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</si>
  <si>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</si>
  <si>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</si>
  <si>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</si>
  <si>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</si>
  <si>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</si>
  <si>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</si>
  <si>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</si>
  <si>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</si>
  <si>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</si>
  <si>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</si>
  <si>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</si>
  <si>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</si>
  <si>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</si>
  <si>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</si>
  <si>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</si>
  <si>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</si>
  <si>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</si>
  <si>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</si>
  <si>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</si>
  <si>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</si>
  <si>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Competitive Round</t>
  </si>
  <si>
    <t>Jay Ronca</t>
  </si>
  <si>
    <t>Vice President</t>
  </si>
  <si>
    <t>1544 South Main Street</t>
  </si>
  <si>
    <t>Fyffe</t>
  </si>
  <si>
    <t>jronca@thevantagegroup.biz</t>
  </si>
  <si>
    <t>The Villas at Stanford</t>
  </si>
  <si>
    <t>2774 Sardis Street N.W.</t>
  </si>
  <si>
    <t>No</t>
  </si>
  <si>
    <t>City of Kennesaw</t>
  </si>
  <si>
    <t>Mark Mathews</t>
  </si>
  <si>
    <t>Mayor</t>
  </si>
  <si>
    <t>2529 J.O. Stephenson Ave.</t>
  </si>
  <si>
    <t>http://www.kennesaw-ga.gov/government/mayor</t>
  </si>
  <si>
    <t>mmathews@kennesaw-ga.gov</t>
  </si>
  <si>
    <t>HFOP</t>
  </si>
  <si>
    <t>The Villas at Stanford, L.P.</t>
  </si>
  <si>
    <t>Lowell R. Barron, II</t>
  </si>
  <si>
    <t>President of GP</t>
  </si>
  <si>
    <t>To be applied for</t>
  </si>
  <si>
    <t>lbarron@thevantagegroup.biz</t>
  </si>
  <si>
    <t>Vantage Partners 2013 GA, LLC</t>
  </si>
  <si>
    <t>Vantage Development, LLC</t>
  </si>
  <si>
    <t>President</t>
  </si>
  <si>
    <t>Fyffe Construction Company, Inc.</t>
  </si>
  <si>
    <t xml:space="preserve">Fyffe </t>
  </si>
  <si>
    <t>Jill Goldstein</t>
  </si>
  <si>
    <t>1650 Farnam Street</t>
  </si>
  <si>
    <t>Partner</t>
  </si>
  <si>
    <t>jill.goldstein@kutakrock.com</t>
  </si>
  <si>
    <t>David Smith</t>
  </si>
  <si>
    <t>3421 Rainbow Parkway</t>
  </si>
  <si>
    <t>Principal, CPA</t>
  </si>
  <si>
    <t>Rainbow City</t>
  </si>
  <si>
    <t>dsmith@coneandsmith.com</t>
  </si>
  <si>
    <t>DVA Architecture</t>
  </si>
  <si>
    <t>Mike Voegtle</t>
  </si>
  <si>
    <t>260 Peachtree Street, Suite 500</t>
  </si>
  <si>
    <t>mike@dvaarch.com</t>
  </si>
  <si>
    <t>Marietta Housing Authority</t>
  </si>
  <si>
    <t>No Commitments are "Under Consideration"</t>
  </si>
  <si>
    <t>Agree</t>
  </si>
  <si>
    <t>John Wall and Associates</t>
  </si>
  <si>
    <t>There are no DCA tax credit projects inside a 2-mile radius of the proposed project for year 2010-2012.</t>
  </si>
  <si>
    <t xml:space="preserve">There is no identity of interest between the land seller and the land buyer, therefore, an appraisal is not requested at application submission. </t>
  </si>
  <si>
    <t>None</t>
  </si>
  <si>
    <t>Contract/Option</t>
  </si>
  <si>
    <t>Georgia Power</t>
  </si>
  <si>
    <t xml:space="preserve">We will not be using gas as a utility. The units will be all electric. </t>
  </si>
  <si>
    <t>Cobb County Water System</t>
  </si>
  <si>
    <t xml:space="preserve">No waiver was requested because no waiver was needed. </t>
  </si>
  <si>
    <t>Room</t>
  </si>
  <si>
    <t>Gazebo</t>
  </si>
  <si>
    <t>On-site laundry</t>
  </si>
  <si>
    <t>Computer Center</t>
  </si>
  <si>
    <t xml:space="preserve">Applicant is not a non-profit and is not applying for credit under the non-profit set-aside. </t>
  </si>
  <si>
    <t xml:space="preserve">Development is not a preservation deal and applicant is not applying for credit under the preservation set-aside. </t>
  </si>
  <si>
    <t xml:space="preserve">Not applicable. Not a HOME or HUD project. </t>
  </si>
  <si>
    <t>President of General Partner</t>
  </si>
  <si>
    <t>PA 13-21</t>
  </si>
  <si>
    <t>Vantage Management, LLC</t>
  </si>
  <si>
    <t>Kutak Rock, LLP</t>
  </si>
  <si>
    <t>Cone and Smith, PC</t>
  </si>
  <si>
    <t>For Profit</t>
  </si>
  <si>
    <t>The Villas at Stanford, LP</t>
  </si>
  <si>
    <t>The Reserve at Hampton, LP</t>
  </si>
  <si>
    <t>Please see Tab 1 "Feasibility" for details on methodology for estimates on taxes and insurance</t>
  </si>
  <si>
    <t>3+ Story</t>
  </si>
  <si>
    <t>Geotechnical &amp; Enviro. Consultants, Inc.</t>
  </si>
  <si>
    <t>No identity of interest exists between Seller and Purchaser; Option has initial period through December 27, 2013</t>
  </si>
  <si>
    <t>Fitness Center</t>
  </si>
  <si>
    <t>The deal is new construction NOT a rehabilitation.</t>
  </si>
  <si>
    <t>Qualified without Conditions</t>
  </si>
  <si>
    <t>Please note that we have subtracted 1 point from our score due to our proximity to State Waters.  While we are within 100' of State Waters, we are outside the 25' buffer required by state law.  No State Waters, streams or wetlands will be disturbed or impacted by this project.
Furthermore, while there are two vacant structures adjacent to our site, they do not rise to the level of being undesirable.  In addition, Kennesaw has committed in writing (see letter in Tab 19) to secure and montor the structures so that they do not deteriorate further.  They have further committed to demolishing the structures or, if they are historically significant, rehabilitating them.  We respectfully request that DCA not deduct a point from this application due to these structures.</t>
  </si>
  <si>
    <t>Georgia Environmental Protection Division</t>
  </si>
  <si>
    <t>Please note that the site has been listed as a Brownfield.  Clean-up has already been performed and a No Further Action Letter can be found in Tab 27.</t>
  </si>
  <si>
    <t>Earth Craft Communities</t>
  </si>
  <si>
    <t>Pass</t>
  </si>
  <si>
    <t>-</t>
  </si>
  <si>
    <t>Please note that, per the Marietta Housing Authority, we used utility allowances for High-Rise, which was not a choice in the drop down box. We therefore chose 3+ Story.</t>
  </si>
  <si>
    <t>Cable</t>
  </si>
  <si>
    <t>Amortizing</t>
  </si>
  <si>
    <t xml:space="preserve">7.D. 3. &amp; 4. The site has a stream with a small associated wetland area along the NE border. The city has granted a variance from its requirement that all development be at least 50' from State Waters (see Tab 39). However, we are outside the State Law required 25' buffer and no development will take place inside the buffer zone or in any wetland area. There will be NO disturbance of any buffer or wetland area. </t>
  </si>
  <si>
    <t>The proposed project is a new construction on vacant land; therefore, there will not be displacement of tenants. The required Relocation Survey has been completed and is located in Tab 24</t>
  </si>
  <si>
    <t>Computer class conducted onsite in the projects computer center</t>
  </si>
  <si>
    <t>Ongoing potluck dinners hosted by mgmt staff</t>
  </si>
  <si>
    <t>State Boost</t>
  </si>
  <si>
    <t>Government Fee Backup Documentation</t>
  </si>
  <si>
    <t>Variance Approval from City</t>
  </si>
  <si>
    <t>The managing agent will provide one Semi-Montly class conducted onsite and one onsite social and recreational program overseen by the project manager.</t>
  </si>
  <si>
    <t>Property is zoned Central Business District and senior living residence is a permitted use. No HOME or HUD funds requested. City does not have separate land use classifications or plans/codes</t>
  </si>
  <si>
    <t>All above requested informaion was submitted at pre-application. The project was determined to be "Qualified without Conditions".</t>
  </si>
  <si>
    <t xml:space="preserve">Project utilizes existing infrastructure and utilities. The project has strong support from the City and County governments as evidenced by various support letters. Furthermore, the City has agreed to secure and demolish nearby abandoned buildings and to make extensive infrastructure improvements on Sardis Street if this application is funded. The site is in the historic district of downtown Kennesaw and is also in the Big Shanty Historic District. </t>
  </si>
  <si>
    <t>The market study shows a clear demand for the project and states that it should be successful, see Tab 5.</t>
  </si>
  <si>
    <t xml:space="preserve">The proposed development, The Villas at Stanford (“The Villas”), will be located on Sardis Street between South Main Street and Big Shanty Road N.W. near downtown Kennesaw.  The property is located in Kennesaw’s Central Business District and the approximate address is 2774 Sardis Street N.W.  The property consists of two tax parcels (2001-3800-66 and 2001-3800-50) that are being assembled to allow for the proposed development to sit on approximately 2.65 acres.  The current owners of the property are Steven Jolivette and Bonni P. Thompson.  The proposed development will be a three/four split-story interior corridor building, consisting of 74 units, targeting independent seniors with incomes at or below 50% and 60% of AMI. 
The property consists of vacant wooded land and the assembled properties closely resemble a triangle in shape.  The property is located in the Central Business District (CDB) and Historic District of the city of Kennesaw and the CBD zoning allows for the development as proposed.  The property is listed on the Georgia Brownfield Program and it has been examined by the Environmental Protection Division (EPD), Underground Storage Task Management Program, as a result of the soil contamination caused by The General Store formerly located at 2742 Main Street, Kennesaw, GA.  The EPD has determined that “no further action is required”.  .  The Georgia Brownfield Program provides for the limitation of liability for existing groundwater impacts associated with a property for purchasers of that property.   The property being located in the CBD is surrounded by services that are appropriate for senior citizens. The property is currently serviced by the city of Kennesaw for water and Cobb County for sewer.  
The Villas will consist of 74 apartments for elderly tenants with a unit mix consisting of  one bedroom and  two bedroom units. Unit amenities will include built-in Energy Star dishwasher, washer/dryer hookups, floor coverings, mini blinds, Energy Star refrigerator,  and ovens with SAFE-T element cooktops.  All units will have an HVAC system. Building amenities will include an equipped fitness center, a computer center, management office, laundry facilities, and a community room with kitchenette suitable for gatherings.  Since building type will be a three/four split-story interior corridor, an elevator will be installed for access to all units above the ground floor and the building will have interior furnished gathering areas in various locations in the lobbies and/or corridors.
Attractive, durable and architecturally diverse building design will be paramount in the development and construction of The Villas.  The proposed development will meet or exceed the Mandatory Design Criteria set forth by the Georgia Department of Community Affairs in the 2013 QAP.  All exterior wall faces will be composed of an excess of 40% brick or stone.  The remaining 60% of wall faces will be composed of fiber cement siding or other material with a 40 year product warranty.  Roofing material will also be warranted for at least 30 years.
Another important element of this development is accessibility.  This is especially true due to the fact that its tenancy will be elderly.  The overall development and all units, as applicable, will be designed to meet state and federal accessibility and fair housing requirements, as defined by the Fair Housing Amendments Act of 1988, Americans with Disabilities Act, Section 504 of the Rehabilitation Act of 1973, Georgia Fair Housing Law and Georgia Access Law set forth in the DCA 2012 Accessibility Manual.  While the proposed development is setting aside at least 5% of its total units for the mobility impaired and at least 2% of its total units for the sensory impaired, 100% of the units will be fully adaptable.  
A key feature of The Villas will be its commitment to environmentally responsible construction and operation techniques.  The building and all units therein will meet all Georgia DCA Builiding Sustainability requirements and will be Southface Earthcraft certified.  The Earthcraft standard ensures that the building and its construction techniques meet certain standards for sustainability, energy efficiency and healthy living environment. 
The Villas will be an age and income restricted development whose purpose is to provide safe, attractive, well-located, affordable housing to senior residents of Kennesaw. The Villas at Stanford is an Equal Opportunity housing provider and does not discriminate against any protected class.Residents will be restricted to those who are 55 and older. 
Management of The Villas will coordinate several types of services, which typically include social and recreational programs (pot-lucks, bingo, birthday parties, holiday parties, movie nights, etc.) as well as semi-monthly on site classes (arts and crafts, computer tutoring, etc.).  Also, management will work with local businesses and service providers to coordinate other educational seminars and health screenings.
A key component of The Villas at Stanford is its potential positive impact on the local economy.  The Villas will bring substantial economic activity to the city of Kennesaw. To the extent practical, local sub-contractors and material suppliers will be used in order to maximize the development’s already substantial impact.
</t>
  </si>
  <si>
    <t>Sugar Creek (TBD)</t>
  </si>
  <si>
    <t>17 West Lockwood Ave</t>
  </si>
  <si>
    <t>Chris Hite</t>
  </si>
  <si>
    <t>St. Louis</t>
  </si>
  <si>
    <t>chite@sugarcreekrealtyllc.com</t>
  </si>
  <si>
    <t>8 to 10 months</t>
  </si>
  <si>
    <t>Harry Walls Environmental Consulting, Inc.</t>
  </si>
  <si>
    <t>East Main Street, Cobb County Airport, Dobbins Air Reserve Base, CSX railway</t>
  </si>
  <si>
    <t xml:space="preserve">
</t>
  </si>
  <si>
    <t>NAHPA, Inc. 501c3</t>
  </si>
  <si>
    <t>Sugar Creek</t>
  </si>
  <si>
    <t>Kennesaw Downtown Dev Auth</t>
  </si>
  <si>
    <t>Kennesaw Downtown Dev Auth/Nonprofit loan</t>
  </si>
  <si>
    <t>Letter of Credit for Downtown Dev Authority</t>
  </si>
  <si>
    <t>42 Equity Partners</t>
  </si>
  <si>
    <t>Michael Haynes</t>
  </si>
  <si>
    <t>Managing Director</t>
  </si>
  <si>
    <t>1140 Avenue of the Americas, 9th Floor</t>
  </si>
  <si>
    <t>New York</t>
  </si>
  <si>
    <t>m.haynes@42equity.com</t>
  </si>
  <si>
    <t>Vantage Partners 2013 GA, LLC (General Partner), Vantage Development, LLC (Developer), Fyffe Construction Co., Inc. (General Contractor), and Vantage Management, LLC (Management Company) are all owned by Lowell R. Barron, II.
DVA Architecture does not have a fax number
42 Equity Partners does not have a fax number</t>
  </si>
  <si>
    <t>Community &amp; Southern Bank</t>
  </si>
  <si>
    <t>42 Equity Partners (TBD)</t>
  </si>
  <si>
    <t xml:space="preserve">* To all applicants: please provide methodology for determining applicable construction hard costs.
Construction hard costs were provided to us by our General Contractor. They were derived by considering the specificis of the project site, its inherent characteristics, requirements of city zoning and building codes, amenities, DCA requirements and by evaluating similar projects with similar units and applying estimates for material and labor current costs.
*We are unclear why the DCA "check" in cell F118 shows $121,321 which is the equivalent of 4 months of expenses, we are using the DCA guidelines that state we must assume 3 months of operating expenses. </t>
  </si>
  <si>
    <t xml:space="preserve">Incentive Management Fee has not been negotiated at this time.
Inverstor will be out in year 20, therefore we do not carry ASF beyond year 20. </t>
  </si>
  <si>
    <t>IX. The application is not for tax exempt bonds.
XII. B. Owners commit to the extension of the cancellation option for 5 years. We expect the placed in service date to be 12/31/2015. Regardless of the actual placed in service date the owner will extend for the 5 year period. 
While DCA requires 1.5 parking spaces per unit, the City requires .75 per unit. See zoning letter in Tab 10.</t>
  </si>
  <si>
    <t>2013-005</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</si>
</sst>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10" fontId="3" fillId="3" borderId="100" applyNumberFormat="0" applyBorder="0" applyAlignment="0" applyProtection="0"/>
    <xf numFmtId="0" fontId="4" fillId="0" borderId="86">
      <alignment horizontal="left" vertical="center"/>
    </xf>
    <xf numFmtId="10" fontId="3" fillId="3" borderId="90" applyNumberFormat="0" applyBorder="0" applyAlignment="0" applyProtection="0"/>
  </cellStyleXfs>
  <cellXfs count="1794">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0" fontId="53" fillId="5" borderId="98" xfId="0" applyFont="1" applyFill="1" applyBorder="1" applyAlignment="1" applyProtection="1">
      <alignment horizontal="left" vertical="center"/>
    </xf>
    <xf numFmtId="0" fontId="53" fillId="0" borderId="86" xfId="0" applyFont="1" applyBorder="1" applyProtection="1"/>
    <xf numFmtId="0" fontId="53" fillId="0" borderId="99" xfId="0" applyFont="1" applyBorder="1" applyProtection="1"/>
    <xf numFmtId="167" fontId="53" fillId="5" borderId="98" xfId="0" applyNumberFormat="1" applyFont="1" applyFill="1" applyBorder="1" applyAlignment="1" applyProtection="1">
      <alignment horizontal="left" vertical="center"/>
    </xf>
    <xf numFmtId="167" fontId="53" fillId="5" borderId="86" xfId="0" applyNumberFormat="1" applyFont="1" applyFill="1" applyBorder="1" applyAlignment="1" applyProtection="1">
      <alignment horizontal="left" vertical="center"/>
    </xf>
    <xf numFmtId="167" fontId="53" fillId="5" borderId="99" xfId="0" applyNumberFormat="1" applyFont="1" applyFill="1" applyBorder="1" applyAlignment="1" applyProtection="1">
      <alignment horizontal="left" vertical="center"/>
    </xf>
    <xf numFmtId="169" fontId="53" fillId="5" borderId="98" xfId="0" applyNumberFormat="1" applyFont="1" applyFill="1" applyBorder="1" applyAlignment="1" applyProtection="1">
      <alignment horizontal="center" vertical="center"/>
    </xf>
    <xf numFmtId="0" fontId="53" fillId="5" borderId="99" xfId="0" applyFont="1" applyFill="1" applyBorder="1" applyAlignment="1" applyProtection="1">
      <alignment horizontal="center"/>
    </xf>
    <xf numFmtId="167" fontId="53" fillId="5" borderId="98" xfId="0" applyNumberFormat="1" applyFont="1" applyFill="1" applyBorder="1" applyAlignment="1" applyProtection="1">
      <alignment horizontal="center" vertical="center"/>
    </xf>
    <xf numFmtId="0" fontId="53" fillId="5" borderId="98" xfId="0" applyNumberFormat="1" applyFont="1" applyFill="1" applyBorder="1" applyAlignment="1" applyProtection="1">
      <alignment horizontal="left" vertical="center"/>
    </xf>
    <xf numFmtId="0" fontId="53" fillId="5" borderId="86" xfId="0" applyNumberFormat="1" applyFont="1" applyFill="1" applyBorder="1" applyAlignment="1" applyProtection="1">
      <alignment horizontal="left" vertical="center"/>
    </xf>
    <xf numFmtId="0" fontId="53" fillId="5" borderId="99" xfId="0" applyNumberFormat="1" applyFont="1" applyFill="1" applyBorder="1" applyAlignment="1" applyProtection="1">
      <alignment horizontal="lef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98"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99"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3" fillId="5" borderId="82" xfId="0" applyFont="1" applyFill="1" applyBorder="1" applyAlignment="1" applyProtection="1">
      <alignment horizontal="left" vertical="center"/>
    </xf>
    <xf numFmtId="0" fontId="3" fillId="5" borderId="86" xfId="0" applyFont="1" applyFill="1" applyBorder="1" applyAlignment="1" applyProtection="1">
      <alignment horizontal="left" vertical="center"/>
    </xf>
    <xf numFmtId="0" fontId="3" fillId="5" borderId="83"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7">
    <cellStyle name="Comma" xfId="1" builtinId="3"/>
    <cellStyle name="Currency" xfId="2" builtinId="4"/>
    <cellStyle name="Grey" xfId="3"/>
    <cellStyle name="Header1" xfId="4"/>
    <cellStyle name="Header2" xfId="5"/>
    <cellStyle name="Header2 2" xfId="15"/>
    <cellStyle name="Hyperlink" xfId="6" builtinId="8"/>
    <cellStyle name="Input [yellow]" xfId="7"/>
    <cellStyle name="Input [yellow] 2" xfId="16"/>
    <cellStyle name="Input [yellow] 3" xfId="14"/>
    <cellStyle name="Normal" xfId="0" builtinId="0"/>
    <cellStyle name="Normal - Style1" xfId="8"/>
    <cellStyle name="Normal 2" xfId="12"/>
    <cellStyle name="Normal 3" xfId="13"/>
    <cellStyle name="Normal_'96-'97 Rent Tables" xfId="9"/>
    <cellStyle name="Percent" xfId="10" builtinId="5"/>
    <cellStyle name="Percent [2]" xfId="11"/>
  </cellStyles>
  <dxfs count="16">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The Villas at Stanford,  Kennesaw,  Cobb County</v>
      </c>
      <c r="B1" s="1168"/>
      <c r="C1" s="1168"/>
      <c r="D1" s="1168"/>
      <c r="E1" s="1168"/>
      <c r="F1" s="1168"/>
      <c r="G1" s="1168"/>
      <c r="H1" s="1168"/>
      <c r="I1" s="1168"/>
      <c r="J1" s="1168"/>
      <c r="K1" s="1168"/>
      <c r="L1" s="1169"/>
    </row>
    <row r="2" spans="1:12" ht="26.25" customHeight="1">
      <c r="A2" s="1171" t="s">
        <v>3968</v>
      </c>
      <c r="B2" s="1171"/>
      <c r="C2" s="1171"/>
      <c r="D2" s="1171"/>
      <c r="E2" s="1171"/>
      <c r="F2" s="1171"/>
      <c r="G2" s="1171"/>
      <c r="H2" s="1171"/>
      <c r="I2" s="1171"/>
      <c r="J2" s="1171"/>
      <c r="K2" s="1171"/>
      <c r="L2" s="1171"/>
    </row>
    <row r="3" spans="1:12" s="1178" customFormat="1" ht="12" customHeight="1">
      <c r="A3" s="1173" t="s">
        <v>3772</v>
      </c>
      <c r="B3" s="1174"/>
      <c r="C3" s="1174"/>
      <c r="D3" s="1174"/>
      <c r="E3" s="1175" t="s">
        <v>3773</v>
      </c>
      <c r="F3" s="1176"/>
      <c r="G3" s="1176"/>
      <c r="H3" s="1176"/>
      <c r="I3" s="1177"/>
      <c r="J3" s="1176"/>
      <c r="K3" s="1176"/>
      <c r="L3" s="1175" t="s">
        <v>3774</v>
      </c>
    </row>
    <row r="4" spans="1:12" s="1178" customFormat="1" ht="12.75" thickBot="1">
      <c r="A4" s="1179"/>
      <c r="B4" s="1180" t="s">
        <v>3775</v>
      </c>
      <c r="C4" s="1180"/>
      <c r="D4" s="1180"/>
      <c r="E4" s="1181"/>
      <c r="F4" s="1180" t="s">
        <v>3997</v>
      </c>
      <c r="G4" s="1182"/>
      <c r="H4" s="1182"/>
      <c r="I4" s="1180" t="s">
        <v>3776</v>
      </c>
      <c r="J4" s="1182"/>
      <c r="K4" s="1182"/>
      <c r="L4" s="1181"/>
    </row>
    <row r="5" spans="1:12" s="1186" customFormat="1">
      <c r="A5" s="1183"/>
      <c r="B5" s="1184"/>
      <c r="C5" s="1184"/>
      <c r="D5" s="1184"/>
      <c r="E5" s="1185"/>
      <c r="F5" s="1186" t="s">
        <v>3777</v>
      </c>
      <c r="I5" s="1187"/>
      <c r="L5" s="1188" t="s">
        <v>4061</v>
      </c>
    </row>
    <row r="6" spans="1:12" s="1186" customFormat="1" ht="12" customHeight="1">
      <c r="A6" s="1189" t="s">
        <v>3778</v>
      </c>
      <c r="B6" s="1184" t="s">
        <v>1866</v>
      </c>
      <c r="C6" s="1184"/>
      <c r="D6" s="1184"/>
      <c r="E6" s="1190" t="s">
        <v>3778</v>
      </c>
      <c r="F6" s="1186" t="s">
        <v>3964</v>
      </c>
      <c r="I6" s="1187"/>
      <c r="L6" s="1191" t="s">
        <v>4061</v>
      </c>
    </row>
    <row r="7" spans="1:12" s="1186" customFormat="1" ht="12" customHeight="1">
      <c r="A7" s="1183"/>
      <c r="B7" s="1184"/>
      <c r="C7" s="1184"/>
      <c r="D7" s="1184"/>
      <c r="E7" s="1192" t="s">
        <v>3606</v>
      </c>
      <c r="F7" s="1186" t="s">
        <v>3779</v>
      </c>
      <c r="I7" s="1187"/>
      <c r="L7" s="1191" t="s">
        <v>4061</v>
      </c>
    </row>
    <row r="8" spans="1:12" s="1186" customFormat="1" ht="12" customHeight="1">
      <c r="A8" s="1183"/>
      <c r="B8" s="1184"/>
      <c r="C8" s="1184"/>
      <c r="D8" s="1184"/>
      <c r="E8" s="1192" t="s">
        <v>3604</v>
      </c>
      <c r="F8" s="1186" t="s">
        <v>554</v>
      </c>
      <c r="I8" s="1187"/>
      <c r="L8" s="1191" t="s">
        <v>4070</v>
      </c>
    </row>
    <row r="9" spans="1:12" s="1186" customFormat="1" ht="12" customHeight="1">
      <c r="A9" s="1183"/>
      <c r="B9" s="1184"/>
      <c r="C9" s="1184"/>
      <c r="D9" s="1184"/>
      <c r="E9" s="1192" t="s">
        <v>3605</v>
      </c>
      <c r="F9" s="1186" t="s">
        <v>3575</v>
      </c>
      <c r="I9" s="1187"/>
      <c r="L9" s="1191" t="s">
        <v>4061</v>
      </c>
    </row>
    <row r="10" spans="1:12" s="1186" customFormat="1" ht="12" customHeight="1">
      <c r="A10" s="1183"/>
      <c r="B10" s="1184"/>
      <c r="C10" s="1184"/>
      <c r="D10" s="1184"/>
      <c r="E10" s="1192" t="s">
        <v>3607</v>
      </c>
      <c r="F10" s="1186" t="s">
        <v>3594</v>
      </c>
      <c r="I10" s="1187"/>
      <c r="J10" s="1193"/>
      <c r="L10" s="1191" t="s">
        <v>4061</v>
      </c>
    </row>
    <row r="11" spans="1:12" s="1186" customFormat="1" ht="12" customHeight="1">
      <c r="A11" s="1183"/>
      <c r="B11" s="1184"/>
      <c r="C11" s="1184"/>
      <c r="D11" s="1184"/>
      <c r="E11" s="1192" t="s">
        <v>3608</v>
      </c>
      <c r="F11" s="1186" t="s">
        <v>3780</v>
      </c>
      <c r="I11" s="1187"/>
      <c r="J11" s="1193"/>
      <c r="L11" s="1194" t="s">
        <v>4070</v>
      </c>
    </row>
    <row r="12" spans="1:12" s="1186" customFormat="1" ht="12" customHeight="1">
      <c r="A12" s="1183"/>
      <c r="B12" s="1184"/>
      <c r="C12" s="1184"/>
      <c r="D12" s="1184"/>
      <c r="E12" s="1195" t="s">
        <v>3609</v>
      </c>
      <c r="F12" s="1186" t="s">
        <v>3966</v>
      </c>
      <c r="I12" s="1187"/>
      <c r="J12" s="1193"/>
      <c r="L12" s="1194" t="s">
        <v>4070</v>
      </c>
    </row>
    <row r="13" spans="1:12" s="1186" customFormat="1" ht="12" customHeight="1">
      <c r="A13" s="1196" t="s">
        <v>3781</v>
      </c>
      <c r="B13" s="1196"/>
      <c r="C13" s="1196"/>
      <c r="D13" s="1196"/>
      <c r="E13" s="1196"/>
      <c r="F13" s="1196"/>
      <c r="G13" s="1196"/>
      <c r="H13" s="1196"/>
      <c r="I13" s="1196"/>
      <c r="J13" s="1196"/>
      <c r="K13" s="1196"/>
      <c r="L13" s="1196"/>
    </row>
    <row r="14" spans="1:12" s="1186" customFormat="1" ht="12" customHeight="1">
      <c r="A14" s="1197" t="s">
        <v>3606</v>
      </c>
      <c r="B14" s="1198" t="s">
        <v>4028</v>
      </c>
      <c r="C14" s="1198"/>
      <c r="D14" s="1199" t="s">
        <v>4029</v>
      </c>
      <c r="E14" s="1190" t="s">
        <v>3606</v>
      </c>
      <c r="F14" s="1186" t="s">
        <v>3782</v>
      </c>
      <c r="I14" s="1187"/>
      <c r="J14" s="1193"/>
      <c r="L14" s="1191" t="s">
        <v>4061</v>
      </c>
    </row>
    <row r="15" spans="1:12" s="1186" customFormat="1" ht="12" customHeight="1">
      <c r="A15" s="1183"/>
      <c r="C15" s="1200"/>
      <c r="D15" s="1184" t="s">
        <v>3783</v>
      </c>
      <c r="E15" s="1192" t="s">
        <v>3604</v>
      </c>
      <c r="F15" s="1201" t="s">
        <v>3784</v>
      </c>
      <c r="G15" s="1201"/>
      <c r="H15" s="1201"/>
      <c r="I15" s="1202" t="s">
        <v>3928</v>
      </c>
      <c r="J15" s="1203" t="s">
        <v>3929</v>
      </c>
      <c r="K15" s="1203" t="s">
        <v>3933</v>
      </c>
      <c r="L15" s="1191" t="s">
        <v>4070</v>
      </c>
    </row>
    <row r="16" spans="1:12" s="1186" customFormat="1" ht="12" customHeight="1">
      <c r="A16" s="1183"/>
      <c r="C16" s="1200"/>
      <c r="D16" s="1184"/>
      <c r="E16" s="1192"/>
      <c r="F16" s="1201"/>
      <c r="G16" s="1201"/>
      <c r="H16" s="1201"/>
      <c r="I16" s="1202" t="s">
        <v>3930</v>
      </c>
      <c r="J16" s="1203" t="s">
        <v>2696</v>
      </c>
      <c r="K16" s="1203" t="s">
        <v>3934</v>
      </c>
    </row>
    <row r="17" spans="1:12" s="1186" customFormat="1" ht="12" customHeight="1">
      <c r="A17" s="1183"/>
      <c r="C17" s="1200"/>
      <c r="D17" s="1184"/>
      <c r="E17" s="1192"/>
      <c r="F17" s="1201"/>
      <c r="G17" s="1201"/>
      <c r="H17" s="1201"/>
      <c r="I17" s="1202" t="s">
        <v>3790</v>
      </c>
      <c r="J17" s="1203" t="s">
        <v>3931</v>
      </c>
      <c r="K17" s="1203" t="s">
        <v>565</v>
      </c>
    </row>
    <row r="18" spans="1:12" s="1186" customFormat="1" ht="23.25" customHeight="1">
      <c r="A18" s="1183"/>
      <c r="C18" s="1200"/>
      <c r="D18" s="1184"/>
      <c r="E18" s="1192"/>
      <c r="F18" s="1201"/>
      <c r="G18" s="1201"/>
      <c r="H18" s="1201"/>
      <c r="I18" s="1202" t="s">
        <v>3790</v>
      </c>
      <c r="J18" s="1203" t="s">
        <v>3932</v>
      </c>
      <c r="K18" s="1203" t="s">
        <v>565</v>
      </c>
    </row>
    <row r="19" spans="1:12" s="1186" customFormat="1" ht="12" customHeight="1">
      <c r="A19" s="1183"/>
      <c r="C19" s="1200"/>
      <c r="D19" s="1184" t="s">
        <v>3785</v>
      </c>
      <c r="E19" s="1192" t="s">
        <v>3605</v>
      </c>
      <c r="F19" s="1193" t="s">
        <v>3973</v>
      </c>
      <c r="G19" s="1204"/>
      <c r="H19" s="1204"/>
      <c r="I19" s="1202"/>
      <c r="J19" s="1203"/>
      <c r="L19" s="1191" t="s">
        <v>4061</v>
      </c>
    </row>
    <row r="20" spans="1:12" s="1186" customFormat="1" ht="12" customHeight="1">
      <c r="A20" s="1183"/>
      <c r="C20" s="1200"/>
      <c r="D20" s="1184"/>
      <c r="E20" s="1205"/>
      <c r="F20" s="1186" t="s">
        <v>3974</v>
      </c>
      <c r="I20" s="1187"/>
      <c r="J20" s="1193"/>
      <c r="L20" s="1191" t="s">
        <v>4070</v>
      </c>
    </row>
    <row r="21" spans="1:12" s="1186" customFormat="1" ht="23.25" customHeight="1">
      <c r="A21" s="1183"/>
      <c r="C21" s="1200"/>
      <c r="D21" s="1184" t="s">
        <v>3786</v>
      </c>
      <c r="E21" s="1192" t="s">
        <v>3607</v>
      </c>
      <c r="F21" s="1186" t="s">
        <v>3975</v>
      </c>
      <c r="I21" s="1202" t="s">
        <v>3787</v>
      </c>
      <c r="J21" s="1203" t="s">
        <v>3788</v>
      </c>
      <c r="K21" s="1203" t="s">
        <v>3789</v>
      </c>
      <c r="L21" s="1191" t="s">
        <v>4061</v>
      </c>
    </row>
    <row r="22" spans="1:12" s="1186" customFormat="1" ht="12" customHeight="1">
      <c r="A22" s="1183"/>
      <c r="C22" s="1200"/>
      <c r="D22" s="1184"/>
      <c r="E22" s="1205"/>
      <c r="F22" s="1186" t="s">
        <v>3976</v>
      </c>
      <c r="I22" s="1187" t="s">
        <v>3790</v>
      </c>
      <c r="J22" s="1193" t="s">
        <v>3791</v>
      </c>
      <c r="K22" s="1186" t="s">
        <v>565</v>
      </c>
      <c r="L22" s="1191" t="s">
        <v>4070</v>
      </c>
    </row>
    <row r="23" spans="1:12" s="1186" customFormat="1" ht="12" customHeight="1">
      <c r="A23" s="1183"/>
      <c r="C23" s="1200"/>
      <c r="D23" s="1184"/>
      <c r="E23" s="1205"/>
      <c r="F23" s="1186" t="s">
        <v>3977</v>
      </c>
      <c r="I23" s="1187"/>
      <c r="J23" s="1193"/>
      <c r="L23" s="1191" t="s">
        <v>4070</v>
      </c>
    </row>
    <row r="24" spans="1:12" s="1186" customFormat="1" ht="12" customHeight="1">
      <c r="A24" s="1183"/>
      <c r="C24" s="1200"/>
      <c r="D24" s="1184"/>
      <c r="E24" s="1205"/>
      <c r="F24" s="1186" t="s">
        <v>3978</v>
      </c>
      <c r="I24" s="1187"/>
      <c r="J24" s="1193"/>
      <c r="L24" s="1191" t="s">
        <v>4070</v>
      </c>
    </row>
    <row r="25" spans="1:12" s="1186" customFormat="1" ht="12" customHeight="1">
      <c r="A25" s="1183"/>
      <c r="C25" s="1200"/>
      <c r="D25" s="1184"/>
      <c r="E25" s="1205"/>
      <c r="F25" s="1186" t="s">
        <v>3979</v>
      </c>
      <c r="I25" s="1187"/>
      <c r="J25" s="1193"/>
      <c r="L25" s="1191" t="s">
        <v>4070</v>
      </c>
    </row>
    <row r="26" spans="1:12" s="1186" customFormat="1" ht="12" customHeight="1">
      <c r="A26" s="1183"/>
      <c r="C26" s="1200"/>
      <c r="D26" s="1184" t="s">
        <v>3792</v>
      </c>
      <c r="E26" s="1192" t="s">
        <v>3608</v>
      </c>
      <c r="F26" s="1186" t="s">
        <v>3980</v>
      </c>
      <c r="I26" s="1187"/>
      <c r="J26" s="1193"/>
      <c r="L26" s="1191" t="s">
        <v>4070</v>
      </c>
    </row>
    <row r="27" spans="1:12" s="1186" customFormat="1" ht="12" customHeight="1">
      <c r="A27" s="1183"/>
      <c r="B27" s="1206"/>
      <c r="C27" s="1206"/>
      <c r="D27" s="1206"/>
      <c r="E27" s="1205"/>
      <c r="F27" s="1186" t="s">
        <v>3981</v>
      </c>
      <c r="I27" s="1187"/>
      <c r="J27" s="1193"/>
      <c r="L27" s="1191" t="s">
        <v>4070</v>
      </c>
    </row>
    <row r="28" spans="1:12" s="1186" customFormat="1" ht="12" customHeight="1">
      <c r="A28" s="1183"/>
      <c r="B28" s="1206"/>
      <c r="C28" s="1206"/>
      <c r="D28" s="1206"/>
      <c r="E28" s="1205"/>
      <c r="F28" s="1186" t="s">
        <v>3982</v>
      </c>
      <c r="I28" s="1187"/>
      <c r="J28" s="1193"/>
      <c r="L28" s="1191" t="s">
        <v>4070</v>
      </c>
    </row>
    <row r="29" spans="1:12" s="1186" customFormat="1" ht="12" customHeight="1">
      <c r="A29" s="1183"/>
      <c r="B29" s="1206"/>
      <c r="C29" s="1206"/>
      <c r="D29" s="1206"/>
      <c r="E29" s="1205"/>
      <c r="F29" s="1186" t="s">
        <v>3983</v>
      </c>
      <c r="I29" s="1187"/>
      <c r="J29" s="1193"/>
      <c r="L29" s="1191" t="s">
        <v>4070</v>
      </c>
    </row>
    <row r="30" spans="1:12" s="1186" customFormat="1" ht="12" customHeight="1">
      <c r="A30" s="1183"/>
      <c r="B30" s="1206"/>
      <c r="C30" s="1206"/>
      <c r="D30" s="1206"/>
      <c r="E30" s="1192" t="s">
        <v>3609</v>
      </c>
      <c r="F30" s="1186" t="s">
        <v>3793</v>
      </c>
      <c r="I30" s="1187"/>
      <c r="J30" s="1193"/>
      <c r="L30" s="1191" t="s">
        <v>4061</v>
      </c>
    </row>
    <row r="31" spans="1:12" s="1186" customFormat="1" ht="12" customHeight="1">
      <c r="A31" s="1183"/>
      <c r="B31" s="1206"/>
      <c r="C31" s="1206"/>
      <c r="D31" s="1206"/>
      <c r="E31" s="1192" t="s">
        <v>3610</v>
      </c>
      <c r="F31" s="1186" t="s">
        <v>3794</v>
      </c>
      <c r="I31" s="1187"/>
      <c r="J31" s="1193"/>
      <c r="L31" s="1191" t="s">
        <v>4070</v>
      </c>
    </row>
    <row r="32" spans="1:12" s="1186" customFormat="1" ht="23.25" customHeight="1">
      <c r="A32" s="1207" t="s">
        <v>3604</v>
      </c>
      <c r="B32" s="1208" t="s">
        <v>3795</v>
      </c>
      <c r="C32" s="1208"/>
      <c r="D32" s="1208"/>
      <c r="E32" s="1190" t="s">
        <v>3606</v>
      </c>
      <c r="F32" s="1209" t="s">
        <v>3796</v>
      </c>
      <c r="G32" s="1209"/>
      <c r="H32" s="1209"/>
      <c r="I32" s="1210" t="s">
        <v>3797</v>
      </c>
      <c r="J32" s="1211" t="s">
        <v>3798</v>
      </c>
      <c r="K32" s="1212" t="s">
        <v>3799</v>
      </c>
      <c r="L32" s="1191" t="s">
        <v>4070</v>
      </c>
    </row>
    <row r="33" spans="1:12" s="1186" customFormat="1" ht="12" customHeight="1">
      <c r="A33" s="1183"/>
      <c r="B33" s="1184"/>
      <c r="C33" s="1184"/>
      <c r="D33" s="1184"/>
      <c r="E33" s="1192" t="s">
        <v>3604</v>
      </c>
      <c r="F33" s="1186" t="s">
        <v>3800</v>
      </c>
      <c r="I33" s="1187"/>
      <c r="J33" s="1193"/>
      <c r="L33" s="1191" t="s">
        <v>4070</v>
      </c>
    </row>
    <row r="34" spans="1:12" s="1186" customFormat="1" ht="12" customHeight="1">
      <c r="A34" s="1207" t="s">
        <v>3605</v>
      </c>
      <c r="B34" s="1208" t="s">
        <v>4030</v>
      </c>
      <c r="C34" s="1208"/>
      <c r="D34" s="1208" t="s">
        <v>3837</v>
      </c>
      <c r="E34" s="1190" t="s">
        <v>3606</v>
      </c>
      <c r="F34" s="1213" t="s">
        <v>3801</v>
      </c>
      <c r="G34" s="1213"/>
      <c r="H34" s="1213"/>
      <c r="I34" s="1210"/>
      <c r="J34" s="1211"/>
      <c r="K34" s="1212"/>
      <c r="L34" s="1191" t="s">
        <v>4070</v>
      </c>
    </row>
    <row r="35" spans="1:12" s="1186" customFormat="1" ht="12" customHeight="1">
      <c r="A35" s="1207" t="s">
        <v>3607</v>
      </c>
      <c r="B35" s="1208" t="s">
        <v>4031</v>
      </c>
      <c r="C35" s="1208"/>
      <c r="D35" s="1208" t="s">
        <v>3834</v>
      </c>
      <c r="E35" s="1190" t="s">
        <v>3606</v>
      </c>
      <c r="F35" s="1213" t="s">
        <v>3802</v>
      </c>
      <c r="G35" s="1213"/>
      <c r="H35" s="1213"/>
      <c r="I35" s="1210"/>
      <c r="J35" s="1211"/>
      <c r="K35" s="1212"/>
      <c r="L35" s="1191" t="s">
        <v>4070</v>
      </c>
    </row>
    <row r="36" spans="1:12" s="1186" customFormat="1" ht="12" customHeight="1">
      <c r="A36" s="1183"/>
      <c r="B36" s="1200"/>
      <c r="C36" s="1200"/>
      <c r="D36" s="1184" t="s">
        <v>3803</v>
      </c>
      <c r="E36" s="1192" t="s">
        <v>3604</v>
      </c>
      <c r="F36" s="1214" t="s">
        <v>3804</v>
      </c>
      <c r="I36" s="1187"/>
      <c r="J36" s="1193"/>
      <c r="L36" s="1191" t="s">
        <v>4070</v>
      </c>
    </row>
    <row r="37" spans="1:12" s="1186" customFormat="1" ht="12" customHeight="1">
      <c r="A37" s="1207" t="s">
        <v>3608</v>
      </c>
      <c r="B37" s="1208" t="s">
        <v>3805</v>
      </c>
      <c r="C37" s="1208"/>
      <c r="D37" s="1208"/>
      <c r="E37" s="1190" t="s">
        <v>3606</v>
      </c>
      <c r="F37" s="1213" t="s">
        <v>584</v>
      </c>
      <c r="G37" s="1213"/>
      <c r="H37" s="1213"/>
      <c r="I37" s="1210" t="s">
        <v>463</v>
      </c>
      <c r="J37" s="1211" t="s">
        <v>3806</v>
      </c>
      <c r="K37" s="1212" t="s">
        <v>3807</v>
      </c>
      <c r="L37" s="1191" t="s">
        <v>4061</v>
      </c>
    </row>
    <row r="38" spans="1:12" s="1186" customFormat="1" ht="12" customHeight="1">
      <c r="A38" s="1207" t="s">
        <v>3609</v>
      </c>
      <c r="B38" s="1208" t="s">
        <v>4032</v>
      </c>
      <c r="C38" s="1208"/>
      <c r="D38" s="1208" t="s">
        <v>3803</v>
      </c>
      <c r="E38" s="1190" t="s">
        <v>3606</v>
      </c>
      <c r="F38" s="1213" t="s">
        <v>3808</v>
      </c>
      <c r="G38" s="1213"/>
      <c r="H38" s="1213"/>
      <c r="I38" s="1210"/>
      <c r="J38" s="1211"/>
      <c r="K38" s="1212"/>
      <c r="L38" s="1191" t="s">
        <v>4070</v>
      </c>
    </row>
    <row r="39" spans="1:12" s="1186" customFormat="1" ht="12" customHeight="1">
      <c r="A39" s="1207" t="s">
        <v>3610</v>
      </c>
      <c r="B39" s="1208" t="s">
        <v>4033</v>
      </c>
      <c r="C39" s="1208"/>
      <c r="D39" s="1208" t="s">
        <v>4034</v>
      </c>
      <c r="E39" s="1190" t="s">
        <v>3606</v>
      </c>
      <c r="F39" s="1213" t="s">
        <v>3809</v>
      </c>
      <c r="G39" s="1213"/>
      <c r="H39" s="1213"/>
      <c r="I39" s="1210"/>
      <c r="J39" s="1211"/>
      <c r="K39" s="1212"/>
      <c r="L39" s="1191" t="s">
        <v>4070</v>
      </c>
    </row>
    <row r="40" spans="1:12" s="1186" customFormat="1" ht="12" customHeight="1">
      <c r="B40" s="1215" t="s">
        <v>4035</v>
      </c>
      <c r="C40" s="1215"/>
      <c r="D40" s="1216"/>
      <c r="E40" s="1192" t="s">
        <v>3604</v>
      </c>
      <c r="F40" s="1186" t="s">
        <v>3810</v>
      </c>
      <c r="I40" s="1187"/>
      <c r="J40" s="1193"/>
      <c r="L40" s="1191" t="s">
        <v>4061</v>
      </c>
    </row>
    <row r="41" spans="1:12" s="1186" customFormat="1" ht="12" customHeight="1">
      <c r="B41" s="1215"/>
      <c r="C41" s="1215"/>
      <c r="D41" s="1216"/>
      <c r="E41" s="1192" t="s">
        <v>3605</v>
      </c>
      <c r="F41" s="1186" t="s">
        <v>3811</v>
      </c>
      <c r="I41" s="1187"/>
      <c r="J41" s="1193"/>
      <c r="L41" s="1191" t="s">
        <v>4070</v>
      </c>
    </row>
    <row r="42" spans="1:12" s="1186" customFormat="1" ht="12" customHeight="1">
      <c r="B42" s="1215"/>
      <c r="C42" s="1215"/>
      <c r="D42" s="1183"/>
      <c r="E42" s="1217" t="s">
        <v>3607</v>
      </c>
      <c r="F42" s="1218" t="s">
        <v>3967</v>
      </c>
      <c r="G42" s="1218"/>
      <c r="H42" s="1218"/>
      <c r="I42" s="1218"/>
      <c r="J42" s="1218"/>
      <c r="K42" s="1219"/>
      <c r="L42" s="1191" t="s">
        <v>4070</v>
      </c>
    </row>
    <row r="43" spans="1:12" s="1186" customFormat="1" ht="23.25" customHeight="1">
      <c r="A43" s="1207" t="s">
        <v>3943</v>
      </c>
      <c r="B43" s="1220" t="s">
        <v>3812</v>
      </c>
      <c r="C43" s="1220"/>
      <c r="D43" s="1220"/>
      <c r="E43" s="1190" t="s">
        <v>3606</v>
      </c>
      <c r="F43" s="1221" t="s">
        <v>3813</v>
      </c>
      <c r="G43" s="1221"/>
      <c r="H43" s="1221"/>
      <c r="I43" s="1210" t="s">
        <v>3797</v>
      </c>
      <c r="J43" s="1211" t="s">
        <v>2696</v>
      </c>
      <c r="K43" s="1212" t="s">
        <v>3799</v>
      </c>
      <c r="L43" s="1191" t="s">
        <v>4061</v>
      </c>
    </row>
    <row r="44" spans="1:12" s="1186" customFormat="1" ht="12" customHeight="1">
      <c r="A44" s="1183"/>
      <c r="B44" s="1184"/>
      <c r="C44" s="1184"/>
      <c r="D44" s="1184"/>
      <c r="E44" s="1192" t="s">
        <v>3604</v>
      </c>
      <c r="F44" s="1186" t="s">
        <v>3814</v>
      </c>
      <c r="I44" s="1187"/>
      <c r="J44" s="1193"/>
      <c r="L44" s="1191" t="s">
        <v>4070</v>
      </c>
    </row>
    <row r="45" spans="1:12" s="1186" customFormat="1" ht="12" customHeight="1">
      <c r="A45" s="1183"/>
      <c r="B45" s="1184"/>
      <c r="C45" s="1184"/>
      <c r="D45" s="1184"/>
      <c r="E45" s="1192" t="s">
        <v>3605</v>
      </c>
      <c r="F45" s="1186" t="s">
        <v>3815</v>
      </c>
      <c r="I45" s="1187"/>
      <c r="J45" s="1193"/>
      <c r="L45" s="1191" t="s">
        <v>4070</v>
      </c>
    </row>
    <row r="46" spans="1:12" s="1186" customFormat="1" ht="12" customHeight="1">
      <c r="A46" s="1207" t="s">
        <v>3944</v>
      </c>
      <c r="B46" s="1208" t="s">
        <v>3816</v>
      </c>
      <c r="C46" s="1208"/>
      <c r="D46" s="1208"/>
      <c r="E46" s="1190" t="s">
        <v>3606</v>
      </c>
      <c r="F46" s="1213" t="s">
        <v>3817</v>
      </c>
      <c r="G46" s="1213"/>
      <c r="H46" s="1213"/>
      <c r="I46" s="1210"/>
      <c r="J46" s="1211"/>
      <c r="K46" s="1212"/>
      <c r="L46" s="1191" t="s">
        <v>4061</v>
      </c>
    </row>
    <row r="47" spans="1:12" s="1186" customFormat="1" ht="12" customHeight="1">
      <c r="A47" s="1222">
        <v>10</v>
      </c>
      <c r="B47" s="1208" t="s">
        <v>3818</v>
      </c>
      <c r="C47" s="1208"/>
      <c r="D47" s="1208"/>
      <c r="E47" s="1190" t="s">
        <v>3606</v>
      </c>
      <c r="F47" s="1213" t="s">
        <v>3819</v>
      </c>
      <c r="G47" s="1213"/>
      <c r="H47" s="1213"/>
      <c r="I47" s="1210"/>
      <c r="J47" s="1211"/>
      <c r="K47" s="1212"/>
      <c r="L47" s="1191" t="s">
        <v>4061</v>
      </c>
    </row>
    <row r="48" spans="1:12" s="1186" customFormat="1" ht="12" customHeight="1">
      <c r="A48" s="1183"/>
      <c r="B48" s="1184"/>
      <c r="C48" s="1184"/>
      <c r="D48" s="1184"/>
      <c r="E48" s="1192" t="s">
        <v>3604</v>
      </c>
      <c r="F48" s="1186" t="s">
        <v>3820</v>
      </c>
      <c r="I48" s="1187"/>
      <c r="J48" s="1193"/>
      <c r="L48" s="1191" t="s">
        <v>4061</v>
      </c>
    </row>
    <row r="49" spans="1:12" s="1186" customFormat="1" ht="12" customHeight="1">
      <c r="A49" s="1222">
        <v>11</v>
      </c>
      <c r="B49" s="1208" t="s">
        <v>3821</v>
      </c>
      <c r="C49" s="1208"/>
      <c r="D49" s="1208"/>
      <c r="E49" s="1190" t="s">
        <v>3606</v>
      </c>
      <c r="F49" s="1213" t="s">
        <v>3822</v>
      </c>
      <c r="G49" s="1213"/>
      <c r="H49" s="1213"/>
      <c r="I49" s="1210"/>
      <c r="J49" s="1211"/>
      <c r="K49" s="1212"/>
      <c r="L49" s="1191" t="s">
        <v>4061</v>
      </c>
    </row>
    <row r="50" spans="1:12" s="1186" customFormat="1" ht="12" customHeight="1">
      <c r="A50" s="1222">
        <v>12</v>
      </c>
      <c r="B50" s="1208" t="s">
        <v>3823</v>
      </c>
      <c r="C50" s="1208"/>
      <c r="D50" s="1208"/>
      <c r="E50" s="1190" t="s">
        <v>3606</v>
      </c>
      <c r="F50" s="1213" t="s">
        <v>3824</v>
      </c>
      <c r="G50" s="1213"/>
      <c r="H50" s="1213"/>
      <c r="I50" s="1210"/>
      <c r="J50" s="1211"/>
      <c r="K50" s="1212"/>
      <c r="L50" s="1191" t="s">
        <v>4061</v>
      </c>
    </row>
    <row r="51" spans="1:12" s="1186" customFormat="1" ht="12" customHeight="1">
      <c r="A51" s="1183"/>
      <c r="B51" s="1184"/>
      <c r="C51" s="1184"/>
      <c r="D51" s="1184"/>
      <c r="E51" s="1192" t="s">
        <v>3604</v>
      </c>
      <c r="F51" s="1186" t="s">
        <v>3825</v>
      </c>
      <c r="I51" s="1187"/>
      <c r="J51" s="1193"/>
      <c r="L51" s="1191" t="s">
        <v>4070</v>
      </c>
    </row>
    <row r="52" spans="1:12" s="1186" customFormat="1" ht="12" customHeight="1">
      <c r="A52" s="1183"/>
      <c r="B52" s="1184"/>
      <c r="C52" s="1184"/>
      <c r="D52" s="1184"/>
      <c r="E52" s="1192" t="s">
        <v>3605</v>
      </c>
      <c r="F52" s="1186" t="s">
        <v>3826</v>
      </c>
      <c r="I52" s="1187"/>
      <c r="J52" s="1193"/>
      <c r="L52" s="1191" t="s">
        <v>4070</v>
      </c>
    </row>
    <row r="53" spans="1:12" s="1186" customFormat="1" ht="12" customHeight="1">
      <c r="A53" s="1222">
        <v>13</v>
      </c>
      <c r="B53" s="1208" t="s">
        <v>3827</v>
      </c>
      <c r="C53" s="1208"/>
      <c r="D53" s="1208"/>
      <c r="E53" s="1190" t="s">
        <v>3606</v>
      </c>
      <c r="F53" s="1213" t="s">
        <v>3828</v>
      </c>
      <c r="G53" s="1213"/>
      <c r="H53" s="1213"/>
      <c r="I53" s="1210"/>
      <c r="J53" s="1211"/>
      <c r="K53" s="1212"/>
      <c r="L53" s="1191" t="s">
        <v>4061</v>
      </c>
    </row>
    <row r="54" spans="1:12" s="1186" customFormat="1" ht="12" customHeight="1">
      <c r="A54" s="1183"/>
      <c r="B54" s="1184"/>
      <c r="C54" s="1184"/>
      <c r="D54" s="1184"/>
      <c r="E54" s="1192" t="s">
        <v>3604</v>
      </c>
      <c r="F54" s="1186" t="s">
        <v>3829</v>
      </c>
      <c r="I54" s="1187"/>
      <c r="J54" s="1193"/>
      <c r="L54" s="1191" t="s">
        <v>4061</v>
      </c>
    </row>
    <row r="55" spans="1:12" s="1186" customFormat="1" ht="12" customHeight="1">
      <c r="A55" s="1222">
        <v>14</v>
      </c>
      <c r="B55" s="1208" t="s">
        <v>3830</v>
      </c>
      <c r="C55" s="1208"/>
      <c r="D55" s="1208"/>
      <c r="E55" s="1190" t="s">
        <v>3606</v>
      </c>
      <c r="F55" s="1213" t="s">
        <v>3831</v>
      </c>
      <c r="G55" s="1213"/>
      <c r="H55" s="1213"/>
      <c r="I55" s="1210"/>
      <c r="J55" s="1211"/>
      <c r="K55" s="1212"/>
      <c r="L55" s="1191" t="s">
        <v>4070</v>
      </c>
    </row>
    <row r="56" spans="1:12" s="1186" customFormat="1" ht="12" customHeight="1">
      <c r="A56" s="1222">
        <v>15</v>
      </c>
      <c r="B56" s="1208" t="s">
        <v>3832</v>
      </c>
      <c r="C56" s="1208"/>
      <c r="D56" s="1208"/>
      <c r="E56" s="1190" t="s">
        <v>3606</v>
      </c>
      <c r="F56" s="1213" t="s">
        <v>3833</v>
      </c>
      <c r="G56" s="1213"/>
      <c r="H56" s="1213"/>
      <c r="I56" s="1210"/>
      <c r="J56" s="1211"/>
      <c r="K56" s="1212"/>
      <c r="L56" s="1191" t="s">
        <v>4070</v>
      </c>
    </row>
    <row r="57" spans="1:12" s="1186" customFormat="1" ht="12" customHeight="1">
      <c r="A57" s="1183"/>
      <c r="B57" s="1200"/>
      <c r="C57" s="1200"/>
      <c r="D57" s="1184" t="s">
        <v>3834</v>
      </c>
      <c r="E57" s="1192" t="s">
        <v>3604</v>
      </c>
      <c r="F57" s="1186" t="s">
        <v>3835</v>
      </c>
      <c r="I57" s="1187"/>
      <c r="J57" s="1193"/>
      <c r="L57" s="1191" t="s">
        <v>4070</v>
      </c>
    </row>
    <row r="58" spans="1:12" s="1186" customFormat="1" ht="12" customHeight="1">
      <c r="A58" s="1183"/>
      <c r="B58" s="1200"/>
      <c r="C58" s="1200"/>
      <c r="D58" s="1184" t="s">
        <v>3803</v>
      </c>
      <c r="E58" s="1192" t="s">
        <v>3605</v>
      </c>
      <c r="F58" s="1186" t="s">
        <v>3836</v>
      </c>
      <c r="I58" s="1187"/>
      <c r="J58" s="1193"/>
      <c r="L58" s="1191" t="s">
        <v>4070</v>
      </c>
    </row>
    <row r="59" spans="1:12" s="1186" customFormat="1" ht="12" customHeight="1">
      <c r="A59" s="1183"/>
      <c r="B59" s="1200"/>
      <c r="C59" s="1200"/>
      <c r="D59" s="1184" t="s">
        <v>3837</v>
      </c>
      <c r="E59" s="1192" t="s">
        <v>3607</v>
      </c>
      <c r="F59" s="1186" t="s">
        <v>3838</v>
      </c>
      <c r="I59" s="1187"/>
      <c r="J59" s="1193"/>
      <c r="L59" s="1191" t="s">
        <v>4070</v>
      </c>
    </row>
    <row r="60" spans="1:12" s="1186" customFormat="1" ht="12" customHeight="1">
      <c r="A60" s="1222">
        <v>16</v>
      </c>
      <c r="B60" s="1223" t="s">
        <v>3839</v>
      </c>
      <c r="C60" s="1223"/>
      <c r="D60" s="1208"/>
      <c r="E60" s="1190" t="s">
        <v>3606</v>
      </c>
      <c r="F60" s="1213" t="s">
        <v>3840</v>
      </c>
      <c r="G60" s="1213"/>
      <c r="H60" s="1213"/>
      <c r="I60" s="1210"/>
      <c r="J60" s="1211"/>
      <c r="K60" s="1212"/>
      <c r="L60" s="1191" t="s">
        <v>4061</v>
      </c>
    </row>
    <row r="61" spans="1:12" s="1186" customFormat="1" ht="12" customHeight="1">
      <c r="A61" s="1183"/>
      <c r="B61" s="1224"/>
      <c r="C61" s="1224"/>
      <c r="D61" s="1184"/>
      <c r="E61" s="1192" t="s">
        <v>3604</v>
      </c>
      <c r="F61" s="1186" t="s">
        <v>3841</v>
      </c>
      <c r="I61" s="1187"/>
      <c r="J61" s="1193"/>
      <c r="L61" s="1191" t="s">
        <v>4061</v>
      </c>
    </row>
    <row r="62" spans="1:12" s="1186" customFormat="1" ht="12" customHeight="1">
      <c r="A62" s="1183"/>
      <c r="B62" s="1224"/>
      <c r="C62" s="1224"/>
      <c r="D62" s="1184"/>
      <c r="E62" s="1192" t="s">
        <v>3605</v>
      </c>
      <c r="F62" s="1186" t="s">
        <v>3842</v>
      </c>
      <c r="I62" s="1187"/>
      <c r="J62" s="1193"/>
      <c r="L62" s="1191" t="s">
        <v>4061</v>
      </c>
    </row>
    <row r="63" spans="1:12" s="1186" customFormat="1" ht="12" customHeight="1">
      <c r="A63" s="1183"/>
      <c r="B63" s="1184"/>
      <c r="C63" s="1184"/>
      <c r="D63" s="1184"/>
      <c r="E63" s="1192" t="s">
        <v>3607</v>
      </c>
      <c r="F63" s="1186" t="s">
        <v>3843</v>
      </c>
      <c r="I63" s="1187"/>
      <c r="J63" s="1193"/>
      <c r="L63" s="1191" t="s">
        <v>4061</v>
      </c>
    </row>
    <row r="64" spans="1:12" s="1186" customFormat="1" ht="12" customHeight="1">
      <c r="A64" s="1222" t="s">
        <v>3945</v>
      </c>
      <c r="B64" s="1223" t="s">
        <v>4038</v>
      </c>
      <c r="C64" s="1223"/>
      <c r="D64" s="1208" t="s">
        <v>4034</v>
      </c>
      <c r="E64" s="1190" t="s">
        <v>3606</v>
      </c>
      <c r="F64" s="1225" t="s">
        <v>3844</v>
      </c>
      <c r="G64" s="1226"/>
      <c r="H64" s="1213"/>
      <c r="I64" s="1210"/>
      <c r="J64" s="1211"/>
      <c r="K64" s="1212"/>
      <c r="L64" s="1191" t="s">
        <v>4070</v>
      </c>
    </row>
    <row r="65" spans="1:12" s="1186" customFormat="1" ht="12" customHeight="1">
      <c r="A65" s="1183"/>
      <c r="B65" s="1227"/>
      <c r="C65" s="1227"/>
      <c r="D65" s="1184"/>
      <c r="E65" s="1205" t="s">
        <v>3604</v>
      </c>
      <c r="F65" s="1186" t="s">
        <v>3845</v>
      </c>
      <c r="I65" s="1187"/>
      <c r="J65" s="1193"/>
      <c r="L65" s="1191" t="s">
        <v>4070</v>
      </c>
    </row>
    <row r="66" spans="1:12" s="1186" customFormat="1" ht="12" customHeight="1">
      <c r="A66" s="1222" t="s">
        <v>3946</v>
      </c>
      <c r="B66" s="1223" t="s">
        <v>4040</v>
      </c>
      <c r="C66" s="1223"/>
      <c r="D66" s="1208"/>
      <c r="E66" s="1190" t="s">
        <v>3606</v>
      </c>
      <c r="F66" s="1213" t="s">
        <v>3927</v>
      </c>
      <c r="G66" s="1213"/>
      <c r="H66" s="1213"/>
      <c r="I66" s="1210"/>
      <c r="J66" s="1211"/>
      <c r="K66" s="1212"/>
      <c r="L66" s="1191" t="s">
        <v>4061</v>
      </c>
    </row>
    <row r="67" spans="1:12" s="1186" customFormat="1" ht="12" customHeight="1">
      <c r="A67" s="1183"/>
      <c r="B67" s="1224"/>
      <c r="C67" s="1224"/>
      <c r="D67" s="1184" t="s">
        <v>3846</v>
      </c>
      <c r="E67" s="1192" t="s">
        <v>3604</v>
      </c>
      <c r="F67" s="1186" t="s">
        <v>3847</v>
      </c>
      <c r="I67" s="1187"/>
      <c r="J67" s="1193"/>
      <c r="L67" s="1191" t="s">
        <v>4070</v>
      </c>
    </row>
    <row r="68" spans="1:12" s="1186" customFormat="1" ht="12" customHeight="1">
      <c r="A68" s="1198"/>
      <c r="B68" s="1199" t="s">
        <v>3848</v>
      </c>
      <c r="C68" s="1199"/>
      <c r="D68" s="1199"/>
      <c r="E68" s="1192" t="s">
        <v>3605</v>
      </c>
      <c r="F68" s="1228" t="s">
        <v>3849</v>
      </c>
      <c r="G68" s="1228"/>
      <c r="H68" s="1228"/>
      <c r="I68" s="1229"/>
      <c r="J68" s="1228"/>
      <c r="K68" s="1230"/>
      <c r="L68" s="1191" t="s">
        <v>4061</v>
      </c>
    </row>
    <row r="69" spans="1:12" s="1186" customFormat="1" ht="12" customHeight="1">
      <c r="A69" s="1183"/>
      <c r="B69" s="1184"/>
      <c r="C69" s="1184"/>
      <c r="D69" s="1184"/>
      <c r="E69" s="1192" t="s">
        <v>3607</v>
      </c>
      <c r="F69" s="1186" t="s">
        <v>3850</v>
      </c>
      <c r="I69" s="1187"/>
      <c r="L69" s="1191" t="s">
        <v>4061</v>
      </c>
    </row>
    <row r="70" spans="1:12" s="1186" customFormat="1" ht="12" customHeight="1">
      <c r="A70" s="1183"/>
      <c r="B70" s="1184"/>
      <c r="C70" s="1184"/>
      <c r="D70" s="1184"/>
      <c r="E70" s="1192" t="s">
        <v>3608</v>
      </c>
      <c r="F70" s="1186" t="s">
        <v>3851</v>
      </c>
      <c r="I70" s="1187"/>
      <c r="L70" s="1191" t="s">
        <v>4061</v>
      </c>
    </row>
    <row r="71" spans="1:12" s="1186" customFormat="1" ht="23.25" customHeight="1">
      <c r="A71" s="1183"/>
      <c r="C71" s="1200"/>
      <c r="D71" s="1184" t="s">
        <v>3834</v>
      </c>
      <c r="E71" s="1192" t="s">
        <v>3609</v>
      </c>
      <c r="F71" s="1231" t="s">
        <v>3969</v>
      </c>
      <c r="G71" s="1231"/>
      <c r="H71" s="1231"/>
      <c r="I71" s="1187" t="s">
        <v>3852</v>
      </c>
      <c r="J71" s="1193" t="s">
        <v>3853</v>
      </c>
      <c r="K71" s="1186" t="s">
        <v>3854</v>
      </c>
      <c r="L71" s="1191" t="s">
        <v>4070</v>
      </c>
    </row>
    <row r="72" spans="1:12" s="1186" customFormat="1" ht="12" customHeight="1">
      <c r="A72" s="1183"/>
      <c r="C72" s="1200"/>
      <c r="D72" s="1184" t="s">
        <v>3803</v>
      </c>
      <c r="E72" s="1192" t="s">
        <v>3610</v>
      </c>
      <c r="F72" s="1186" t="s">
        <v>3984</v>
      </c>
      <c r="I72" s="1187"/>
      <c r="J72" s="1193"/>
      <c r="L72" s="1191" t="s">
        <v>4070</v>
      </c>
    </row>
    <row r="73" spans="1:12" s="1186" customFormat="1" ht="12" customHeight="1">
      <c r="A73" s="1183"/>
      <c r="B73" s="1184"/>
      <c r="C73" s="1184"/>
      <c r="D73" s="1184"/>
      <c r="E73" s="1192"/>
      <c r="F73" s="1186" t="s">
        <v>3985</v>
      </c>
      <c r="I73" s="1187"/>
      <c r="J73" s="1193"/>
      <c r="L73" s="1191" t="s">
        <v>4070</v>
      </c>
    </row>
    <row r="74" spans="1:12" s="1186" customFormat="1" ht="12" customHeight="1">
      <c r="A74" s="1183"/>
      <c r="B74" s="1184"/>
      <c r="C74" s="1184"/>
      <c r="D74" s="1184"/>
      <c r="E74" s="1192"/>
      <c r="F74" s="1232" t="s">
        <v>3986</v>
      </c>
      <c r="G74" s="1232"/>
      <c r="H74" s="1232"/>
      <c r="I74" s="1187" t="s">
        <v>3852</v>
      </c>
      <c r="J74" s="1193" t="s">
        <v>3853</v>
      </c>
      <c r="K74" s="1186" t="s">
        <v>3854</v>
      </c>
      <c r="L74" s="1191" t="s">
        <v>4070</v>
      </c>
    </row>
    <row r="75" spans="1:12" s="1186" customFormat="1" ht="12" customHeight="1">
      <c r="A75" s="1183"/>
      <c r="B75" s="1184"/>
      <c r="C75" s="1184"/>
      <c r="D75" s="1184"/>
      <c r="E75" s="1192" t="s">
        <v>3943</v>
      </c>
      <c r="F75" s="1233" t="s">
        <v>3987</v>
      </c>
      <c r="G75" s="1233"/>
      <c r="H75" s="1233"/>
      <c r="I75" s="1187"/>
      <c r="J75" s="1193"/>
      <c r="L75" s="1191" t="s">
        <v>4070</v>
      </c>
    </row>
    <row r="76" spans="1:12" s="1186" customFormat="1" ht="12" customHeight="1">
      <c r="A76" s="1183"/>
      <c r="B76" s="1184"/>
      <c r="C76" s="1184"/>
      <c r="D76" s="1184"/>
      <c r="E76" s="1217" t="s">
        <v>3944</v>
      </c>
      <c r="F76" s="1218" t="s">
        <v>3967</v>
      </c>
      <c r="G76" s="1218"/>
      <c r="H76" s="1218"/>
      <c r="I76" s="1218"/>
      <c r="J76" s="1218"/>
      <c r="K76" s="1219"/>
      <c r="L76" s="1191" t="s">
        <v>4070</v>
      </c>
    </row>
    <row r="77" spans="1:12" s="1186" customFormat="1" ht="12" customHeight="1">
      <c r="A77" s="1222">
        <v>19</v>
      </c>
      <c r="B77" s="1208" t="s">
        <v>4039</v>
      </c>
      <c r="C77" s="1208"/>
      <c r="D77" s="1208" t="s">
        <v>3834</v>
      </c>
      <c r="E77" s="1190" t="s">
        <v>3606</v>
      </c>
      <c r="F77" s="1213" t="s">
        <v>3855</v>
      </c>
      <c r="G77" s="1213"/>
      <c r="H77" s="1213"/>
      <c r="I77" s="1210"/>
      <c r="J77" s="1211"/>
      <c r="K77" s="1213"/>
      <c r="L77" s="1191" t="s">
        <v>4070</v>
      </c>
    </row>
    <row r="78" spans="1:12" s="1186" customFormat="1" ht="12" customHeight="1">
      <c r="A78" s="1183"/>
      <c r="B78" s="1184"/>
      <c r="C78" s="1184"/>
      <c r="D78" s="1184"/>
      <c r="E78" s="1192" t="s">
        <v>3604</v>
      </c>
      <c r="F78" s="1186" t="s">
        <v>3856</v>
      </c>
      <c r="I78" s="1187"/>
      <c r="J78" s="1193"/>
      <c r="L78" s="1191" t="s">
        <v>4070</v>
      </c>
    </row>
    <row r="79" spans="1:12" s="1186" customFormat="1" ht="12" customHeight="1">
      <c r="A79" s="1183"/>
      <c r="C79" s="1200"/>
      <c r="D79" s="1184" t="s">
        <v>3857</v>
      </c>
      <c r="E79" s="1192" t="s">
        <v>3605</v>
      </c>
      <c r="F79" s="1186" t="s">
        <v>3858</v>
      </c>
      <c r="I79" s="1187"/>
      <c r="J79" s="1193"/>
      <c r="L79" s="1191" t="s">
        <v>4070</v>
      </c>
    </row>
    <row r="80" spans="1:12" s="1186" customFormat="1" ht="12" customHeight="1">
      <c r="A80" s="1183"/>
      <c r="B80" s="1184"/>
      <c r="C80" s="1184"/>
      <c r="D80" s="1184"/>
      <c r="E80" s="1192" t="s">
        <v>3607</v>
      </c>
      <c r="F80" s="1201" t="s">
        <v>3859</v>
      </c>
      <c r="G80" s="1201"/>
      <c r="H80" s="1201"/>
      <c r="I80" s="1187"/>
      <c r="J80" s="1193"/>
      <c r="L80" s="1191" t="s">
        <v>4070</v>
      </c>
    </row>
    <row r="81" spans="1:12" s="1186" customFormat="1" ht="12" customHeight="1">
      <c r="A81" s="1222">
        <v>20</v>
      </c>
      <c r="B81" s="1208" t="s">
        <v>4036</v>
      </c>
      <c r="C81" s="1208"/>
      <c r="D81" s="1208" t="s">
        <v>3834</v>
      </c>
      <c r="E81" s="1190" t="s">
        <v>3606</v>
      </c>
      <c r="F81" s="1234" t="s">
        <v>3860</v>
      </c>
      <c r="G81" s="1213"/>
      <c r="H81" s="1213"/>
      <c r="I81" s="1210"/>
      <c r="J81" s="1211"/>
      <c r="K81" s="1213"/>
      <c r="L81" s="1191" t="s">
        <v>4070</v>
      </c>
    </row>
    <row r="82" spans="1:12" s="1186" customFormat="1" ht="12" customHeight="1">
      <c r="A82" s="1222">
        <v>21</v>
      </c>
      <c r="B82" s="1208" t="s">
        <v>3861</v>
      </c>
      <c r="C82" s="1208"/>
      <c r="D82" s="1208"/>
      <c r="E82" s="1190" t="s">
        <v>3606</v>
      </c>
      <c r="F82" s="1213" t="s">
        <v>3862</v>
      </c>
      <c r="G82" s="1213"/>
      <c r="H82" s="1213"/>
      <c r="I82" s="1210"/>
      <c r="J82" s="1211"/>
      <c r="K82" s="1213"/>
      <c r="L82" s="1191" t="s">
        <v>4070</v>
      </c>
    </row>
    <row r="83" spans="1:12" s="1186" customFormat="1" ht="12" customHeight="1">
      <c r="A83" s="1183"/>
      <c r="B83" s="1184"/>
      <c r="C83" s="1184"/>
      <c r="D83" s="1184"/>
      <c r="E83" s="1192" t="s">
        <v>3604</v>
      </c>
      <c r="F83" s="1186" t="s">
        <v>3863</v>
      </c>
      <c r="I83" s="1187"/>
      <c r="J83" s="1193"/>
      <c r="L83" s="1191" t="s">
        <v>4070</v>
      </c>
    </row>
    <row r="84" spans="1:12" s="1186" customFormat="1" ht="12" customHeight="1">
      <c r="A84" s="1222">
        <v>22</v>
      </c>
      <c r="B84" s="1223" t="s">
        <v>3864</v>
      </c>
      <c r="C84" s="1223"/>
      <c r="D84" s="1208"/>
      <c r="E84" s="1190" t="s">
        <v>3606</v>
      </c>
      <c r="F84" s="1213" t="s">
        <v>3970</v>
      </c>
      <c r="G84" s="1213"/>
      <c r="H84" s="1213"/>
      <c r="I84" s="1210"/>
      <c r="J84" s="1211"/>
      <c r="K84" s="1212"/>
      <c r="L84" s="1191" t="s">
        <v>4070</v>
      </c>
    </row>
    <row r="85" spans="1:12" s="1186" customFormat="1" ht="12" customHeight="1">
      <c r="A85" s="1183"/>
      <c r="B85" s="1224"/>
      <c r="C85" s="1224"/>
      <c r="D85" s="1184"/>
      <c r="E85" s="1192" t="s">
        <v>3604</v>
      </c>
      <c r="F85" s="1186" t="s">
        <v>3182</v>
      </c>
      <c r="I85" s="1187"/>
      <c r="J85" s="1193"/>
      <c r="L85" s="1191" t="s">
        <v>4070</v>
      </c>
    </row>
    <row r="86" spans="1:12" s="1186" customFormat="1" ht="12" customHeight="1">
      <c r="A86" s="1183"/>
      <c r="B86" s="1184"/>
      <c r="C86" s="1184"/>
      <c r="D86" s="1184"/>
      <c r="E86" s="1192" t="s">
        <v>3605</v>
      </c>
      <c r="F86" s="1186" t="s">
        <v>3865</v>
      </c>
      <c r="I86" s="1187"/>
      <c r="J86" s="1193"/>
      <c r="L86" s="1191" t="s">
        <v>4070</v>
      </c>
    </row>
    <row r="87" spans="1:12" s="1186" customFormat="1" ht="12" customHeight="1">
      <c r="A87" s="1183"/>
      <c r="B87" s="1184"/>
      <c r="C87" s="1184"/>
      <c r="D87" s="1184"/>
      <c r="E87" s="1192" t="s">
        <v>3607</v>
      </c>
      <c r="F87" s="1186" t="s">
        <v>624</v>
      </c>
      <c r="I87" s="1187"/>
      <c r="J87" s="1193"/>
      <c r="L87" s="1191" t="s">
        <v>4070</v>
      </c>
    </row>
    <row r="88" spans="1:12" s="1186" customFormat="1" ht="12" customHeight="1">
      <c r="A88" s="1183"/>
      <c r="B88" s="1184"/>
      <c r="C88" s="1184"/>
      <c r="D88" s="1184"/>
      <c r="E88" s="1192" t="s">
        <v>3608</v>
      </c>
      <c r="F88" s="1186" t="s">
        <v>831</v>
      </c>
      <c r="I88" s="1187"/>
      <c r="J88" s="1193"/>
      <c r="L88" s="1191" t="s">
        <v>4070</v>
      </c>
    </row>
    <row r="89" spans="1:12" s="1186" customFormat="1" ht="12" customHeight="1">
      <c r="A89" s="1183"/>
      <c r="B89" s="1184"/>
      <c r="C89" s="1184"/>
      <c r="D89" s="1184"/>
      <c r="E89" s="1192" t="s">
        <v>3609</v>
      </c>
      <c r="F89" s="1186" t="s">
        <v>1998</v>
      </c>
      <c r="I89" s="1187"/>
      <c r="J89" s="1193"/>
      <c r="L89" s="1191" t="s">
        <v>4070</v>
      </c>
    </row>
    <row r="90" spans="1:12" s="1186" customFormat="1" ht="12" customHeight="1">
      <c r="A90" s="1183"/>
      <c r="B90" s="1184"/>
      <c r="C90" s="1184"/>
      <c r="D90" s="1184"/>
      <c r="E90" s="1217" t="s">
        <v>3610</v>
      </c>
      <c r="F90" s="1186" t="s">
        <v>4060</v>
      </c>
      <c r="I90" s="1187"/>
      <c r="J90" s="1193"/>
      <c r="L90" s="1191" t="s">
        <v>4070</v>
      </c>
    </row>
    <row r="91" spans="1:12" s="1186" customFormat="1" ht="12" customHeight="1">
      <c r="A91" s="1222">
        <v>23</v>
      </c>
      <c r="B91" s="1208" t="s">
        <v>4037</v>
      </c>
      <c r="C91" s="1208"/>
      <c r="D91" s="1208" t="s">
        <v>3834</v>
      </c>
      <c r="E91" s="1190" t="s">
        <v>3606</v>
      </c>
      <c r="F91" s="1213" t="s">
        <v>3866</v>
      </c>
      <c r="G91" s="1213"/>
      <c r="H91" s="1213"/>
      <c r="I91" s="1210"/>
      <c r="J91" s="1211"/>
      <c r="K91" s="1213"/>
      <c r="L91" s="1191" t="s">
        <v>4070</v>
      </c>
    </row>
    <row r="92" spans="1:12" s="1186" customFormat="1" ht="12" customHeight="1">
      <c r="A92" s="1183"/>
      <c r="C92" s="1200"/>
      <c r="D92" s="1184" t="s">
        <v>3803</v>
      </c>
      <c r="E92" s="1192" t="s">
        <v>3604</v>
      </c>
      <c r="F92" s="1186" t="s">
        <v>3867</v>
      </c>
      <c r="I92" s="1187"/>
      <c r="J92" s="1193"/>
      <c r="L92" s="1191" t="s">
        <v>4070</v>
      </c>
    </row>
    <row r="93" spans="1:12" s="1186" customFormat="1" ht="12" customHeight="1">
      <c r="A93" s="1183"/>
      <c r="C93" s="1200"/>
      <c r="D93" s="1184" t="s">
        <v>3837</v>
      </c>
      <c r="E93" s="1192" t="s">
        <v>3605</v>
      </c>
      <c r="F93" s="1186" t="s">
        <v>3868</v>
      </c>
      <c r="I93" s="1187"/>
      <c r="J93" s="1193"/>
      <c r="L93" s="1191" t="s">
        <v>4070</v>
      </c>
    </row>
    <row r="94" spans="1:12" s="1186" customFormat="1" ht="12" customHeight="1">
      <c r="A94" s="1183"/>
      <c r="C94" s="1200"/>
      <c r="D94" s="1184" t="s">
        <v>3846</v>
      </c>
      <c r="E94" s="1192" t="s">
        <v>3607</v>
      </c>
      <c r="F94" s="1186" t="s">
        <v>3869</v>
      </c>
      <c r="I94" s="1187"/>
      <c r="J94" s="1193"/>
      <c r="L94" s="1191" t="s">
        <v>4070</v>
      </c>
    </row>
    <row r="95" spans="1:12" s="1186" customFormat="1" ht="12" customHeight="1">
      <c r="A95" s="1222">
        <v>24</v>
      </c>
      <c r="B95" s="1235" t="s">
        <v>3870</v>
      </c>
      <c r="C95" s="1235"/>
      <c r="D95" s="1236"/>
      <c r="E95" s="1190" t="s">
        <v>3606</v>
      </c>
      <c r="F95" s="1237" t="s">
        <v>3871</v>
      </c>
      <c r="G95" s="1237"/>
      <c r="H95" s="1237"/>
      <c r="I95" s="1210"/>
      <c r="J95" s="1211"/>
      <c r="K95" s="1213"/>
      <c r="L95" s="1191" t="s">
        <v>4061</v>
      </c>
    </row>
    <row r="96" spans="1:12" s="1186" customFormat="1" ht="12" customHeight="1">
      <c r="A96" s="1238"/>
      <c r="B96" s="1239"/>
      <c r="C96" s="1239"/>
      <c r="D96" s="1240"/>
      <c r="E96" s="1192" t="s">
        <v>3604</v>
      </c>
      <c r="F96" s="1214" t="s">
        <v>1914</v>
      </c>
      <c r="G96" s="1214"/>
      <c r="H96" s="1214"/>
      <c r="I96" s="1187"/>
      <c r="J96" s="1193"/>
      <c r="L96" s="1191" t="s">
        <v>4070</v>
      </c>
    </row>
    <row r="97" spans="1:12" s="1186" customFormat="1" ht="12" customHeight="1">
      <c r="A97" s="1238"/>
      <c r="B97" s="1241"/>
      <c r="C97" s="1241"/>
      <c r="D97" s="1241"/>
      <c r="E97" s="1192" t="s">
        <v>3605</v>
      </c>
      <c r="F97" s="1214" t="s">
        <v>3872</v>
      </c>
      <c r="G97" s="1214"/>
      <c r="H97" s="1214"/>
      <c r="I97" s="1187"/>
      <c r="J97" s="1193"/>
      <c r="L97" s="1191" t="s">
        <v>4070</v>
      </c>
    </row>
    <row r="98" spans="1:12" s="1186" customFormat="1" ht="12" customHeight="1">
      <c r="A98" s="1238"/>
      <c r="B98" s="1241"/>
      <c r="C98" s="1241"/>
      <c r="D98" s="1241"/>
      <c r="E98" s="1192" t="s">
        <v>3607</v>
      </c>
      <c r="F98" s="1214" t="s">
        <v>2941</v>
      </c>
      <c r="G98" s="1214"/>
      <c r="H98" s="1214"/>
      <c r="I98" s="1187"/>
      <c r="J98" s="1193"/>
      <c r="L98" s="1191" t="s">
        <v>4070</v>
      </c>
    </row>
    <row r="99" spans="1:12" s="1186" customFormat="1" ht="12" customHeight="1">
      <c r="A99" s="1238"/>
      <c r="B99" s="1241"/>
      <c r="C99" s="1241"/>
      <c r="D99" s="1241"/>
      <c r="E99" s="1192" t="s">
        <v>3608</v>
      </c>
      <c r="F99" s="1214" t="s">
        <v>3873</v>
      </c>
      <c r="G99" s="1214"/>
      <c r="H99" s="1214"/>
      <c r="I99" s="1187"/>
      <c r="J99" s="1193"/>
      <c r="L99" s="1191" t="s">
        <v>4070</v>
      </c>
    </row>
    <row r="100" spans="1:12" s="1186" customFormat="1" ht="12" customHeight="1">
      <c r="A100" s="1238"/>
      <c r="B100" s="1238"/>
      <c r="C100" s="1238"/>
      <c r="D100" s="1238"/>
      <c r="E100" s="1192" t="s">
        <v>3609</v>
      </c>
      <c r="F100" s="1214" t="s">
        <v>3874</v>
      </c>
      <c r="G100" s="1214"/>
      <c r="H100" s="1214"/>
      <c r="I100" s="1187"/>
      <c r="J100" s="1193"/>
      <c r="L100" s="1191" t="s">
        <v>4070</v>
      </c>
    </row>
    <row r="101" spans="1:12" s="1186" customFormat="1" ht="12" customHeight="1">
      <c r="A101" s="1238"/>
      <c r="B101" s="1238"/>
      <c r="C101" s="1238"/>
      <c r="D101" s="1238"/>
      <c r="E101" s="1192" t="s">
        <v>3610</v>
      </c>
      <c r="F101" s="1214" t="s">
        <v>3875</v>
      </c>
      <c r="G101" s="1214"/>
      <c r="H101" s="1214"/>
      <c r="I101" s="1187"/>
      <c r="J101" s="1193"/>
      <c r="L101" s="1194" t="s">
        <v>4070</v>
      </c>
    </row>
    <row r="102" spans="1:12" s="1186" customFormat="1" ht="12" customHeight="1">
      <c r="A102" s="1238"/>
      <c r="B102" s="1238"/>
      <c r="C102" s="1238"/>
      <c r="D102" s="1238"/>
      <c r="E102" s="1195" t="s">
        <v>3943</v>
      </c>
      <c r="F102" s="1214" t="s">
        <v>3971</v>
      </c>
      <c r="G102" s="1214"/>
      <c r="H102" s="1214"/>
      <c r="I102" s="1187"/>
      <c r="J102" s="1193"/>
      <c r="L102" s="1194" t="s">
        <v>4070</v>
      </c>
    </row>
    <row r="103" spans="1:12" s="1228" customFormat="1" ht="12" customHeight="1">
      <c r="A103" s="1196" t="s">
        <v>3876</v>
      </c>
      <c r="B103" s="1196"/>
      <c r="C103" s="1196"/>
      <c r="D103" s="1196"/>
      <c r="E103" s="1196"/>
      <c r="F103" s="1196"/>
      <c r="G103" s="1196"/>
      <c r="H103" s="1196"/>
      <c r="I103" s="1196"/>
      <c r="J103" s="1196"/>
      <c r="K103" s="1196"/>
      <c r="L103" s="1196"/>
    </row>
    <row r="104" spans="1:12" s="1186" customFormat="1" ht="12" customHeight="1">
      <c r="A104" s="1198">
        <v>25</v>
      </c>
      <c r="B104" s="1242" t="s">
        <v>4041</v>
      </c>
      <c r="C104" s="1242"/>
      <c r="D104" s="1184"/>
      <c r="E104" s="1190" t="s">
        <v>3606</v>
      </c>
      <c r="F104" s="1186" t="s">
        <v>3877</v>
      </c>
      <c r="I104" s="1187"/>
      <c r="J104" s="1193"/>
      <c r="L104" s="1191" t="s">
        <v>4061</v>
      </c>
    </row>
    <row r="105" spans="1:12" s="1186" customFormat="1" ht="12" customHeight="1">
      <c r="A105" s="1183"/>
      <c r="B105" s="1242"/>
      <c r="C105" s="1242"/>
      <c r="D105" s="1184"/>
      <c r="E105" s="1192" t="s">
        <v>3604</v>
      </c>
      <c r="F105" s="1186" t="s">
        <v>3878</v>
      </c>
      <c r="I105" s="1187"/>
      <c r="J105" s="1193"/>
      <c r="L105" s="1191" t="s">
        <v>4061</v>
      </c>
    </row>
    <row r="106" spans="1:12" s="1186" customFormat="1" ht="12" customHeight="1">
      <c r="A106" s="1183"/>
      <c r="B106" s="1184"/>
      <c r="C106" s="1184"/>
      <c r="D106" s="1184"/>
      <c r="E106" s="1192" t="s">
        <v>3605</v>
      </c>
      <c r="F106" s="1186" t="s">
        <v>3879</v>
      </c>
      <c r="I106" s="1187"/>
      <c r="J106" s="1193"/>
      <c r="L106" s="1191" t="s">
        <v>4061</v>
      </c>
    </row>
    <row r="107" spans="1:12" s="1186" customFormat="1" ht="23.25" customHeight="1">
      <c r="A107" s="1183"/>
      <c r="B107" s="1184"/>
      <c r="C107" s="1184"/>
      <c r="D107" s="1184"/>
      <c r="E107" s="1192" t="s">
        <v>3607</v>
      </c>
      <c r="F107" s="1231" t="s">
        <v>3972</v>
      </c>
      <c r="G107" s="1231"/>
      <c r="H107" s="1231"/>
      <c r="I107" s="1231"/>
      <c r="J107" s="1231"/>
      <c r="K107" s="1243"/>
      <c r="L107" s="1191" t="s">
        <v>4061</v>
      </c>
    </row>
    <row r="108" spans="1:12" s="1186" customFormat="1" ht="12" customHeight="1">
      <c r="A108" s="1183"/>
      <c r="B108" s="1184"/>
      <c r="C108" s="1184"/>
      <c r="D108" s="1184"/>
      <c r="E108" s="1192" t="s">
        <v>3608</v>
      </c>
      <c r="F108" s="1186" t="s">
        <v>3880</v>
      </c>
      <c r="I108" s="1187"/>
      <c r="J108" s="1193"/>
      <c r="L108" s="1191" t="s">
        <v>4070</v>
      </c>
    </row>
    <row r="109" spans="1:12" s="1186" customFormat="1" ht="12" customHeight="1">
      <c r="A109" s="1222">
        <v>26</v>
      </c>
      <c r="B109" s="1208" t="s">
        <v>3881</v>
      </c>
      <c r="C109" s="1208"/>
      <c r="D109" s="1208"/>
      <c r="E109" s="1190" t="s">
        <v>3606</v>
      </c>
      <c r="F109" s="1213" t="s">
        <v>3882</v>
      </c>
      <c r="G109" s="1213"/>
      <c r="H109" s="1213"/>
      <c r="I109" s="1210"/>
      <c r="J109" s="1211"/>
      <c r="K109" s="1213"/>
      <c r="L109" s="1191" t="s">
        <v>4070</v>
      </c>
    </row>
    <row r="110" spans="1:12" s="1186" customFormat="1" ht="12" customHeight="1">
      <c r="A110" s="1183"/>
      <c r="B110" s="1184"/>
      <c r="C110" s="1184"/>
      <c r="D110" s="1184"/>
      <c r="E110" s="1192" t="s">
        <v>3604</v>
      </c>
      <c r="F110" s="1186" t="s">
        <v>547</v>
      </c>
      <c r="I110" s="1187"/>
      <c r="J110" s="1193"/>
      <c r="L110" s="1191" t="s">
        <v>4070</v>
      </c>
    </row>
    <row r="111" spans="1:12" s="1186" customFormat="1" ht="12" customHeight="1">
      <c r="A111" s="1244">
        <v>27</v>
      </c>
      <c r="B111" s="1208" t="s">
        <v>3883</v>
      </c>
      <c r="C111" s="1208"/>
      <c r="D111" s="1208"/>
      <c r="E111" s="1190" t="s">
        <v>3606</v>
      </c>
      <c r="F111" s="1213" t="s">
        <v>598</v>
      </c>
      <c r="G111" s="1213"/>
      <c r="H111" s="1213"/>
      <c r="I111" s="1210"/>
      <c r="J111" s="1211"/>
      <c r="K111" s="1213"/>
      <c r="L111" s="1191" t="s">
        <v>4061</v>
      </c>
    </row>
    <row r="112" spans="1:12" s="1186" customFormat="1" ht="23.25" customHeight="1">
      <c r="A112" s="1183"/>
      <c r="B112" s="1184"/>
      <c r="C112" s="1184"/>
      <c r="D112" s="1184"/>
      <c r="E112" s="1192" t="s">
        <v>3604</v>
      </c>
      <c r="F112" s="1231" t="s">
        <v>3884</v>
      </c>
      <c r="G112" s="1231"/>
      <c r="H112" s="1231"/>
      <c r="I112" s="1231"/>
      <c r="J112" s="1231"/>
      <c r="K112" s="1243"/>
      <c r="L112" s="1191" t="s">
        <v>4061</v>
      </c>
    </row>
    <row r="113" spans="1:12" s="1186" customFormat="1" ht="12" customHeight="1">
      <c r="A113" s="1183"/>
      <c r="B113" s="1184"/>
      <c r="C113" s="1184"/>
      <c r="D113" s="1184"/>
      <c r="E113" s="1192" t="s">
        <v>3605</v>
      </c>
      <c r="F113" s="1186" t="s">
        <v>3885</v>
      </c>
      <c r="I113" s="1187"/>
      <c r="J113" s="1193"/>
      <c r="L113" s="1191" t="s">
        <v>4070</v>
      </c>
    </row>
    <row r="114" spans="1:12" s="1186" customFormat="1" ht="12" customHeight="1">
      <c r="A114" s="1183"/>
      <c r="B114" s="1184"/>
      <c r="C114" s="1184"/>
      <c r="D114" s="1184"/>
      <c r="E114" s="1192" t="s">
        <v>3607</v>
      </c>
      <c r="F114" s="1186" t="s">
        <v>3886</v>
      </c>
      <c r="I114" s="1187"/>
      <c r="J114" s="1193"/>
      <c r="L114" s="1191" t="s">
        <v>4070</v>
      </c>
    </row>
    <row r="115" spans="1:12" s="1186" customFormat="1" ht="12" customHeight="1">
      <c r="A115" s="1183"/>
      <c r="B115" s="1184"/>
      <c r="C115" s="1184"/>
      <c r="D115" s="1184"/>
      <c r="E115" s="1217" t="s">
        <v>3608</v>
      </c>
      <c r="F115" s="1186" t="s">
        <v>3887</v>
      </c>
      <c r="I115" s="1187"/>
      <c r="J115" s="1193"/>
      <c r="L115" s="1191" t="s">
        <v>4070</v>
      </c>
    </row>
    <row r="116" spans="1:12" s="1186" customFormat="1" ht="12" customHeight="1">
      <c r="A116" s="1222">
        <v>28</v>
      </c>
      <c r="B116" s="1223" t="s">
        <v>3888</v>
      </c>
      <c r="C116" s="1223"/>
      <c r="D116" s="1208" t="s">
        <v>4052</v>
      </c>
      <c r="E116" s="1190" t="s">
        <v>3606</v>
      </c>
      <c r="F116" s="1213" t="s">
        <v>3988</v>
      </c>
      <c r="G116" s="1213"/>
      <c r="H116" s="1213"/>
      <c r="I116" s="1210"/>
      <c r="J116" s="1211"/>
      <c r="K116" s="1212"/>
      <c r="L116" s="1191" t="s">
        <v>4061</v>
      </c>
    </row>
    <row r="117" spans="1:12" s="1186" customFormat="1" ht="12" customHeight="1">
      <c r="B117" s="1224"/>
      <c r="C117" s="1224"/>
      <c r="D117" s="1184"/>
      <c r="E117" s="1192"/>
      <c r="F117" s="1186" t="s">
        <v>3989</v>
      </c>
      <c r="I117" s="1187"/>
      <c r="J117" s="1193"/>
      <c r="L117" s="1191" t="s">
        <v>4070</v>
      </c>
    </row>
    <row r="118" spans="1:12" s="1186" customFormat="1" ht="12" customHeight="1">
      <c r="A118" s="1183"/>
      <c r="C118" s="1184"/>
      <c r="D118" s="1184"/>
      <c r="E118" s="1192"/>
      <c r="F118" s="1186" t="s">
        <v>3990</v>
      </c>
      <c r="I118" s="1187"/>
      <c r="J118" s="1193"/>
      <c r="L118" s="1191" t="s">
        <v>4061</v>
      </c>
    </row>
    <row r="119" spans="1:12" s="1186" customFormat="1" ht="12" customHeight="1">
      <c r="A119" s="1183"/>
      <c r="C119" s="1184"/>
      <c r="D119" s="1184"/>
      <c r="E119" s="1192"/>
      <c r="F119" s="1245" t="s">
        <v>3991</v>
      </c>
      <c r="I119" s="1187"/>
      <c r="J119" s="1193"/>
      <c r="L119" s="1246"/>
    </row>
    <row r="120" spans="1:12" s="1186" customFormat="1" ht="12" customHeight="1">
      <c r="A120" s="1183"/>
      <c r="C120" s="1200"/>
      <c r="D120" s="1184" t="s">
        <v>4049</v>
      </c>
      <c r="E120" s="1192" t="s">
        <v>3604</v>
      </c>
      <c r="F120" s="1186" t="s">
        <v>3992</v>
      </c>
      <c r="I120" s="1187"/>
      <c r="J120" s="1193"/>
      <c r="L120" s="1191" t="s">
        <v>4070</v>
      </c>
    </row>
    <row r="121" spans="1:12" s="1186" customFormat="1" ht="12" customHeight="1">
      <c r="D121" s="1184"/>
      <c r="E121" s="1205"/>
      <c r="F121" s="1186" t="s">
        <v>3993</v>
      </c>
      <c r="I121" s="1187"/>
      <c r="J121" s="1193"/>
      <c r="L121" s="1191" t="s">
        <v>4070</v>
      </c>
    </row>
    <row r="122" spans="1:12" s="1186" customFormat="1" ht="12" customHeight="1">
      <c r="D122" s="1184"/>
      <c r="E122" s="1205"/>
      <c r="F122" s="1245" t="s">
        <v>3994</v>
      </c>
      <c r="I122" s="1187"/>
      <c r="J122" s="1193"/>
    </row>
    <row r="123" spans="1:12" s="1186" customFormat="1" ht="12" customHeight="1">
      <c r="A123" s="1183"/>
      <c r="C123" s="1200"/>
      <c r="D123" s="1184" t="s">
        <v>3803</v>
      </c>
      <c r="E123" s="1192" t="s">
        <v>3605</v>
      </c>
      <c r="F123" s="1186" t="s">
        <v>3995</v>
      </c>
      <c r="I123" s="1187"/>
      <c r="J123" s="1193"/>
      <c r="L123" s="1191" t="s">
        <v>4061</v>
      </c>
    </row>
    <row r="124" spans="1:12" s="1186" customFormat="1" ht="23.25" customHeight="1">
      <c r="A124" s="1183"/>
      <c r="B124" s="1184"/>
      <c r="C124" s="1184"/>
      <c r="D124" s="1184"/>
      <c r="E124" s="1205"/>
      <c r="F124" s="1201" t="s">
        <v>3996</v>
      </c>
      <c r="G124" s="1201"/>
      <c r="H124" s="1201"/>
      <c r="I124" s="1187"/>
      <c r="J124" s="1193"/>
      <c r="L124" s="1191" t="s">
        <v>4061</v>
      </c>
    </row>
    <row r="125" spans="1:12" s="1186" customFormat="1" ht="12" customHeight="1">
      <c r="A125" s="1222">
        <v>29</v>
      </c>
      <c r="B125" s="1223" t="s">
        <v>4042</v>
      </c>
      <c r="C125" s="1223"/>
      <c r="D125" s="1208" t="s">
        <v>3834</v>
      </c>
      <c r="E125" s="1190" t="s">
        <v>3606</v>
      </c>
      <c r="F125" s="1213" t="s">
        <v>3889</v>
      </c>
      <c r="G125" s="1213"/>
      <c r="H125" s="1213"/>
      <c r="I125" s="1210"/>
      <c r="J125" s="1211"/>
      <c r="K125" s="1212"/>
      <c r="L125" s="1191" t="s">
        <v>4061</v>
      </c>
    </row>
    <row r="126" spans="1:12" s="1186" customFormat="1" ht="12" customHeight="1">
      <c r="A126" s="1183"/>
      <c r="B126" s="1224"/>
      <c r="C126" s="1224"/>
      <c r="D126" s="1184" t="s">
        <v>4053</v>
      </c>
      <c r="E126" s="1192" t="s">
        <v>3604</v>
      </c>
      <c r="F126" s="1186" t="s">
        <v>3998</v>
      </c>
      <c r="I126" s="1187"/>
      <c r="J126" s="1193"/>
      <c r="L126" s="1191" t="s">
        <v>4070</v>
      </c>
    </row>
    <row r="127" spans="1:12" s="1186" customFormat="1" ht="12" customHeight="1">
      <c r="A127" s="1183"/>
      <c r="E127" s="1205"/>
      <c r="F127" s="1186" t="s">
        <v>3999</v>
      </c>
      <c r="I127" s="1187"/>
      <c r="J127" s="1193"/>
      <c r="L127" s="1191" t="s">
        <v>4070</v>
      </c>
    </row>
    <row r="128" spans="1:12" s="1186" customFormat="1" ht="12" customHeight="1">
      <c r="A128" s="1183"/>
      <c r="E128" s="1205"/>
      <c r="F128" s="1186" t="s">
        <v>4000</v>
      </c>
      <c r="I128" s="1187"/>
      <c r="J128" s="1193"/>
      <c r="L128" s="1191" t="s">
        <v>4070</v>
      </c>
    </row>
    <row r="129" spans="1:12" s="1186" customFormat="1" ht="12" customHeight="1">
      <c r="A129" s="1183"/>
      <c r="E129" s="1205"/>
      <c r="F129" s="1186" t="s">
        <v>4001</v>
      </c>
      <c r="I129" s="1187"/>
      <c r="J129" s="1193"/>
      <c r="L129" s="1191" t="s">
        <v>4070</v>
      </c>
    </row>
    <row r="130" spans="1:12" s="1186" customFormat="1" ht="12" customHeight="1">
      <c r="A130" s="1183"/>
      <c r="C130" s="1184"/>
      <c r="D130" s="1183"/>
      <c r="E130" s="1205"/>
      <c r="F130" s="1186" t="s">
        <v>4002</v>
      </c>
      <c r="I130" s="1187"/>
      <c r="J130" s="1193"/>
      <c r="L130" s="1191" t="s">
        <v>4070</v>
      </c>
    </row>
    <row r="131" spans="1:12" s="1186" customFormat="1" ht="12" customHeight="1">
      <c r="A131" s="1183"/>
      <c r="C131" s="1200"/>
      <c r="D131" s="1183" t="s">
        <v>4054</v>
      </c>
      <c r="E131" s="1192" t="s">
        <v>3605</v>
      </c>
      <c r="F131" s="1186" t="s">
        <v>4003</v>
      </c>
      <c r="I131" s="1187"/>
      <c r="J131" s="1193"/>
      <c r="L131" s="1191" t="s">
        <v>4070</v>
      </c>
    </row>
    <row r="132" spans="1:12" s="1186" customFormat="1" ht="12" customHeight="1">
      <c r="A132" s="1183"/>
      <c r="C132" s="1184"/>
      <c r="D132" s="1183"/>
      <c r="E132" s="1205"/>
      <c r="F132" s="1186" t="s">
        <v>4004</v>
      </c>
      <c r="I132" s="1187"/>
      <c r="J132" s="1193"/>
      <c r="L132" s="1191" t="s">
        <v>4070</v>
      </c>
    </row>
    <row r="133" spans="1:12" s="1186" customFormat="1" ht="12" customHeight="1">
      <c r="A133" s="1183"/>
      <c r="E133" s="1205"/>
      <c r="F133" s="1186" t="s">
        <v>4005</v>
      </c>
      <c r="I133" s="1187"/>
      <c r="J133" s="1193"/>
      <c r="L133" s="1191" t="s">
        <v>4070</v>
      </c>
    </row>
    <row r="134" spans="1:12" s="1186" customFormat="1" ht="12" customHeight="1">
      <c r="A134" s="1183"/>
      <c r="C134" s="1200"/>
      <c r="D134" s="1184" t="s">
        <v>3909</v>
      </c>
      <c r="E134" s="1192" t="s">
        <v>3607</v>
      </c>
      <c r="F134" s="1186" t="s">
        <v>4006</v>
      </c>
      <c r="I134" s="1187"/>
      <c r="J134" s="1193"/>
      <c r="L134" s="1191" t="s">
        <v>4070</v>
      </c>
    </row>
    <row r="135" spans="1:12" s="1186" customFormat="1" ht="12" customHeight="1">
      <c r="A135" s="1183"/>
      <c r="B135" s="1184"/>
      <c r="C135" s="1184"/>
      <c r="D135" s="1184"/>
      <c r="E135" s="1205"/>
      <c r="F135" s="1186" t="s">
        <v>4007</v>
      </c>
      <c r="I135" s="1187"/>
      <c r="J135" s="1193"/>
      <c r="L135" s="1191" t="s">
        <v>4070</v>
      </c>
    </row>
    <row r="136" spans="1:12" s="1186" customFormat="1" ht="12" customHeight="1">
      <c r="A136" s="1183"/>
      <c r="B136" s="1184"/>
      <c r="C136" s="1184"/>
      <c r="D136" s="1184"/>
      <c r="E136" s="1205"/>
      <c r="F136" s="1186" t="s">
        <v>4008</v>
      </c>
      <c r="I136" s="1187"/>
      <c r="J136" s="1193"/>
      <c r="L136" s="1191" t="s">
        <v>4070</v>
      </c>
    </row>
    <row r="137" spans="1:12" s="1186" customFormat="1" ht="12" customHeight="1">
      <c r="A137" s="1183"/>
      <c r="B137" s="1184"/>
      <c r="C137" s="1184"/>
      <c r="D137" s="1184"/>
      <c r="E137" s="1205"/>
      <c r="F137" s="1186" t="s">
        <v>4009</v>
      </c>
      <c r="I137" s="1187"/>
      <c r="J137" s="1193"/>
      <c r="L137" s="1191" t="s">
        <v>4070</v>
      </c>
    </row>
    <row r="138" spans="1:12" s="1186" customFormat="1" ht="12" customHeight="1">
      <c r="A138" s="1183"/>
      <c r="B138" s="1184"/>
      <c r="C138" s="1184"/>
      <c r="D138" s="1184"/>
      <c r="E138" s="1205"/>
      <c r="F138" s="1186" t="s">
        <v>4010</v>
      </c>
      <c r="I138" s="1187"/>
      <c r="J138" s="1193"/>
      <c r="L138" s="1191" t="s">
        <v>4070</v>
      </c>
    </row>
    <row r="139" spans="1:12" s="1186" customFormat="1" ht="12" customHeight="1">
      <c r="A139" s="1183"/>
      <c r="B139" s="1184"/>
      <c r="C139" s="1184"/>
      <c r="D139" s="1184"/>
      <c r="E139" s="1205"/>
      <c r="F139" s="1186" t="s">
        <v>4011</v>
      </c>
      <c r="I139" s="1187"/>
      <c r="J139" s="1193"/>
      <c r="L139" s="1191" t="s">
        <v>4070</v>
      </c>
    </row>
    <row r="140" spans="1:12" s="1186" customFormat="1" ht="12" customHeight="1">
      <c r="A140" s="1222">
        <v>30</v>
      </c>
      <c r="B140" s="1223" t="s">
        <v>4043</v>
      </c>
      <c r="C140" s="1247"/>
      <c r="D140" s="1208" t="s">
        <v>3834</v>
      </c>
      <c r="E140" s="1190" t="s">
        <v>3606</v>
      </c>
      <c r="F140" s="1213" t="s">
        <v>4012</v>
      </c>
      <c r="G140" s="1213"/>
      <c r="H140" s="1213"/>
      <c r="I140" s="1210"/>
      <c r="J140" s="1211"/>
      <c r="K140" s="1212"/>
      <c r="L140" s="1191" t="s">
        <v>4070</v>
      </c>
    </row>
    <row r="141" spans="1:12" s="1186" customFormat="1" ht="23.25" customHeight="1">
      <c r="A141" s="1183"/>
      <c r="B141" s="1224"/>
      <c r="C141" s="1248"/>
      <c r="D141" s="1184"/>
      <c r="E141" s="1192"/>
      <c r="F141" s="1231" t="s">
        <v>4013</v>
      </c>
      <c r="G141" s="1231"/>
      <c r="H141" s="1231"/>
      <c r="I141" s="1231"/>
      <c r="J141" s="1231"/>
      <c r="K141" s="1243"/>
      <c r="L141" s="1191" t="s">
        <v>4070</v>
      </c>
    </row>
    <row r="142" spans="1:12" s="1186" customFormat="1" ht="23.25" customHeight="1">
      <c r="A142" s="1183"/>
      <c r="C142" s="1200"/>
      <c r="D142" s="1184" t="s">
        <v>3803</v>
      </c>
      <c r="E142" s="1192" t="s">
        <v>3604</v>
      </c>
      <c r="F142" s="1201" t="s">
        <v>3890</v>
      </c>
      <c r="G142" s="1201"/>
      <c r="H142" s="1201"/>
      <c r="I142" s="1187"/>
      <c r="J142" s="1193"/>
      <c r="L142" s="1191" t="s">
        <v>4070</v>
      </c>
    </row>
    <row r="143" spans="1:12" s="1186" customFormat="1" ht="12" customHeight="1">
      <c r="A143" s="1222">
        <v>31</v>
      </c>
      <c r="B143" s="1208" t="s">
        <v>3891</v>
      </c>
      <c r="C143" s="1208"/>
      <c r="D143" s="1208"/>
      <c r="E143" s="1190" t="s">
        <v>3606</v>
      </c>
      <c r="F143" s="1213" t="s">
        <v>3892</v>
      </c>
      <c r="G143" s="1213"/>
      <c r="H143" s="1213"/>
      <c r="I143" s="1210"/>
      <c r="J143" s="1211"/>
      <c r="K143" s="1212"/>
      <c r="L143" s="1191" t="s">
        <v>4070</v>
      </c>
    </row>
    <row r="144" spans="1:12" s="1186" customFormat="1" ht="12" customHeight="1">
      <c r="A144" s="1222">
        <v>32</v>
      </c>
      <c r="B144" s="1208" t="s">
        <v>3893</v>
      </c>
      <c r="C144" s="1208"/>
      <c r="D144" s="1208"/>
      <c r="E144" s="1190" t="s">
        <v>3606</v>
      </c>
      <c r="F144" s="1213" t="s">
        <v>3894</v>
      </c>
      <c r="G144" s="1213"/>
      <c r="H144" s="1213"/>
      <c r="I144" s="1210"/>
      <c r="J144" s="1211"/>
      <c r="K144" s="1212"/>
      <c r="L144" s="1191" t="s">
        <v>4070</v>
      </c>
    </row>
    <row r="145" spans="1:12" s="1186" customFormat="1" ht="12" customHeight="1">
      <c r="A145" s="1183"/>
      <c r="B145" s="1184"/>
      <c r="C145" s="1184"/>
      <c r="D145" s="1184"/>
      <c r="E145" s="1192" t="s">
        <v>3604</v>
      </c>
      <c r="F145" s="1186" t="s">
        <v>3895</v>
      </c>
      <c r="I145" s="1187"/>
      <c r="J145" s="1193"/>
      <c r="L145" s="1191" t="s">
        <v>4070</v>
      </c>
    </row>
    <row r="146" spans="1:12" s="1186" customFormat="1" ht="12" customHeight="1">
      <c r="A146" s="1183"/>
      <c r="B146" s="1184"/>
      <c r="C146" s="1184"/>
      <c r="D146" s="1184"/>
      <c r="E146" s="1192" t="s">
        <v>3605</v>
      </c>
      <c r="F146" s="1186" t="s">
        <v>3896</v>
      </c>
      <c r="I146" s="1187"/>
      <c r="J146" s="1193"/>
      <c r="L146" s="1191" t="s">
        <v>4070</v>
      </c>
    </row>
    <row r="147" spans="1:12" s="1186" customFormat="1" ht="12" customHeight="1">
      <c r="A147" s="1183"/>
      <c r="B147" s="1184"/>
      <c r="C147" s="1184"/>
      <c r="D147" s="1184"/>
      <c r="E147" s="1192" t="s">
        <v>3607</v>
      </c>
      <c r="F147" s="1186" t="s">
        <v>3897</v>
      </c>
      <c r="I147" s="1187"/>
      <c r="J147" s="1193"/>
      <c r="L147" s="1191" t="s">
        <v>4070</v>
      </c>
    </row>
    <row r="148" spans="1:12" s="1186" customFormat="1" ht="12" customHeight="1">
      <c r="A148" s="1222">
        <v>33</v>
      </c>
      <c r="B148" s="1208" t="s">
        <v>4045</v>
      </c>
      <c r="C148" s="1208"/>
      <c r="D148" s="1208"/>
      <c r="E148" s="1249" t="s">
        <v>3606</v>
      </c>
      <c r="F148" s="1213" t="s">
        <v>3898</v>
      </c>
      <c r="G148" s="1213"/>
      <c r="H148" s="1213"/>
      <c r="I148" s="1210"/>
      <c r="J148" s="1211"/>
      <c r="K148" s="1212"/>
      <c r="L148" s="1191" t="s">
        <v>4070</v>
      </c>
    </row>
    <row r="149" spans="1:12" s="1186" customFormat="1" ht="12" customHeight="1">
      <c r="A149" s="1222">
        <v>34</v>
      </c>
      <c r="B149" s="1208" t="s">
        <v>4044</v>
      </c>
      <c r="C149" s="1208"/>
      <c r="D149" s="1208" t="s">
        <v>3837</v>
      </c>
      <c r="E149" s="1190" t="s">
        <v>3606</v>
      </c>
      <c r="F149" s="1213" t="s">
        <v>3899</v>
      </c>
      <c r="G149" s="1213"/>
      <c r="H149" s="1213"/>
      <c r="I149" s="1210"/>
      <c r="J149" s="1211"/>
      <c r="K149" s="1212"/>
      <c r="L149" s="1191" t="s">
        <v>4070</v>
      </c>
    </row>
    <row r="150" spans="1:12" s="1186" customFormat="1" ht="12" customHeight="1">
      <c r="A150" s="1183"/>
      <c r="B150" s="1184"/>
      <c r="C150" s="1184"/>
      <c r="D150" s="1184"/>
      <c r="E150" s="1192" t="s">
        <v>3604</v>
      </c>
      <c r="F150" s="1186" t="s">
        <v>3900</v>
      </c>
      <c r="I150" s="1187"/>
      <c r="J150" s="1193"/>
      <c r="L150" s="1191" t="s">
        <v>4070</v>
      </c>
    </row>
    <row r="151" spans="1:12" s="1186" customFormat="1" ht="12" customHeight="1">
      <c r="A151" s="1183"/>
      <c r="B151" s="1184"/>
      <c r="C151" s="1184"/>
      <c r="D151" s="1184"/>
      <c r="E151" s="1192" t="s">
        <v>3605</v>
      </c>
      <c r="F151" s="1186" t="s">
        <v>3901</v>
      </c>
      <c r="I151" s="1187"/>
      <c r="J151" s="1193"/>
      <c r="L151" s="1191" t="s">
        <v>4070</v>
      </c>
    </row>
    <row r="152" spans="1:12" s="1186" customFormat="1" ht="12" customHeight="1">
      <c r="A152" s="1183"/>
      <c r="B152" s="1184"/>
      <c r="C152" s="1184"/>
      <c r="D152" s="1184"/>
      <c r="E152" s="1192" t="s">
        <v>3607</v>
      </c>
      <c r="F152" s="1186" t="s">
        <v>3902</v>
      </c>
      <c r="I152" s="1187"/>
      <c r="J152" s="1193"/>
      <c r="L152" s="1191" t="s">
        <v>4070</v>
      </c>
    </row>
    <row r="153" spans="1:12" s="1186" customFormat="1" ht="12" customHeight="1">
      <c r="A153" s="1183"/>
      <c r="B153" s="1184"/>
      <c r="C153" s="1184"/>
      <c r="D153" s="1184"/>
      <c r="E153" s="1192" t="s">
        <v>3608</v>
      </c>
      <c r="F153" s="1186" t="s">
        <v>3903</v>
      </c>
      <c r="I153" s="1187"/>
      <c r="J153" s="1193"/>
      <c r="L153" s="1191" t="s">
        <v>4070</v>
      </c>
    </row>
    <row r="154" spans="1:12" s="1186" customFormat="1" ht="12" customHeight="1">
      <c r="A154" s="1183"/>
      <c r="B154" s="1184"/>
      <c r="C154" s="1184"/>
      <c r="D154" s="1184"/>
      <c r="E154" s="1192" t="s">
        <v>3609</v>
      </c>
      <c r="F154" s="1186" t="s">
        <v>34</v>
      </c>
      <c r="I154" s="1187"/>
      <c r="J154" s="1193"/>
      <c r="L154" s="1191" t="s">
        <v>4070</v>
      </c>
    </row>
    <row r="155" spans="1:12" s="1186" customFormat="1" ht="12" customHeight="1">
      <c r="A155" s="1183"/>
      <c r="B155" s="1184"/>
      <c r="C155" s="1184"/>
      <c r="D155" s="1184"/>
      <c r="E155" s="1192" t="s">
        <v>3610</v>
      </c>
      <c r="F155" s="1186" t="s">
        <v>3904</v>
      </c>
      <c r="I155" s="1187"/>
      <c r="J155" s="1193"/>
      <c r="L155" s="1191" t="s">
        <v>4070</v>
      </c>
    </row>
    <row r="156" spans="1:12" s="1186" customFormat="1" ht="12" customHeight="1">
      <c r="A156" s="1222">
        <v>35</v>
      </c>
      <c r="B156" s="1223" t="s">
        <v>3965</v>
      </c>
      <c r="C156" s="1208"/>
      <c r="D156" s="1208" t="s">
        <v>3834</v>
      </c>
      <c r="E156" s="1190" t="s">
        <v>3606</v>
      </c>
      <c r="F156" s="1213" t="s">
        <v>4014</v>
      </c>
      <c r="G156" s="1213"/>
      <c r="H156" s="1213"/>
      <c r="I156" s="1210"/>
      <c r="J156" s="1213"/>
      <c r="K156" s="1212"/>
      <c r="L156" s="1191" t="s">
        <v>4070</v>
      </c>
    </row>
    <row r="157" spans="1:12" s="1186" customFormat="1" ht="12" customHeight="1">
      <c r="A157" s="1183"/>
      <c r="B157" s="1224"/>
      <c r="C157" s="1184"/>
      <c r="D157" s="1184"/>
      <c r="E157" s="1205"/>
      <c r="F157" s="1186" t="s">
        <v>4015</v>
      </c>
      <c r="I157" s="1187"/>
      <c r="J157" s="1193"/>
      <c r="L157" s="1191" t="s">
        <v>4070</v>
      </c>
    </row>
    <row r="158" spans="1:12" s="1186" customFormat="1" ht="12" customHeight="1">
      <c r="A158" s="1183"/>
      <c r="B158" s="1224"/>
      <c r="C158" s="1184"/>
      <c r="D158" s="1184"/>
      <c r="E158" s="1205"/>
      <c r="F158" s="1186" t="s">
        <v>4016</v>
      </c>
      <c r="I158" s="1187"/>
      <c r="J158" s="1193"/>
      <c r="L158" s="1191" t="s">
        <v>4070</v>
      </c>
    </row>
    <row r="159" spans="1:12" s="1186" customFormat="1" ht="12" customHeight="1">
      <c r="A159" s="1183"/>
      <c r="B159" s="1184"/>
      <c r="C159" s="1184"/>
      <c r="D159" s="1184"/>
      <c r="E159" s="1205"/>
      <c r="F159" s="1186" t="s">
        <v>4017</v>
      </c>
      <c r="I159" s="1187"/>
      <c r="J159" s="1193"/>
      <c r="L159" s="1191" t="s">
        <v>4070</v>
      </c>
    </row>
    <row r="160" spans="1:12" s="1186" customFormat="1" ht="12" customHeight="1">
      <c r="A160" s="1183"/>
      <c r="B160" s="1184"/>
      <c r="C160" s="1184"/>
      <c r="D160" s="1184"/>
      <c r="E160" s="1205"/>
      <c r="F160" s="1186" t="s">
        <v>4018</v>
      </c>
      <c r="I160" s="1187"/>
      <c r="J160" s="1193"/>
      <c r="L160" s="1191" t="s">
        <v>4070</v>
      </c>
    </row>
    <row r="161" spans="1:12" s="1186" customFormat="1" ht="12" customHeight="1">
      <c r="A161" s="1183"/>
      <c r="B161" s="1184"/>
      <c r="C161" s="1184"/>
      <c r="D161" s="1184"/>
      <c r="E161" s="1205"/>
      <c r="F161" s="1186" t="s">
        <v>4019</v>
      </c>
      <c r="I161" s="1187"/>
      <c r="J161" s="1193"/>
      <c r="L161" s="1191" t="s">
        <v>4070</v>
      </c>
    </row>
    <row r="162" spans="1:12" s="1186" customFormat="1" ht="12" customHeight="1">
      <c r="A162" s="1183"/>
      <c r="C162" s="1200"/>
      <c r="D162" s="1184" t="s">
        <v>3803</v>
      </c>
      <c r="E162" s="1192" t="s">
        <v>3604</v>
      </c>
      <c r="F162" s="1186" t="s">
        <v>4020</v>
      </c>
      <c r="I162" s="1187"/>
      <c r="J162" s="1193"/>
      <c r="L162" s="1191" t="s">
        <v>4070</v>
      </c>
    </row>
    <row r="163" spans="1:12" s="1186" customFormat="1" ht="12" customHeight="1">
      <c r="A163" s="1183"/>
      <c r="B163" s="1184"/>
      <c r="C163" s="1184"/>
      <c r="D163" s="1184"/>
      <c r="E163" s="1205"/>
      <c r="F163" s="1186" t="s">
        <v>4021</v>
      </c>
      <c r="I163" s="1187"/>
      <c r="J163" s="1193"/>
      <c r="L163" s="1191" t="s">
        <v>4070</v>
      </c>
    </row>
    <row r="164" spans="1:12" s="1186" customFormat="1" ht="12" customHeight="1">
      <c r="A164" s="1222">
        <v>36</v>
      </c>
      <c r="B164" s="1223" t="s">
        <v>4046</v>
      </c>
      <c r="C164" s="1223"/>
      <c r="D164" s="1208" t="s">
        <v>3803</v>
      </c>
      <c r="E164" s="1190" t="s">
        <v>3606</v>
      </c>
      <c r="F164" s="1234" t="s">
        <v>3905</v>
      </c>
      <c r="G164" s="1234"/>
      <c r="H164" s="1234"/>
      <c r="I164" s="1210"/>
      <c r="J164" s="1211"/>
      <c r="K164" s="1212"/>
      <c r="L164" s="1191" t="s">
        <v>4070</v>
      </c>
    </row>
    <row r="165" spans="1:12" s="1186" customFormat="1" ht="12" customHeight="1">
      <c r="A165" s="1183"/>
      <c r="B165" s="1227"/>
      <c r="C165" s="1227"/>
      <c r="D165" s="1184"/>
      <c r="E165" s="1192" t="s">
        <v>3604</v>
      </c>
      <c r="F165" s="1250" t="s">
        <v>3906</v>
      </c>
      <c r="G165" s="1250"/>
      <c r="H165" s="1250"/>
      <c r="I165" s="1187"/>
      <c r="J165" s="1193"/>
      <c r="L165" s="1191" t="s">
        <v>4070</v>
      </c>
    </row>
    <row r="166" spans="1:12" s="1186" customFormat="1" ht="12" customHeight="1">
      <c r="A166" s="1222">
        <v>37</v>
      </c>
      <c r="B166" s="1223" t="s">
        <v>4047</v>
      </c>
      <c r="C166" s="1223"/>
      <c r="D166" s="1208" t="s">
        <v>3834</v>
      </c>
      <c r="E166" s="1190" t="s">
        <v>3606</v>
      </c>
      <c r="F166" s="1213" t="s">
        <v>597</v>
      </c>
      <c r="G166" s="1213"/>
      <c r="H166" s="1213"/>
      <c r="I166" s="1210"/>
      <c r="J166" s="1211"/>
      <c r="K166" s="1212"/>
      <c r="L166" s="1191" t="s">
        <v>4070</v>
      </c>
    </row>
    <row r="167" spans="1:12" s="1186" customFormat="1" ht="12" customHeight="1">
      <c r="A167" s="1183"/>
      <c r="B167" s="1224"/>
      <c r="C167" s="1224"/>
      <c r="D167" s="1184"/>
      <c r="E167" s="1192" t="s">
        <v>3604</v>
      </c>
      <c r="F167" s="1186" t="s">
        <v>548</v>
      </c>
      <c r="I167" s="1187"/>
      <c r="J167" s="1193"/>
      <c r="L167" s="1191" t="s">
        <v>4070</v>
      </c>
    </row>
    <row r="168" spans="1:12" s="1186" customFormat="1" ht="12" customHeight="1">
      <c r="A168" s="1183"/>
      <c r="B168" s="1184"/>
      <c r="C168" s="1184"/>
      <c r="D168" s="1184"/>
      <c r="E168" s="1192" t="s">
        <v>3605</v>
      </c>
      <c r="F168" s="1186" t="s">
        <v>3907</v>
      </c>
      <c r="I168" s="1187"/>
      <c r="J168" s="1193"/>
      <c r="L168" s="1191" t="s">
        <v>4070</v>
      </c>
    </row>
    <row r="169" spans="1:12" s="1186" customFormat="1" ht="12" customHeight="1">
      <c r="A169" s="1183"/>
      <c r="C169" s="1200"/>
      <c r="D169" s="1184" t="s">
        <v>4050</v>
      </c>
      <c r="E169" s="1192" t="s">
        <v>3607</v>
      </c>
      <c r="F169" s="1186" t="s">
        <v>3908</v>
      </c>
      <c r="I169" s="1187"/>
      <c r="J169" s="1193"/>
      <c r="L169" s="1191" t="s">
        <v>4070</v>
      </c>
    </row>
    <row r="170" spans="1:12" s="1186" customFormat="1" ht="12" customHeight="1">
      <c r="A170" s="1222">
        <v>38</v>
      </c>
      <c r="B170" s="1208" t="s">
        <v>4048</v>
      </c>
      <c r="C170" s="1208"/>
      <c r="D170" s="1208" t="s">
        <v>4049</v>
      </c>
      <c r="E170" s="1190" t="s">
        <v>3606</v>
      </c>
      <c r="F170" s="1213" t="s">
        <v>4022</v>
      </c>
      <c r="G170" s="1213"/>
      <c r="H170" s="1213"/>
      <c r="I170" s="1210"/>
      <c r="J170" s="1211"/>
      <c r="K170" s="1212"/>
      <c r="L170" s="1191" t="s">
        <v>4070</v>
      </c>
    </row>
    <row r="171" spans="1:12" s="1186" customFormat="1" ht="12" customHeight="1">
      <c r="A171" s="1183"/>
      <c r="B171" s="1184"/>
      <c r="C171" s="1184"/>
      <c r="D171" s="1184"/>
      <c r="E171" s="1251"/>
      <c r="F171" s="1186" t="s">
        <v>4023</v>
      </c>
      <c r="I171" s="1187"/>
      <c r="J171" s="1193"/>
      <c r="L171" s="1191" t="s">
        <v>4070</v>
      </c>
    </row>
    <row r="172" spans="1:12" s="1186" customFormat="1" ht="12" customHeight="1">
      <c r="A172" s="1183"/>
      <c r="C172" s="1200"/>
      <c r="D172" s="1184" t="s">
        <v>3909</v>
      </c>
      <c r="E172" s="1192" t="s">
        <v>3604</v>
      </c>
      <c r="F172" s="1186" t="s">
        <v>4024</v>
      </c>
      <c r="I172" s="1187"/>
      <c r="J172" s="1193"/>
      <c r="L172" s="1191" t="s">
        <v>4070</v>
      </c>
    </row>
    <row r="173" spans="1:12" s="1186" customFormat="1" ht="12" customHeight="1">
      <c r="A173" s="1183"/>
      <c r="C173" s="1200"/>
      <c r="D173" s="1184" t="s">
        <v>3910</v>
      </c>
      <c r="E173" s="1192"/>
      <c r="F173" s="1186" t="s">
        <v>4025</v>
      </c>
      <c r="I173" s="1187"/>
      <c r="J173" s="1193"/>
      <c r="L173" s="1191" t="s">
        <v>4070</v>
      </c>
    </row>
    <row r="174" spans="1:12" s="1186" customFormat="1" ht="12" customHeight="1">
      <c r="A174" s="1183"/>
      <c r="C174" s="1200"/>
      <c r="D174" s="1184" t="s">
        <v>3911</v>
      </c>
      <c r="E174" s="1192"/>
      <c r="F174" s="1186" t="s">
        <v>4026</v>
      </c>
      <c r="I174" s="1187"/>
      <c r="J174" s="1193"/>
      <c r="L174" s="1191" t="s">
        <v>4070</v>
      </c>
    </row>
    <row r="175" spans="1:12" s="1186" customFormat="1" ht="12" customHeight="1">
      <c r="A175" s="1183"/>
      <c r="B175" s="1184"/>
      <c r="C175" s="1184"/>
      <c r="D175" s="1184"/>
      <c r="E175" s="1195"/>
      <c r="F175" s="1186" t="s">
        <v>4027</v>
      </c>
      <c r="I175" s="1187"/>
      <c r="L175" s="1191" t="s">
        <v>4070</v>
      </c>
    </row>
    <row r="176" spans="1:12" s="1186" customFormat="1" ht="12" customHeight="1">
      <c r="A176" s="1252">
        <v>39</v>
      </c>
      <c r="B176" s="1253" t="s">
        <v>4057</v>
      </c>
      <c r="C176" s="1253"/>
      <c r="D176" s="1253"/>
      <c r="E176" s="1254"/>
      <c r="F176" s="1254"/>
      <c r="G176" s="1254"/>
      <c r="H176" s="1254"/>
      <c r="I176" s="1254"/>
      <c r="J176" s="1254"/>
      <c r="K176" s="1254"/>
    </row>
    <row r="177" spans="1:12" s="1186" customFormat="1" ht="23.25" customHeight="1">
      <c r="A177" s="1198"/>
      <c r="B177" s="1255" t="s">
        <v>4055</v>
      </c>
      <c r="C177" s="1255"/>
      <c r="D177" s="1256" t="s">
        <v>4056</v>
      </c>
      <c r="E177" s="1257" t="s">
        <v>3773</v>
      </c>
      <c r="F177" s="1258" t="s">
        <v>4058</v>
      </c>
      <c r="G177" s="1259"/>
      <c r="H177" s="1259"/>
      <c r="I177" s="1259"/>
      <c r="J177" s="1259"/>
      <c r="K177" s="1259"/>
    </row>
    <row r="178" spans="1:12" s="1186" customFormat="1" ht="12" customHeight="1">
      <c r="A178" s="1198"/>
      <c r="B178" s="1260"/>
      <c r="C178" s="1261"/>
      <c r="D178" s="1262"/>
      <c r="E178" s="1263" t="s">
        <v>3606</v>
      </c>
      <c r="F178" s="1264" t="s">
        <v>2405</v>
      </c>
      <c r="G178" s="1264"/>
      <c r="H178" s="1264"/>
      <c r="I178" s="1264"/>
      <c r="J178" s="1264"/>
      <c r="K178" s="1264"/>
      <c r="L178" s="1191" t="s">
        <v>4061</v>
      </c>
    </row>
    <row r="179" spans="1:12" s="1186" customFormat="1" ht="12" customHeight="1">
      <c r="A179" s="1183"/>
      <c r="B179" s="1265"/>
      <c r="C179" s="1266"/>
      <c r="D179" s="1267"/>
      <c r="E179" s="1268" t="s">
        <v>3604</v>
      </c>
      <c r="F179" s="1269" t="s">
        <v>4149</v>
      </c>
      <c r="G179" s="1269"/>
      <c r="H179" s="1269"/>
      <c r="I179" s="1269"/>
      <c r="J179" s="1269"/>
      <c r="K179" s="1269"/>
      <c r="L179" s="1191" t="s">
        <v>4061</v>
      </c>
    </row>
    <row r="180" spans="1:12" s="1186" customFormat="1" ht="12" customHeight="1">
      <c r="A180" s="1183"/>
      <c r="B180" s="1265"/>
      <c r="C180" s="1266"/>
      <c r="D180" s="1267"/>
      <c r="E180" s="1268" t="s">
        <v>3605</v>
      </c>
      <c r="F180" s="1269" t="s">
        <v>4150</v>
      </c>
      <c r="G180" s="1269"/>
      <c r="H180" s="1269"/>
      <c r="I180" s="1269"/>
      <c r="J180" s="1269"/>
      <c r="K180" s="1269"/>
      <c r="L180" s="1191" t="s">
        <v>4061</v>
      </c>
    </row>
    <row r="181" spans="1:12" s="1186" customFormat="1" ht="12" customHeight="1">
      <c r="A181" s="1183"/>
      <c r="B181" s="1265"/>
      <c r="C181" s="1266"/>
      <c r="D181" s="1267"/>
      <c r="E181" s="1268" t="s">
        <v>3607</v>
      </c>
      <c r="F181" s="1269"/>
      <c r="G181" s="1269"/>
      <c r="H181" s="1269"/>
      <c r="I181" s="1269"/>
      <c r="J181" s="1269"/>
      <c r="K181" s="1269"/>
      <c r="L181" s="1191"/>
    </row>
    <row r="182" spans="1:12" s="1186" customFormat="1" ht="12" customHeight="1">
      <c r="A182" s="1183"/>
      <c r="B182" s="1265"/>
      <c r="C182" s="1266"/>
      <c r="D182" s="1267"/>
      <c r="E182" s="1268" t="s">
        <v>3608</v>
      </c>
      <c r="F182" s="1269"/>
      <c r="G182" s="1269"/>
      <c r="H182" s="1269"/>
      <c r="I182" s="1269"/>
      <c r="J182" s="1269"/>
      <c r="K182" s="1269"/>
      <c r="L182" s="1191"/>
    </row>
    <row r="183" spans="1:12" s="1186" customFormat="1" ht="12" customHeight="1">
      <c r="A183" s="1183"/>
      <c r="B183" s="1265"/>
      <c r="C183" s="1266"/>
      <c r="D183" s="1267"/>
      <c r="E183" s="1268" t="s">
        <v>3609</v>
      </c>
      <c r="F183" s="1269"/>
      <c r="G183" s="1269"/>
      <c r="H183" s="1269"/>
      <c r="I183" s="1269"/>
      <c r="J183" s="1269"/>
      <c r="K183" s="1269"/>
      <c r="L183" s="1191"/>
    </row>
    <row r="184" spans="1:12" s="1186" customFormat="1" ht="12" customHeight="1">
      <c r="A184" s="1183"/>
      <c r="B184" s="1265"/>
      <c r="C184" s="1266"/>
      <c r="D184" s="1267"/>
      <c r="E184" s="1268" t="s">
        <v>3610</v>
      </c>
      <c r="F184" s="1269"/>
      <c r="G184" s="1269"/>
      <c r="H184" s="1269"/>
      <c r="I184" s="1269"/>
      <c r="J184" s="1269"/>
      <c r="K184" s="1269"/>
      <c r="L184" s="1191"/>
    </row>
    <row r="185" spans="1:12" s="1186" customFormat="1" ht="12" customHeight="1">
      <c r="A185" s="1183"/>
      <c r="B185" s="1265"/>
      <c r="C185" s="1266"/>
      <c r="D185" s="1267"/>
      <c r="E185" s="1268" t="s">
        <v>3943</v>
      </c>
      <c r="F185" s="1269"/>
      <c r="G185" s="1269"/>
      <c r="H185" s="1269"/>
      <c r="I185" s="1269"/>
      <c r="J185" s="1269"/>
      <c r="K185" s="1269"/>
      <c r="L185" s="1191"/>
    </row>
    <row r="186" spans="1:12" s="1186" customFormat="1" ht="12" customHeight="1">
      <c r="A186" s="1183"/>
      <c r="B186" s="1265"/>
      <c r="C186" s="1266"/>
      <c r="D186" s="1267"/>
      <c r="E186" s="1268" t="s">
        <v>3944</v>
      </c>
      <c r="F186" s="1269"/>
      <c r="G186" s="1269"/>
      <c r="H186" s="1269"/>
      <c r="I186" s="1269"/>
      <c r="J186" s="1269"/>
      <c r="K186" s="1269"/>
      <c r="L186" s="1191"/>
    </row>
    <row r="187" spans="1:12" s="1186" customFormat="1" ht="12" customHeight="1">
      <c r="A187" s="1183"/>
      <c r="B187" s="1270"/>
      <c r="C187" s="1271"/>
      <c r="D187" s="1272"/>
      <c r="E187" s="1273" t="s">
        <v>4051</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2013-005 The Villas at Stanford, Kennesaw, Cobb County</v>
      </c>
      <c r="B1" s="927"/>
      <c r="C1" s="927"/>
      <c r="D1" s="927"/>
      <c r="E1" s="927"/>
      <c r="F1" s="927"/>
      <c r="G1" s="927"/>
      <c r="H1" s="927"/>
      <c r="I1" s="927"/>
      <c r="J1" s="927"/>
      <c r="K1" s="927"/>
      <c r="L1" s="927"/>
      <c r="M1" s="927"/>
      <c r="N1" s="927"/>
      <c r="O1" s="927"/>
      <c r="P1" s="928"/>
      <c r="T1" s="1013" t="str">
        <f>A1</f>
        <v>PART SIX - PROJECTED REVENUES &amp; EXPENSES  -  2013-005 The Villas at Stanford, Kennesaw, Cobb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3119</v>
      </c>
      <c r="C3" s="1"/>
      <c r="E3" s="168" t="s">
        <v>3564</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3205</v>
      </c>
      <c r="FC3" s="632" t="s">
        <v>3206</v>
      </c>
      <c r="FD3" s="632" t="s">
        <v>3207</v>
      </c>
      <c r="FE3" s="632" t="s">
        <v>3208</v>
      </c>
      <c r="FF3" s="634"/>
      <c r="FG3" s="634"/>
      <c r="FH3" s="634"/>
      <c r="FI3" s="634"/>
      <c r="FJ3" s="634"/>
      <c r="FK3" s="632" t="s">
        <v>619</v>
      </c>
      <c r="FL3" s="632" t="s">
        <v>3205</v>
      </c>
      <c r="FM3" s="632" t="s">
        <v>3206</v>
      </c>
      <c r="FN3" s="632" t="s">
        <v>3207</v>
      </c>
      <c r="FO3" s="632" t="s">
        <v>3208</v>
      </c>
      <c r="FP3" s="632" t="s">
        <v>619</v>
      </c>
      <c r="FQ3" s="632" t="s">
        <v>3205</v>
      </c>
      <c r="FR3" s="632" t="s">
        <v>3206</v>
      </c>
      <c r="FS3" s="632" t="s">
        <v>3207</v>
      </c>
      <c r="FT3" s="632" t="s">
        <v>3208</v>
      </c>
      <c r="FU3" s="632" t="s">
        <v>619</v>
      </c>
      <c r="FV3" s="632" t="s">
        <v>3205</v>
      </c>
      <c r="FW3" s="632" t="s">
        <v>3206</v>
      </c>
      <c r="FX3" s="632" t="s">
        <v>3207</v>
      </c>
      <c r="FY3" s="632" t="s">
        <v>3208</v>
      </c>
      <c r="FZ3" s="632" t="s">
        <v>619</v>
      </c>
      <c r="GA3" s="632" t="s">
        <v>3205</v>
      </c>
      <c r="GB3" s="632" t="s">
        <v>3206</v>
      </c>
      <c r="GC3" s="632" t="s">
        <v>3207</v>
      </c>
      <c r="GD3" s="632" t="s">
        <v>3208</v>
      </c>
      <c r="GE3" s="632" t="s">
        <v>619</v>
      </c>
      <c r="GF3" s="632" t="s">
        <v>3205</v>
      </c>
      <c r="GG3" s="632" t="s">
        <v>3206</v>
      </c>
      <c r="GH3" s="632" t="s">
        <v>3207</v>
      </c>
      <c r="GI3" s="632" t="s">
        <v>3208</v>
      </c>
      <c r="GJ3" s="632" t="s">
        <v>619</v>
      </c>
      <c r="GK3" s="632" t="s">
        <v>3205</v>
      </c>
      <c r="GL3" s="632" t="s">
        <v>3206</v>
      </c>
      <c r="GM3" s="632" t="s">
        <v>3207</v>
      </c>
      <c r="GN3" s="632" t="s">
        <v>3208</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3039</v>
      </c>
      <c r="AC4" s="1016" t="s">
        <v>3040</v>
      </c>
      <c r="AD4" s="1016" t="s">
        <v>3041</v>
      </c>
      <c r="AE4" s="1016" t="s">
        <v>3042</v>
      </c>
      <c r="AF4" s="1016" t="s">
        <v>1317</v>
      </c>
      <c r="AG4" s="1016" t="s">
        <v>3043</v>
      </c>
      <c r="AH4" s="1016" t="s">
        <v>3044</v>
      </c>
      <c r="AI4" s="1016" t="s">
        <v>3045</v>
      </c>
      <c r="AJ4" s="1016" t="s">
        <v>3046</v>
      </c>
      <c r="AK4" s="1016" t="s">
        <v>136</v>
      </c>
      <c r="AL4" s="1016" t="s">
        <v>3047</v>
      </c>
      <c r="AM4" s="1016" t="s">
        <v>3048</v>
      </c>
      <c r="AN4" s="1016" t="s">
        <v>3049</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3195</v>
      </c>
      <c r="BU4" s="1016" t="s">
        <v>3196</v>
      </c>
      <c r="BV4" s="1016" t="s">
        <v>3197</v>
      </c>
      <c r="BW4" s="1016" t="s">
        <v>3198</v>
      </c>
      <c r="BX4" s="1016" t="s">
        <v>3199</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3194</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2509</v>
      </c>
      <c r="DV4" s="1015" t="s">
        <v>2510</v>
      </c>
      <c r="DW4" s="1015" t="s">
        <v>2511</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2928</v>
      </c>
      <c r="EM4" s="1015" t="s">
        <v>2929</v>
      </c>
      <c r="EN4" s="1015" t="s">
        <v>2930</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3310</v>
      </c>
      <c r="GQ4" s="1015" t="s">
        <v>3311</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543"/>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44" t="s">
        <v>4070</v>
      </c>
      <c r="J6" s="804" t="s">
        <v>3167</v>
      </c>
      <c r="N6" s="1019" t="str">
        <f>'Part I-Project Information'!$J$28</f>
        <v>Atlanta-Sandy Springs-Marietta</v>
      </c>
      <c r="O6" s="1019"/>
      <c r="P6" s="558">
        <f>VLOOKUP('Part I-Project Information'!$J$28,'DCA Underwriting Assumptions'!$C$81:$D$191,2)</f>
        <v>66300</v>
      </c>
      <c r="Q6" s="628"/>
      <c r="R6" s="1021" t="s">
        <v>3599</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3168</v>
      </c>
      <c r="K7" s="1"/>
      <c r="L7" s="1"/>
      <c r="M7" s="1"/>
      <c r="N7" s="37"/>
      <c r="O7" s="37"/>
      <c r="P7" s="664"/>
      <c r="Q7" s="664"/>
      <c r="R7" s="665"/>
      <c r="S7" s="666" t="s">
        <v>3596</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3144</v>
      </c>
      <c r="H8" s="804" t="s">
        <v>3142</v>
      </c>
      <c r="I8" s="804" t="s">
        <v>1191</v>
      </c>
      <c r="J8" s="804" t="s">
        <v>3169</v>
      </c>
      <c r="K8" s="1017" t="s">
        <v>152</v>
      </c>
      <c r="L8" s="1017"/>
      <c r="M8" s="804" t="s">
        <v>3120</v>
      </c>
      <c r="N8" s="804" t="s">
        <v>699</v>
      </c>
      <c r="O8" s="804" t="s">
        <v>417</v>
      </c>
      <c r="P8" s="1020" t="s">
        <v>1446</v>
      </c>
      <c r="Q8" s="1020"/>
      <c r="R8" s="805" t="s">
        <v>3595</v>
      </c>
      <c r="S8" s="805" t="s">
        <v>3597</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3205</v>
      </c>
      <c r="EX8" s="635" t="s">
        <v>3206</v>
      </c>
      <c r="EY8" s="635" t="s">
        <v>3207</v>
      </c>
      <c r="EZ8" s="635" t="s">
        <v>3208</v>
      </c>
      <c r="FA8" s="1015" t="s">
        <v>3277</v>
      </c>
      <c r="FB8" s="1015" t="s">
        <v>3277</v>
      </c>
      <c r="FC8" s="1015" t="s">
        <v>3277</v>
      </c>
      <c r="FD8" s="1015" t="s">
        <v>3277</v>
      </c>
      <c r="FE8" s="1015" t="s">
        <v>3277</v>
      </c>
      <c r="FF8" s="635" t="s">
        <v>619</v>
      </c>
      <c r="FG8" s="635" t="s">
        <v>3205</v>
      </c>
      <c r="FH8" s="635" t="s">
        <v>3206</v>
      </c>
      <c r="FI8" s="635" t="s">
        <v>3207</v>
      </c>
      <c r="FJ8" s="635" t="s">
        <v>3208</v>
      </c>
      <c r="FK8" s="1015" t="s">
        <v>3279</v>
      </c>
      <c r="FL8" s="1015" t="s">
        <v>3279</v>
      </c>
      <c r="FM8" s="1015" t="s">
        <v>3279</v>
      </c>
      <c r="FN8" s="1015" t="s">
        <v>3279</v>
      </c>
      <c r="FO8" s="1015" t="s">
        <v>3279</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3143</v>
      </c>
      <c r="I9" s="804" t="s">
        <v>1192</v>
      </c>
      <c r="J9" s="625" t="s">
        <v>383</v>
      </c>
      <c r="K9" s="804" t="s">
        <v>1987</v>
      </c>
      <c r="L9" s="804" t="s">
        <v>706</v>
      </c>
      <c r="M9" s="804" t="s">
        <v>1925</v>
      </c>
      <c r="N9" s="804" t="s">
        <v>1730</v>
      </c>
      <c r="O9" s="804" t="s">
        <v>418</v>
      </c>
      <c r="P9" s="805" t="s">
        <v>1444</v>
      </c>
      <c r="Q9" s="805" t="s">
        <v>1445</v>
      </c>
      <c r="R9" s="805" t="s">
        <v>1927</v>
      </c>
      <c r="S9" s="805" t="s">
        <v>3598</v>
      </c>
      <c r="T9" s="883" t="s">
        <v>2548</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3276</v>
      </c>
      <c r="EX9" s="635" t="s">
        <v>3276</v>
      </c>
      <c r="EY9" s="635" t="s">
        <v>3276</v>
      </c>
      <c r="EZ9" s="635" t="s">
        <v>3276</v>
      </c>
      <c r="FA9" s="1015"/>
      <c r="FB9" s="1015"/>
      <c r="FC9" s="1015"/>
      <c r="FD9" s="1015"/>
      <c r="FE9" s="1015"/>
      <c r="FF9" s="635" t="s">
        <v>3278</v>
      </c>
      <c r="FG9" s="635" t="s">
        <v>3278</v>
      </c>
      <c r="FH9" s="635" t="s">
        <v>3278</v>
      </c>
      <c r="FI9" s="635" t="s">
        <v>3278</v>
      </c>
      <c r="FJ9" s="635" t="s">
        <v>3278</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45" t="s">
        <v>124</v>
      </c>
      <c r="C10" s="1546">
        <v>1</v>
      </c>
      <c r="D10" s="1547">
        <v>1</v>
      </c>
      <c r="E10" s="1548">
        <v>3</v>
      </c>
      <c r="F10" s="1548">
        <v>850</v>
      </c>
      <c r="G10" s="1548">
        <v>622</v>
      </c>
      <c r="H10" s="1548">
        <v>617</v>
      </c>
      <c r="I10" s="1548">
        <v>112</v>
      </c>
      <c r="J10" s="1549"/>
      <c r="K10" s="204">
        <f>MAX(0,H10-I10)</f>
        <v>505</v>
      </c>
      <c r="L10" s="204">
        <f t="shared" ref="L10:L47" si="0">MAX(0,E10*K10)</f>
        <v>1515</v>
      </c>
      <c r="M10" s="1550" t="s">
        <v>4070</v>
      </c>
      <c r="N10" s="1550" t="s">
        <v>4129</v>
      </c>
      <c r="O10" s="1550" t="s">
        <v>3022</v>
      </c>
      <c r="P10" s="559">
        <f>IF(H10="","",H10*12/0.3)</f>
        <v>24680</v>
      </c>
      <c r="Q10" s="560">
        <f>IF(H10="","",P10/($P$6*VLOOKUP(C10,'DCA Underwriting Assumptions'!$J$81:$K$86,2,FALSE)))</f>
        <v>0.49632981397687281</v>
      </c>
      <c r="R10" s="667"/>
      <c r="S10" s="560"/>
      <c r="T10" s="1493"/>
      <c r="U10" s="1494"/>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2550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3</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51" t="s">
        <v>124</v>
      </c>
      <c r="C11" s="1552">
        <v>2</v>
      </c>
      <c r="D11" s="1553">
        <v>1</v>
      </c>
      <c r="E11" s="1554">
        <v>9</v>
      </c>
      <c r="F11" s="1554">
        <v>1000</v>
      </c>
      <c r="G11" s="1554">
        <v>746</v>
      </c>
      <c r="H11" s="1554">
        <v>746</v>
      </c>
      <c r="I11" s="1554">
        <v>144</v>
      </c>
      <c r="J11" s="1555"/>
      <c r="K11" s="205">
        <f t="shared" ref="K11:K27" si="172">MAX(0,H11-I11)</f>
        <v>602</v>
      </c>
      <c r="L11" s="205">
        <f t="shared" si="0"/>
        <v>5418</v>
      </c>
      <c r="M11" s="1556" t="s">
        <v>4070</v>
      </c>
      <c r="N11" s="1556" t="s">
        <v>4129</v>
      </c>
      <c r="O11" s="1556" t="s">
        <v>3022</v>
      </c>
      <c r="P11" s="559">
        <f>IF(H11="","",H11*12/0.3)</f>
        <v>29840</v>
      </c>
      <c r="Q11" s="560">
        <f>IF(H11="","",P11/($P$6*VLOOKUP(C11,'DCA Underwriting Assumptions'!$J$81:$K$86,2,FALSE)))</f>
        <v>0.50008379420144122</v>
      </c>
      <c r="R11" s="667"/>
      <c r="S11" s="560"/>
      <c r="T11" s="1495"/>
      <c r="U11" s="1496"/>
      <c r="V11" s="624" t="str">
        <f t="shared" si="1"/>
        <v/>
      </c>
      <c r="W11" s="624" t="str">
        <f t="shared" si="2"/>
        <v/>
      </c>
      <c r="X11" s="624" t="str">
        <f t="shared" si="3"/>
        <v/>
      </c>
      <c r="Y11" s="624" t="str">
        <f t="shared" si="4"/>
        <v/>
      </c>
      <c r="Z11" s="624" t="str">
        <f t="shared" si="5"/>
        <v/>
      </c>
      <c r="AA11" s="624" t="str">
        <f t="shared" si="6"/>
        <v/>
      </c>
      <c r="AB11" s="624" t="str">
        <f t="shared" si="7"/>
        <v/>
      </c>
      <c r="AC11" s="624">
        <f t="shared" si="8"/>
        <v>9</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9000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9</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9</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f t="shared" si="143"/>
        <v>9</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51" t="s">
        <v>1562</v>
      </c>
      <c r="C12" s="1552">
        <v>1</v>
      </c>
      <c r="D12" s="1553">
        <v>1</v>
      </c>
      <c r="E12" s="1554">
        <v>13</v>
      </c>
      <c r="F12" s="1554">
        <v>850</v>
      </c>
      <c r="G12" s="1554">
        <v>747</v>
      </c>
      <c r="H12" s="1554">
        <v>692</v>
      </c>
      <c r="I12" s="1554">
        <v>112</v>
      </c>
      <c r="J12" s="1555"/>
      <c r="K12" s="205">
        <f t="shared" si="172"/>
        <v>580</v>
      </c>
      <c r="L12" s="205">
        <f t="shared" si="0"/>
        <v>7540</v>
      </c>
      <c r="M12" s="1556" t="s">
        <v>4070</v>
      </c>
      <c r="N12" s="1556" t="s">
        <v>4129</v>
      </c>
      <c r="O12" s="1556" t="s">
        <v>3022</v>
      </c>
      <c r="P12" s="559">
        <f>IF(H12="","",H12*12/0.3)</f>
        <v>27680</v>
      </c>
      <c r="Q12" s="560">
        <f>IF(H12="","",P12/($P$6*VLOOKUP(C12,'DCA Underwriting Assumptions'!$J$81:$K$86,2,FALSE)))</f>
        <v>0.55666163901458021</v>
      </c>
      <c r="R12" s="667"/>
      <c r="S12" s="560"/>
      <c r="T12" s="1495"/>
      <c r="U12" s="1496"/>
      <c r="V12" s="624" t="str">
        <f t="shared" si="1"/>
        <v/>
      </c>
      <c r="W12" s="624">
        <f t="shared" si="2"/>
        <v>13</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11050</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13</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13</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13</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51" t="s">
        <v>1562</v>
      </c>
      <c r="C13" s="1552">
        <v>2</v>
      </c>
      <c r="D13" s="1553">
        <v>1</v>
      </c>
      <c r="E13" s="1554">
        <v>6</v>
      </c>
      <c r="F13" s="1554">
        <v>850</v>
      </c>
      <c r="G13" s="1554">
        <v>895</v>
      </c>
      <c r="H13" s="1554">
        <v>774</v>
      </c>
      <c r="I13" s="1554">
        <v>144</v>
      </c>
      <c r="J13" s="1555"/>
      <c r="K13" s="205">
        <f t="shared" si="172"/>
        <v>630</v>
      </c>
      <c r="L13" s="205">
        <f t="shared" si="0"/>
        <v>3780</v>
      </c>
      <c r="M13" s="1556" t="s">
        <v>4070</v>
      </c>
      <c r="N13" s="1556" t="s">
        <v>4129</v>
      </c>
      <c r="O13" s="1556" t="s">
        <v>3022</v>
      </c>
      <c r="P13" s="559">
        <f>IF(H13="","",H13*12/0.3)</f>
        <v>30960</v>
      </c>
      <c r="Q13" s="560">
        <f>IF(H13="","",P13/($P$6*VLOOKUP(C13,'DCA Underwriting Assumptions'!$J$81:$K$86,2,FALSE)))</f>
        <v>0.5188536953242836</v>
      </c>
      <c r="R13" s="667"/>
      <c r="S13" s="560"/>
      <c r="T13" s="1495"/>
      <c r="U13" s="1496"/>
      <c r="V13" s="624" t="str">
        <f t="shared" si="1"/>
        <v/>
      </c>
      <c r="W13" s="624" t="str">
        <f t="shared" si="2"/>
        <v/>
      </c>
      <c r="X13" s="624">
        <f t="shared" si="3"/>
        <v>6</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5100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6</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6</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6</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51" t="s">
        <v>1562</v>
      </c>
      <c r="C14" s="1552">
        <v>2</v>
      </c>
      <c r="D14" s="1553">
        <v>1</v>
      </c>
      <c r="E14" s="1554">
        <v>43</v>
      </c>
      <c r="F14" s="1554">
        <v>1000</v>
      </c>
      <c r="G14" s="1554">
        <v>895</v>
      </c>
      <c r="H14" s="1554">
        <v>849</v>
      </c>
      <c r="I14" s="1554">
        <v>144</v>
      </c>
      <c r="J14" s="1555"/>
      <c r="K14" s="205">
        <f t="shared" si="172"/>
        <v>705</v>
      </c>
      <c r="L14" s="205">
        <f t="shared" si="0"/>
        <v>30315</v>
      </c>
      <c r="M14" s="1556" t="s">
        <v>4070</v>
      </c>
      <c r="N14" s="1556" t="s">
        <v>4129</v>
      </c>
      <c r="O14" s="1556" t="s">
        <v>3022</v>
      </c>
      <c r="P14" s="559">
        <f>IF(H14="","",H14*12/0.3)</f>
        <v>33960</v>
      </c>
      <c r="Q14" s="560">
        <f>IF(H14="","",P14/($P$6*VLOOKUP(C14,'DCA Underwriting Assumptions'!$J$81:$K$86,2,FALSE)))</f>
        <v>0.56913021618903969</v>
      </c>
      <c r="R14" s="667"/>
      <c r="S14" s="560"/>
      <c r="T14" s="1495"/>
      <c r="U14" s="1496"/>
      <c r="V14" s="624" t="str">
        <f t="shared" si="1"/>
        <v/>
      </c>
      <c r="W14" s="624" t="str">
        <f t="shared" si="2"/>
        <v/>
      </c>
      <c r="X14" s="624">
        <f t="shared" si="3"/>
        <v>43</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43000</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43</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43</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f t="shared" si="143"/>
        <v>43</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51" t="s">
        <v>2466</v>
      </c>
      <c r="C15" s="1552"/>
      <c r="D15" s="1553"/>
      <c r="E15" s="1554"/>
      <c r="F15" s="1554"/>
      <c r="G15" s="1554"/>
      <c r="H15" s="1554"/>
      <c r="I15" s="1554"/>
      <c r="J15" s="1555"/>
      <c r="K15" s="205">
        <f t="shared" si="172"/>
        <v>0</v>
      </c>
      <c r="L15" s="205">
        <f t="shared" si="0"/>
        <v>0</v>
      </c>
      <c r="M15" s="1556"/>
      <c r="N15" s="1556"/>
      <c r="O15" s="1556"/>
      <c r="P15" s="559" t="str">
        <f t="shared" ref="P15:P47" si="203">IF(H15="","",H15*12/0.3)</f>
        <v/>
      </c>
      <c r="Q15" s="560" t="str">
        <f>IF(H15="","",P15/($P$6*VLOOKUP(C15,'DCA Underwriting Assumptions'!$J$81:$K$86,2,FALSE)))</f>
        <v/>
      </c>
      <c r="R15" s="667"/>
      <c r="S15" s="560"/>
      <c r="T15" s="1495"/>
      <c r="U15" s="1496"/>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51" t="s">
        <v>2466</v>
      </c>
      <c r="C16" s="1552"/>
      <c r="D16" s="1553"/>
      <c r="E16" s="1554"/>
      <c r="F16" s="1554"/>
      <c r="G16" s="1554"/>
      <c r="H16" s="1554"/>
      <c r="I16" s="1554"/>
      <c r="J16" s="1555"/>
      <c r="K16" s="205">
        <f t="shared" si="172"/>
        <v>0</v>
      </c>
      <c r="L16" s="205">
        <f t="shared" si="0"/>
        <v>0</v>
      </c>
      <c r="M16" s="1556"/>
      <c r="N16" s="1556"/>
      <c r="O16" s="1556"/>
      <c r="P16" s="559" t="str">
        <f t="shared" si="203"/>
        <v/>
      </c>
      <c r="Q16" s="560" t="str">
        <f>IF(H16="","",P16/($P$6*VLOOKUP(C16,'DCA Underwriting Assumptions'!$J$81:$K$86,2,FALSE)))</f>
        <v/>
      </c>
      <c r="R16" s="667"/>
      <c r="S16" s="560"/>
      <c r="T16" s="1495"/>
      <c r="U16" s="1496"/>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51" t="s">
        <v>2466</v>
      </c>
      <c r="C17" s="1552"/>
      <c r="D17" s="1553"/>
      <c r="E17" s="1554"/>
      <c r="F17" s="1554"/>
      <c r="G17" s="1554"/>
      <c r="H17" s="1554"/>
      <c r="I17" s="1554"/>
      <c r="J17" s="1555"/>
      <c r="K17" s="205">
        <f t="shared" si="172"/>
        <v>0</v>
      </c>
      <c r="L17" s="205">
        <f t="shared" si="0"/>
        <v>0</v>
      </c>
      <c r="M17" s="1556"/>
      <c r="N17" s="1556"/>
      <c r="O17" s="1556"/>
      <c r="P17" s="559" t="str">
        <f t="shared" si="203"/>
        <v/>
      </c>
      <c r="Q17" s="560" t="str">
        <f>IF(H17="","",P17/($P$6*VLOOKUP(C17,'DCA Underwriting Assumptions'!$J$81:$K$86,2,FALSE)))</f>
        <v/>
      </c>
      <c r="R17" s="667"/>
      <c r="S17" s="560"/>
      <c r="T17" s="1495"/>
      <c r="U17" s="1496"/>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51" t="s">
        <v>2466</v>
      </c>
      <c r="C18" s="1552"/>
      <c r="D18" s="1553"/>
      <c r="E18" s="1554"/>
      <c r="F18" s="1554"/>
      <c r="G18" s="1554"/>
      <c r="H18" s="1554"/>
      <c r="I18" s="1554"/>
      <c r="J18" s="1555"/>
      <c r="K18" s="205">
        <f t="shared" si="172"/>
        <v>0</v>
      </c>
      <c r="L18" s="205">
        <f t="shared" si="0"/>
        <v>0</v>
      </c>
      <c r="M18" s="1556"/>
      <c r="N18" s="1556"/>
      <c r="O18" s="1556"/>
      <c r="P18" s="559" t="str">
        <f t="shared" si="203"/>
        <v/>
      </c>
      <c r="Q18" s="560" t="str">
        <f>IF(H18="","",P18/($P$6*VLOOKUP(C18,'DCA Underwriting Assumptions'!$J$81:$K$86,2,FALSE)))</f>
        <v/>
      </c>
      <c r="R18" s="667"/>
      <c r="S18" s="560"/>
      <c r="T18" s="1495"/>
      <c r="U18" s="1496"/>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51" t="s">
        <v>2466</v>
      </c>
      <c r="C19" s="1552"/>
      <c r="D19" s="1553"/>
      <c r="E19" s="1554"/>
      <c r="F19" s="1554"/>
      <c r="G19" s="1554"/>
      <c r="H19" s="1554"/>
      <c r="I19" s="1554"/>
      <c r="J19" s="1555"/>
      <c r="K19" s="205">
        <f t="shared" si="172"/>
        <v>0</v>
      </c>
      <c r="L19" s="205">
        <f t="shared" si="0"/>
        <v>0</v>
      </c>
      <c r="M19" s="1556"/>
      <c r="N19" s="1556"/>
      <c r="O19" s="1556"/>
      <c r="P19" s="559" t="str">
        <f t="shared" si="203"/>
        <v/>
      </c>
      <c r="Q19" s="560" t="str">
        <f>IF(H19="","",P19/($P$6*VLOOKUP(C19,'DCA Underwriting Assumptions'!$J$81:$K$86,2,FALSE)))</f>
        <v/>
      </c>
      <c r="R19" s="667"/>
      <c r="S19" s="560"/>
      <c r="T19" s="1495"/>
      <c r="U19" s="1496"/>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51" t="s">
        <v>2466</v>
      </c>
      <c r="C20" s="1552"/>
      <c r="D20" s="1553"/>
      <c r="E20" s="1554"/>
      <c r="F20" s="1554"/>
      <c r="G20" s="1554"/>
      <c r="H20" s="1554"/>
      <c r="I20" s="1554"/>
      <c r="J20" s="1555"/>
      <c r="K20" s="205">
        <f t="shared" si="172"/>
        <v>0</v>
      </c>
      <c r="L20" s="205">
        <f t="shared" si="0"/>
        <v>0</v>
      </c>
      <c r="M20" s="1556"/>
      <c r="N20" s="1556"/>
      <c r="O20" s="1556"/>
      <c r="P20" s="559" t="str">
        <f t="shared" si="203"/>
        <v/>
      </c>
      <c r="Q20" s="560" t="str">
        <f>IF(H20="","",P20/($P$6*VLOOKUP(C20,'DCA Underwriting Assumptions'!$J$81:$K$86,2,FALSE)))</f>
        <v/>
      </c>
      <c r="R20" s="667"/>
      <c r="S20" s="560"/>
      <c r="T20" s="1495"/>
      <c r="U20" s="1496"/>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51" t="s">
        <v>2466</v>
      </c>
      <c r="C21" s="1552"/>
      <c r="D21" s="1553"/>
      <c r="E21" s="1554"/>
      <c r="F21" s="1554"/>
      <c r="G21" s="1554"/>
      <c r="H21" s="1554"/>
      <c r="I21" s="1554"/>
      <c r="J21" s="1555"/>
      <c r="K21" s="205">
        <f t="shared" si="172"/>
        <v>0</v>
      </c>
      <c r="L21" s="205">
        <f t="shared" si="0"/>
        <v>0</v>
      </c>
      <c r="M21" s="1556"/>
      <c r="N21" s="1556"/>
      <c r="O21" s="1556"/>
      <c r="P21" s="559" t="str">
        <f t="shared" si="203"/>
        <v/>
      </c>
      <c r="Q21" s="560" t="str">
        <f>IF(H21="","",P21/($P$6*VLOOKUP(C21,'DCA Underwriting Assumptions'!$J$81:$K$86,2,FALSE)))</f>
        <v/>
      </c>
      <c r="R21" s="667"/>
      <c r="S21" s="560"/>
      <c r="T21" s="1495"/>
      <c r="U21" s="1496"/>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51" t="s">
        <v>2466</v>
      </c>
      <c r="C22" s="1552"/>
      <c r="D22" s="1553"/>
      <c r="E22" s="1554"/>
      <c r="F22" s="1554"/>
      <c r="G22" s="1554"/>
      <c r="H22" s="1554"/>
      <c r="I22" s="1554"/>
      <c r="J22" s="1555"/>
      <c r="K22" s="205">
        <f t="shared" si="172"/>
        <v>0</v>
      </c>
      <c r="L22" s="205">
        <f t="shared" si="0"/>
        <v>0</v>
      </c>
      <c r="M22" s="1556"/>
      <c r="N22" s="1556"/>
      <c r="O22" s="1556"/>
      <c r="P22" s="559" t="str">
        <f t="shared" si="203"/>
        <v/>
      </c>
      <c r="Q22" s="560" t="str">
        <f>IF(H22="","",P22/($P$6*VLOOKUP(C22,'DCA Underwriting Assumptions'!$J$81:$K$86,2,FALSE)))</f>
        <v/>
      </c>
      <c r="R22" s="667"/>
      <c r="S22" s="560"/>
      <c r="T22" s="1495"/>
      <c r="U22" s="1496"/>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51" t="s">
        <v>2466</v>
      </c>
      <c r="C23" s="1552"/>
      <c r="D23" s="1553"/>
      <c r="E23" s="1554"/>
      <c r="F23" s="1554"/>
      <c r="G23" s="1554"/>
      <c r="H23" s="1554"/>
      <c r="I23" s="1554"/>
      <c r="J23" s="1555"/>
      <c r="K23" s="205">
        <f t="shared" si="172"/>
        <v>0</v>
      </c>
      <c r="L23" s="205">
        <f t="shared" si="0"/>
        <v>0</v>
      </c>
      <c r="M23" s="1556"/>
      <c r="N23" s="1556"/>
      <c r="O23" s="1556"/>
      <c r="P23" s="559" t="str">
        <f t="shared" si="203"/>
        <v/>
      </c>
      <c r="Q23" s="560" t="str">
        <f>IF(H23="","",P23/($P$6*VLOOKUP(C23,'DCA Underwriting Assumptions'!$J$81:$K$86,2,FALSE)))</f>
        <v/>
      </c>
      <c r="R23" s="667"/>
      <c r="S23" s="560"/>
      <c r="T23" s="1495"/>
      <c r="U23" s="1496"/>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51" t="s">
        <v>2466</v>
      </c>
      <c r="C24" s="1552"/>
      <c r="D24" s="1553"/>
      <c r="E24" s="1554"/>
      <c r="F24" s="1554"/>
      <c r="G24" s="1554"/>
      <c r="H24" s="1554"/>
      <c r="I24" s="1554"/>
      <c r="J24" s="1555"/>
      <c r="K24" s="205">
        <f t="shared" si="172"/>
        <v>0</v>
      </c>
      <c r="L24" s="205">
        <f t="shared" si="0"/>
        <v>0</v>
      </c>
      <c r="M24" s="1556"/>
      <c r="N24" s="1556"/>
      <c r="O24" s="1556"/>
      <c r="P24" s="559" t="str">
        <f t="shared" si="203"/>
        <v/>
      </c>
      <c r="Q24" s="560" t="str">
        <f>IF(H24="","",P24/($P$6*VLOOKUP(C24,'DCA Underwriting Assumptions'!$J$81:$K$86,2,FALSE)))</f>
        <v/>
      </c>
      <c r="R24" s="667"/>
      <c r="S24" s="560"/>
      <c r="T24" s="1495"/>
      <c r="U24" s="1496"/>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51" t="s">
        <v>2466</v>
      </c>
      <c r="C25" s="1552"/>
      <c r="D25" s="1553"/>
      <c r="E25" s="1554"/>
      <c r="F25" s="1554"/>
      <c r="G25" s="1554"/>
      <c r="H25" s="1554"/>
      <c r="I25" s="1554"/>
      <c r="J25" s="1555"/>
      <c r="K25" s="205">
        <f t="shared" si="172"/>
        <v>0</v>
      </c>
      <c r="L25" s="205">
        <f t="shared" si="0"/>
        <v>0</v>
      </c>
      <c r="M25" s="1556"/>
      <c r="N25" s="1556"/>
      <c r="O25" s="1556"/>
      <c r="P25" s="559" t="str">
        <f t="shared" si="203"/>
        <v/>
      </c>
      <c r="Q25" s="560" t="str">
        <f>IF(H25="","",P25/($P$6*VLOOKUP(C25,'DCA Underwriting Assumptions'!$J$81:$K$86,2,FALSE)))</f>
        <v/>
      </c>
      <c r="R25" s="667"/>
      <c r="S25" s="560"/>
      <c r="T25" s="1495"/>
      <c r="U25" s="1496"/>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51" t="s">
        <v>2466</v>
      </c>
      <c r="C26" s="1552"/>
      <c r="D26" s="1553"/>
      <c r="E26" s="1554"/>
      <c r="F26" s="1554"/>
      <c r="G26" s="1554"/>
      <c r="H26" s="1554"/>
      <c r="I26" s="1554"/>
      <c r="J26" s="1555"/>
      <c r="K26" s="205">
        <f t="shared" si="172"/>
        <v>0</v>
      </c>
      <c r="L26" s="205">
        <f t="shared" si="0"/>
        <v>0</v>
      </c>
      <c r="M26" s="1556"/>
      <c r="N26" s="1556"/>
      <c r="O26" s="1556"/>
      <c r="P26" s="559" t="str">
        <f t="shared" si="203"/>
        <v/>
      </c>
      <c r="Q26" s="560" t="str">
        <f>IF(H26="","",P26/($P$6*VLOOKUP(C26,'DCA Underwriting Assumptions'!$J$81:$K$86,2,FALSE)))</f>
        <v/>
      </c>
      <c r="R26" s="667"/>
      <c r="S26" s="560"/>
      <c r="T26" s="1495"/>
      <c r="U26" s="1496"/>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51" t="s">
        <v>2466</v>
      </c>
      <c r="C27" s="1552"/>
      <c r="D27" s="1553"/>
      <c r="E27" s="1554"/>
      <c r="F27" s="1554"/>
      <c r="G27" s="1554"/>
      <c r="H27" s="1554"/>
      <c r="I27" s="1554"/>
      <c r="J27" s="1555"/>
      <c r="K27" s="205">
        <f t="shared" si="172"/>
        <v>0</v>
      </c>
      <c r="L27" s="205">
        <f t="shared" si="0"/>
        <v>0</v>
      </c>
      <c r="M27" s="1556"/>
      <c r="N27" s="1556"/>
      <c r="O27" s="1556"/>
      <c r="P27" s="559" t="str">
        <f t="shared" si="203"/>
        <v/>
      </c>
      <c r="Q27" s="560" t="str">
        <f>IF(H27="","",P27/($P$6*VLOOKUP(C27,'DCA Underwriting Assumptions'!$J$81:$K$86,2,FALSE)))</f>
        <v/>
      </c>
      <c r="R27" s="667"/>
      <c r="S27" s="560"/>
      <c r="T27" s="1495"/>
      <c r="U27" s="1496"/>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51" t="s">
        <v>2466</v>
      </c>
      <c r="C28" s="1552"/>
      <c r="D28" s="1553"/>
      <c r="E28" s="1554"/>
      <c r="F28" s="1554"/>
      <c r="G28" s="1554"/>
      <c r="H28" s="1554"/>
      <c r="I28" s="1554"/>
      <c r="J28" s="1555"/>
      <c r="K28" s="205">
        <f>MAX(0,H28-I28)</f>
        <v>0</v>
      </c>
      <c r="L28" s="205">
        <f t="shared" si="0"/>
        <v>0</v>
      </c>
      <c r="M28" s="1556"/>
      <c r="N28" s="1556"/>
      <c r="O28" s="1556"/>
      <c r="P28" s="559" t="str">
        <f t="shared" si="203"/>
        <v/>
      </c>
      <c r="Q28" s="560" t="str">
        <f>IF(H28="","",P28/($P$6*VLOOKUP(C28,'DCA Underwriting Assumptions'!$J$81:$K$86,2,FALSE)))</f>
        <v/>
      </c>
      <c r="R28" s="667"/>
      <c r="S28" s="560"/>
      <c r="T28" s="1495"/>
      <c r="U28" s="1496"/>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51" t="s">
        <v>2466</v>
      </c>
      <c r="C29" s="1552"/>
      <c r="D29" s="1553"/>
      <c r="E29" s="1554"/>
      <c r="F29" s="1554"/>
      <c r="G29" s="1554"/>
      <c r="H29" s="1554"/>
      <c r="I29" s="1554"/>
      <c r="J29" s="1555"/>
      <c r="K29" s="205">
        <f t="shared" ref="K29:K47" si="204">MAX(0,H29-I29)</f>
        <v>0</v>
      </c>
      <c r="L29" s="205">
        <f t="shared" si="0"/>
        <v>0</v>
      </c>
      <c r="M29" s="1556"/>
      <c r="N29" s="1556"/>
      <c r="O29" s="1556"/>
      <c r="P29" s="559" t="str">
        <f t="shared" si="203"/>
        <v/>
      </c>
      <c r="Q29" s="560" t="str">
        <f>IF(H29="","",P29/($P$6*VLOOKUP(C29,'DCA Underwriting Assumptions'!$J$81:$K$86,2,FALSE)))</f>
        <v/>
      </c>
      <c r="R29" s="667"/>
      <c r="S29" s="560"/>
      <c r="T29" s="1495"/>
      <c r="U29" s="1496"/>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51" t="s">
        <v>2466</v>
      </c>
      <c r="C30" s="1552"/>
      <c r="D30" s="1553"/>
      <c r="E30" s="1554"/>
      <c r="F30" s="1554"/>
      <c r="G30" s="1554"/>
      <c r="H30" s="1554"/>
      <c r="I30" s="1554"/>
      <c r="J30" s="1555"/>
      <c r="K30" s="205">
        <f t="shared" si="204"/>
        <v>0</v>
      </c>
      <c r="L30" s="205">
        <f t="shared" si="0"/>
        <v>0</v>
      </c>
      <c r="M30" s="1556"/>
      <c r="N30" s="1556"/>
      <c r="O30" s="1556"/>
      <c r="P30" s="559" t="str">
        <f t="shared" si="203"/>
        <v/>
      </c>
      <c r="Q30" s="560" t="str">
        <f>IF(H30="","",P30/($P$6*VLOOKUP(C30,'DCA Underwriting Assumptions'!$J$81:$K$86,2,FALSE)))</f>
        <v/>
      </c>
      <c r="R30" s="667"/>
      <c r="S30" s="560"/>
      <c r="T30" s="1495"/>
      <c r="U30" s="1496"/>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51" t="s">
        <v>2466</v>
      </c>
      <c r="C31" s="1552"/>
      <c r="D31" s="1553"/>
      <c r="E31" s="1554"/>
      <c r="F31" s="1554"/>
      <c r="G31" s="1554"/>
      <c r="H31" s="1554"/>
      <c r="I31" s="1554"/>
      <c r="J31" s="1555"/>
      <c r="K31" s="205">
        <f t="shared" si="204"/>
        <v>0</v>
      </c>
      <c r="L31" s="205">
        <f t="shared" si="0"/>
        <v>0</v>
      </c>
      <c r="M31" s="1556"/>
      <c r="N31" s="1556"/>
      <c r="O31" s="1556"/>
      <c r="P31" s="559" t="str">
        <f t="shared" si="203"/>
        <v/>
      </c>
      <c r="Q31" s="560" t="str">
        <f>IF(H31="","",P31/($P$6*VLOOKUP(C31,'DCA Underwriting Assumptions'!$J$81:$K$86,2,FALSE)))</f>
        <v/>
      </c>
      <c r="R31" s="667"/>
      <c r="S31" s="560"/>
      <c r="T31" s="1495"/>
      <c r="U31" s="1496"/>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51" t="s">
        <v>2466</v>
      </c>
      <c r="C32" s="1552"/>
      <c r="D32" s="1553"/>
      <c r="E32" s="1554"/>
      <c r="F32" s="1554"/>
      <c r="G32" s="1554"/>
      <c r="H32" s="1554"/>
      <c r="I32" s="1554"/>
      <c r="J32" s="1555"/>
      <c r="K32" s="205">
        <f t="shared" si="204"/>
        <v>0</v>
      </c>
      <c r="L32" s="205">
        <f t="shared" si="0"/>
        <v>0</v>
      </c>
      <c r="M32" s="1556"/>
      <c r="N32" s="1556"/>
      <c r="O32" s="1556"/>
      <c r="P32" s="559" t="str">
        <f t="shared" si="203"/>
        <v/>
      </c>
      <c r="Q32" s="560" t="str">
        <f>IF(H32="","",P32/($P$6*VLOOKUP(C32,'DCA Underwriting Assumptions'!$J$81:$K$86,2,FALSE)))</f>
        <v/>
      </c>
      <c r="R32" s="667"/>
      <c r="S32" s="560"/>
      <c r="T32" s="1495"/>
      <c r="U32" s="1496"/>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51" t="s">
        <v>2466</v>
      </c>
      <c r="C33" s="1552"/>
      <c r="D33" s="1553"/>
      <c r="E33" s="1554"/>
      <c r="F33" s="1554"/>
      <c r="G33" s="1554"/>
      <c r="H33" s="1554"/>
      <c r="I33" s="1554"/>
      <c r="J33" s="1555"/>
      <c r="K33" s="205">
        <f t="shared" si="204"/>
        <v>0</v>
      </c>
      <c r="L33" s="205">
        <f t="shared" si="0"/>
        <v>0</v>
      </c>
      <c r="M33" s="1556"/>
      <c r="N33" s="1556"/>
      <c r="O33" s="1556"/>
      <c r="P33" s="559" t="str">
        <f t="shared" si="203"/>
        <v/>
      </c>
      <c r="Q33" s="560" t="str">
        <f>IF(H33="","",P33/($P$6*VLOOKUP(C33,'DCA Underwriting Assumptions'!$J$81:$K$86,2,FALSE)))</f>
        <v/>
      </c>
      <c r="R33" s="667"/>
      <c r="S33" s="560"/>
      <c r="T33" s="1495"/>
      <c r="U33" s="1496"/>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51" t="s">
        <v>2466</v>
      </c>
      <c r="C34" s="1552"/>
      <c r="D34" s="1553"/>
      <c r="E34" s="1554"/>
      <c r="F34" s="1554"/>
      <c r="G34" s="1554"/>
      <c r="H34" s="1554"/>
      <c r="I34" s="1554"/>
      <c r="J34" s="1555"/>
      <c r="K34" s="205">
        <f t="shared" si="204"/>
        <v>0</v>
      </c>
      <c r="L34" s="205">
        <f t="shared" si="0"/>
        <v>0</v>
      </c>
      <c r="M34" s="1556"/>
      <c r="N34" s="1556"/>
      <c r="O34" s="1556"/>
      <c r="P34" s="559" t="str">
        <f t="shared" si="203"/>
        <v/>
      </c>
      <c r="Q34" s="560" t="str">
        <f>IF(H34="","",P34/($P$6*VLOOKUP(C34,'DCA Underwriting Assumptions'!$J$81:$K$86,2,FALSE)))</f>
        <v/>
      </c>
      <c r="R34" s="667"/>
      <c r="S34" s="560"/>
      <c r="T34" s="1495"/>
      <c r="U34" s="1496"/>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51" t="s">
        <v>2466</v>
      </c>
      <c r="C35" s="1552"/>
      <c r="D35" s="1553"/>
      <c r="E35" s="1554"/>
      <c r="F35" s="1554"/>
      <c r="G35" s="1554"/>
      <c r="H35" s="1554"/>
      <c r="I35" s="1554"/>
      <c r="J35" s="1555"/>
      <c r="K35" s="205">
        <f t="shared" si="204"/>
        <v>0</v>
      </c>
      <c r="L35" s="205">
        <f t="shared" si="0"/>
        <v>0</v>
      </c>
      <c r="M35" s="1556"/>
      <c r="N35" s="1556"/>
      <c r="O35" s="1556"/>
      <c r="P35" s="559" t="str">
        <f t="shared" si="203"/>
        <v/>
      </c>
      <c r="Q35" s="560" t="str">
        <f>IF(H35="","",P35/($P$6*VLOOKUP(C35,'DCA Underwriting Assumptions'!$J$81:$K$86,2,FALSE)))</f>
        <v/>
      </c>
      <c r="R35" s="667"/>
      <c r="S35" s="560"/>
      <c r="T35" s="1495"/>
      <c r="U35" s="1496"/>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51" t="s">
        <v>2466</v>
      </c>
      <c r="C36" s="1552"/>
      <c r="D36" s="1553"/>
      <c r="E36" s="1554"/>
      <c r="F36" s="1554"/>
      <c r="G36" s="1554"/>
      <c r="H36" s="1554"/>
      <c r="I36" s="1554"/>
      <c r="J36" s="1555"/>
      <c r="K36" s="205">
        <f t="shared" si="204"/>
        <v>0</v>
      </c>
      <c r="L36" s="205">
        <f t="shared" si="0"/>
        <v>0</v>
      </c>
      <c r="M36" s="1556"/>
      <c r="N36" s="1556"/>
      <c r="O36" s="1556"/>
      <c r="P36" s="559" t="str">
        <f t="shared" si="203"/>
        <v/>
      </c>
      <c r="Q36" s="560" t="str">
        <f>IF(H36="","",P36/($P$6*VLOOKUP(C36,'DCA Underwriting Assumptions'!$J$81:$K$86,2,FALSE)))</f>
        <v/>
      </c>
      <c r="R36" s="667"/>
      <c r="S36" s="560"/>
      <c r="T36" s="1495"/>
      <c r="U36" s="1496"/>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51" t="s">
        <v>2466</v>
      </c>
      <c r="C37" s="1552"/>
      <c r="D37" s="1553"/>
      <c r="E37" s="1554"/>
      <c r="F37" s="1554"/>
      <c r="G37" s="1554"/>
      <c r="H37" s="1554"/>
      <c r="I37" s="1554"/>
      <c r="J37" s="1555"/>
      <c r="K37" s="205">
        <f t="shared" si="204"/>
        <v>0</v>
      </c>
      <c r="L37" s="205">
        <f t="shared" si="0"/>
        <v>0</v>
      </c>
      <c r="M37" s="1556"/>
      <c r="N37" s="1556"/>
      <c r="O37" s="1556"/>
      <c r="P37" s="559" t="str">
        <f t="shared" si="203"/>
        <v/>
      </c>
      <c r="Q37" s="560" t="str">
        <f>IF(H37="","",P37/($P$6*VLOOKUP(C37,'DCA Underwriting Assumptions'!$J$81:$K$86,2,FALSE)))</f>
        <v/>
      </c>
      <c r="R37" s="667"/>
      <c r="S37" s="560"/>
      <c r="T37" s="1495"/>
      <c r="U37" s="1496"/>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51" t="s">
        <v>2466</v>
      </c>
      <c r="C38" s="1552"/>
      <c r="D38" s="1553"/>
      <c r="E38" s="1554"/>
      <c r="F38" s="1554"/>
      <c r="G38" s="1554"/>
      <c r="H38" s="1554"/>
      <c r="I38" s="1554"/>
      <c r="J38" s="1555"/>
      <c r="K38" s="205">
        <f>MAX(0,H38-I38)</f>
        <v>0</v>
      </c>
      <c r="L38" s="205">
        <f t="shared" si="0"/>
        <v>0</v>
      </c>
      <c r="M38" s="1556"/>
      <c r="N38" s="1556"/>
      <c r="O38" s="1556"/>
      <c r="P38" s="559" t="str">
        <f t="shared" si="203"/>
        <v/>
      </c>
      <c r="Q38" s="560" t="str">
        <f>IF(H38="","",P38/($P$6*VLOOKUP(C38,'DCA Underwriting Assumptions'!$J$81:$K$86,2,FALSE)))</f>
        <v/>
      </c>
      <c r="R38" s="667"/>
      <c r="S38" s="560"/>
      <c r="T38" s="1495"/>
      <c r="U38" s="1496"/>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51" t="s">
        <v>2466</v>
      </c>
      <c r="C39" s="1552"/>
      <c r="D39" s="1553"/>
      <c r="E39" s="1554"/>
      <c r="F39" s="1554"/>
      <c r="G39" s="1554"/>
      <c r="H39" s="1554"/>
      <c r="I39" s="1554"/>
      <c r="J39" s="1555"/>
      <c r="K39" s="205">
        <f t="shared" ref="K39:K46" si="205">MAX(0,H39-I39)</f>
        <v>0</v>
      </c>
      <c r="L39" s="205">
        <f t="shared" si="0"/>
        <v>0</v>
      </c>
      <c r="M39" s="1556"/>
      <c r="N39" s="1556"/>
      <c r="O39" s="1556"/>
      <c r="P39" s="559" t="str">
        <f t="shared" si="203"/>
        <v/>
      </c>
      <c r="Q39" s="560" t="str">
        <f>IF(H39="","",P39/($P$6*VLOOKUP(C39,'DCA Underwriting Assumptions'!$J$81:$K$86,2,FALSE)))</f>
        <v/>
      </c>
      <c r="R39" s="667"/>
      <c r="S39" s="560"/>
      <c r="T39" s="1495"/>
      <c r="U39" s="1496"/>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51" t="s">
        <v>2466</v>
      </c>
      <c r="C40" s="1552"/>
      <c r="D40" s="1553"/>
      <c r="E40" s="1554"/>
      <c r="F40" s="1554"/>
      <c r="G40" s="1554"/>
      <c r="H40" s="1554"/>
      <c r="I40" s="1554"/>
      <c r="J40" s="1555"/>
      <c r="K40" s="205">
        <f t="shared" si="205"/>
        <v>0</v>
      </c>
      <c r="L40" s="205">
        <f t="shared" si="0"/>
        <v>0</v>
      </c>
      <c r="M40" s="1556"/>
      <c r="N40" s="1556"/>
      <c r="O40" s="1556"/>
      <c r="P40" s="559" t="str">
        <f t="shared" si="203"/>
        <v/>
      </c>
      <c r="Q40" s="560" t="str">
        <f>IF(H40="","",P40/($P$6*VLOOKUP(C40,'DCA Underwriting Assumptions'!$J$81:$K$86,2,FALSE)))</f>
        <v/>
      </c>
      <c r="R40" s="667"/>
      <c r="S40" s="560"/>
      <c r="T40" s="1495"/>
      <c r="U40" s="1496"/>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51" t="s">
        <v>2466</v>
      </c>
      <c r="C41" s="1552"/>
      <c r="D41" s="1553"/>
      <c r="E41" s="1554"/>
      <c r="F41" s="1554"/>
      <c r="G41" s="1554"/>
      <c r="H41" s="1554"/>
      <c r="I41" s="1554"/>
      <c r="J41" s="1555"/>
      <c r="K41" s="205">
        <f t="shared" si="205"/>
        <v>0</v>
      </c>
      <c r="L41" s="205">
        <f t="shared" si="0"/>
        <v>0</v>
      </c>
      <c r="M41" s="1556"/>
      <c r="N41" s="1556"/>
      <c r="O41" s="1556"/>
      <c r="P41" s="559" t="str">
        <f t="shared" si="203"/>
        <v/>
      </c>
      <c r="Q41" s="560" t="str">
        <f>IF(H41="","",P41/($P$6*VLOOKUP(C41,'DCA Underwriting Assumptions'!$J$81:$K$86,2,FALSE)))</f>
        <v/>
      </c>
      <c r="R41" s="667"/>
      <c r="S41" s="560"/>
      <c r="T41" s="1495"/>
      <c r="U41" s="1496"/>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51" t="s">
        <v>2466</v>
      </c>
      <c r="C42" s="1552"/>
      <c r="D42" s="1553"/>
      <c r="E42" s="1554"/>
      <c r="F42" s="1554"/>
      <c r="G42" s="1554"/>
      <c r="H42" s="1554"/>
      <c r="I42" s="1554"/>
      <c r="J42" s="1555"/>
      <c r="K42" s="205">
        <f t="shared" si="205"/>
        <v>0</v>
      </c>
      <c r="L42" s="205">
        <f t="shared" si="0"/>
        <v>0</v>
      </c>
      <c r="M42" s="1556"/>
      <c r="N42" s="1556"/>
      <c r="O42" s="1556"/>
      <c r="P42" s="559" t="str">
        <f t="shared" si="203"/>
        <v/>
      </c>
      <c r="Q42" s="560" t="str">
        <f>IF(H42="","",P42/($P$6*VLOOKUP(C42,'DCA Underwriting Assumptions'!$J$81:$K$86,2,FALSE)))</f>
        <v/>
      </c>
      <c r="R42" s="667"/>
      <c r="S42" s="560"/>
      <c r="T42" s="1495"/>
      <c r="U42" s="1496"/>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51" t="s">
        <v>2466</v>
      </c>
      <c r="C43" s="1552"/>
      <c r="D43" s="1553"/>
      <c r="E43" s="1554"/>
      <c r="F43" s="1554"/>
      <c r="G43" s="1554"/>
      <c r="H43" s="1554"/>
      <c r="I43" s="1554"/>
      <c r="J43" s="1555"/>
      <c r="K43" s="205">
        <f t="shared" si="205"/>
        <v>0</v>
      </c>
      <c r="L43" s="205">
        <f t="shared" si="0"/>
        <v>0</v>
      </c>
      <c r="M43" s="1556"/>
      <c r="N43" s="1556"/>
      <c r="O43" s="1556"/>
      <c r="P43" s="559" t="str">
        <f t="shared" si="203"/>
        <v/>
      </c>
      <c r="Q43" s="560" t="str">
        <f>IF(H43="","",P43/($P$6*VLOOKUP(C43,'DCA Underwriting Assumptions'!$J$81:$K$86,2,FALSE)))</f>
        <v/>
      </c>
      <c r="R43" s="667"/>
      <c r="S43" s="560"/>
      <c r="T43" s="1495"/>
      <c r="U43" s="1496"/>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51" t="s">
        <v>2466</v>
      </c>
      <c r="C44" s="1552"/>
      <c r="D44" s="1553"/>
      <c r="E44" s="1554"/>
      <c r="F44" s="1554"/>
      <c r="G44" s="1554"/>
      <c r="H44" s="1554"/>
      <c r="I44" s="1554"/>
      <c r="J44" s="1555"/>
      <c r="K44" s="205">
        <f t="shared" si="205"/>
        <v>0</v>
      </c>
      <c r="L44" s="205">
        <f t="shared" si="0"/>
        <v>0</v>
      </c>
      <c r="M44" s="1556"/>
      <c r="N44" s="1556"/>
      <c r="O44" s="1556"/>
      <c r="P44" s="559" t="str">
        <f t="shared" si="203"/>
        <v/>
      </c>
      <c r="Q44" s="560" t="str">
        <f>IF(H44="","",P44/($P$6*VLOOKUP(C44,'DCA Underwriting Assumptions'!$J$81:$K$86,2,FALSE)))</f>
        <v/>
      </c>
      <c r="R44" s="667"/>
      <c r="S44" s="560"/>
      <c r="T44" s="1495"/>
      <c r="U44" s="1496"/>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51" t="s">
        <v>2466</v>
      </c>
      <c r="C45" s="1552"/>
      <c r="D45" s="1553"/>
      <c r="E45" s="1554"/>
      <c r="F45" s="1554"/>
      <c r="G45" s="1554"/>
      <c r="H45" s="1554"/>
      <c r="I45" s="1554"/>
      <c r="J45" s="1555"/>
      <c r="K45" s="205">
        <f t="shared" si="205"/>
        <v>0</v>
      </c>
      <c r="L45" s="205">
        <f t="shared" si="0"/>
        <v>0</v>
      </c>
      <c r="M45" s="1556"/>
      <c r="N45" s="1556"/>
      <c r="O45" s="1556"/>
      <c r="P45" s="559" t="str">
        <f t="shared" si="203"/>
        <v/>
      </c>
      <c r="Q45" s="560" t="str">
        <f>IF(H45="","",P45/($P$6*VLOOKUP(C45,'DCA Underwriting Assumptions'!$J$81:$K$86,2,FALSE)))</f>
        <v/>
      </c>
      <c r="R45" s="667"/>
      <c r="S45" s="560"/>
      <c r="T45" s="1495"/>
      <c r="U45" s="1496"/>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51" t="s">
        <v>2466</v>
      </c>
      <c r="C46" s="1552"/>
      <c r="D46" s="1553"/>
      <c r="E46" s="1554"/>
      <c r="F46" s="1554"/>
      <c r="G46" s="1554"/>
      <c r="H46" s="1554"/>
      <c r="I46" s="1554"/>
      <c r="J46" s="1555"/>
      <c r="K46" s="205">
        <f t="shared" si="205"/>
        <v>0</v>
      </c>
      <c r="L46" s="205">
        <f t="shared" si="0"/>
        <v>0</v>
      </c>
      <c r="M46" s="1556"/>
      <c r="N46" s="1556"/>
      <c r="O46" s="1556"/>
      <c r="P46" s="559" t="str">
        <f t="shared" si="203"/>
        <v/>
      </c>
      <c r="Q46" s="560" t="str">
        <f>IF(H46="","",P46/($P$6*VLOOKUP(C46,'DCA Underwriting Assumptions'!$J$81:$K$86,2,FALSE)))</f>
        <v/>
      </c>
      <c r="R46" s="667"/>
      <c r="S46" s="560"/>
      <c r="T46" s="1495"/>
      <c r="U46" s="1496"/>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57" t="s">
        <v>2466</v>
      </c>
      <c r="C47" s="1558"/>
      <c r="D47" s="1559"/>
      <c r="E47" s="1560"/>
      <c r="F47" s="1560"/>
      <c r="G47" s="1560"/>
      <c r="H47" s="1560"/>
      <c r="I47" s="1560"/>
      <c r="J47" s="1561"/>
      <c r="K47" s="206">
        <f t="shared" si="204"/>
        <v>0</v>
      </c>
      <c r="L47" s="206">
        <f t="shared" si="0"/>
        <v>0</v>
      </c>
      <c r="M47" s="1562"/>
      <c r="N47" s="1562"/>
      <c r="O47" s="1562"/>
      <c r="P47" s="559" t="str">
        <f t="shared" si="203"/>
        <v/>
      </c>
      <c r="Q47" s="560" t="str">
        <f>IF(H47="","",P47/($P$6*VLOOKUP(C47,'DCA Underwriting Assumptions'!$J$81:$K$86,2,FALSE)))</f>
        <v/>
      </c>
      <c r="R47" s="667"/>
      <c r="S47" s="560"/>
      <c r="T47" s="1498"/>
      <c r="U47" s="1499"/>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74</v>
      </c>
      <c r="F48" s="154">
        <f>(E10*F10+E11*F11+E12*F12+E13*F13+E14*F14+E15*F15+E16*F16+E17*F17+E18*F18+E19*F19+E20*F20+E21*F21+E22*F22+E23*F23+E24*F24+E25*F25+E26*F26+E27*F27+E28*F28+E29*F29+E30*F30+E31*F31+E32*F32+E33*F33+E34*F34+E35*F35+E36*F36+E37*F37+E38*F38+E39*F39+E40*F40+E41*F41+E42*F42+E43*F43+E44*F44+E45*F45+E46*F46+E47*F47)</f>
        <v>70700</v>
      </c>
      <c r="G48" s="145"/>
      <c r="H48" s="146"/>
      <c r="I48" s="146"/>
      <c r="J48" s="146"/>
      <c r="K48" s="15" t="s">
        <v>1736</v>
      </c>
      <c r="L48" s="152">
        <f>SUM(L10:L47)</f>
        <v>48568</v>
      </c>
      <c r="M48" s="1"/>
      <c r="N48" s="40"/>
      <c r="O48" s="1"/>
      <c r="P48" s="562"/>
      <c r="Q48" s="562"/>
      <c r="R48" s="562"/>
      <c r="S48" s="562"/>
      <c r="T48" s="561"/>
      <c r="U48" s="563"/>
      <c r="V48" s="638">
        <f t="shared" ref="V48:CK48" si="206">SUM(V10:V47)</f>
        <v>0</v>
      </c>
      <c r="W48" s="638">
        <f t="shared" si="206"/>
        <v>13</v>
      </c>
      <c r="X48" s="638">
        <f t="shared" si="206"/>
        <v>49</v>
      </c>
      <c r="Y48" s="638">
        <f t="shared" si="206"/>
        <v>0</v>
      </c>
      <c r="Z48" s="638">
        <f t="shared" si="206"/>
        <v>0</v>
      </c>
      <c r="AA48" s="638">
        <f t="shared" si="206"/>
        <v>0</v>
      </c>
      <c r="AB48" s="638">
        <f t="shared" si="206"/>
        <v>3</v>
      </c>
      <c r="AC48" s="638">
        <f t="shared" si="206"/>
        <v>9</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11050</v>
      </c>
      <c r="CA48" s="638">
        <f t="shared" si="206"/>
        <v>48100</v>
      </c>
      <c r="CB48" s="638">
        <f t="shared" si="206"/>
        <v>0</v>
      </c>
      <c r="CC48" s="638">
        <f t="shared" si="206"/>
        <v>0</v>
      </c>
      <c r="CD48" s="638">
        <f t="shared" si="206"/>
        <v>0</v>
      </c>
      <c r="CE48" s="638">
        <f t="shared" si="206"/>
        <v>2550</v>
      </c>
      <c r="CF48" s="638">
        <f t="shared" si="206"/>
        <v>9000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16</v>
      </c>
      <c r="DE48" s="638">
        <f t="shared" si="208"/>
        <v>58</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16</v>
      </c>
      <c r="EX48" s="638">
        <f t="shared" si="209"/>
        <v>58</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16</v>
      </c>
      <c r="GL48" s="638">
        <f t="shared" si="209"/>
        <v>58</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582816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3419</v>
      </c>
      <c r="B51" s="1563"/>
      <c r="C51" s="1563"/>
      <c r="D51" s="1563"/>
      <c r="E51" s="1563"/>
      <c r="F51" s="1563"/>
      <c r="G51" s="1563"/>
      <c r="H51" s="1563"/>
      <c r="I51" s="1563"/>
      <c r="J51" s="1563"/>
      <c r="K51" s="1563"/>
      <c r="L51" s="1563"/>
      <c r="M51" s="1563"/>
      <c r="N51" s="1563"/>
      <c r="O51" s="1563"/>
      <c r="P51" s="1563"/>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63"/>
      <c r="B52" s="1563"/>
      <c r="C52" s="1563"/>
      <c r="D52" s="1563"/>
      <c r="E52" s="1563"/>
      <c r="F52" s="1563"/>
      <c r="G52" s="1563"/>
      <c r="H52" s="1563"/>
      <c r="I52" s="1563"/>
      <c r="J52" s="1563"/>
      <c r="K52" s="1563"/>
      <c r="L52" s="1563"/>
      <c r="M52" s="1563"/>
      <c r="N52" s="1563"/>
      <c r="O52" s="1563"/>
      <c r="P52" s="1563"/>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2548</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13</v>
      </c>
      <c r="J56" s="343">
        <f>X48</f>
        <v>49</v>
      </c>
      <c r="K56" s="343">
        <f>Y48</f>
        <v>0</v>
      </c>
      <c r="L56" s="343">
        <f>Z48</f>
        <v>0</v>
      </c>
      <c r="M56" s="343">
        <f t="shared" ref="M56:M62" si="211">SUM(H56:L56)</f>
        <v>62</v>
      </c>
      <c r="N56" s="1027" t="s">
        <v>1286</v>
      </c>
      <c r="O56" s="1028"/>
      <c r="P56" s="803"/>
      <c r="Q56" s="538">
        <f t="shared" ref="Q56:Q62" si="212">ABS(M56-AF56)</f>
        <v>62</v>
      </c>
      <c r="R56" s="538"/>
      <c r="S56" s="538"/>
      <c r="T56" s="1493"/>
      <c r="U56" s="1494"/>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3</v>
      </c>
      <c r="J57" s="344">
        <f>AC48</f>
        <v>9</v>
      </c>
      <c r="K57" s="344">
        <f>AD48</f>
        <v>0</v>
      </c>
      <c r="L57" s="344">
        <f>AE48</f>
        <v>0</v>
      </c>
      <c r="M57" s="344">
        <f t="shared" si="211"/>
        <v>12</v>
      </c>
      <c r="N57" s="1027"/>
      <c r="O57" s="1028"/>
      <c r="P57" s="803"/>
      <c r="Q57" s="538">
        <f t="shared" si="212"/>
        <v>12</v>
      </c>
      <c r="R57" s="538"/>
      <c r="S57" s="538"/>
      <c r="T57" s="1495"/>
      <c r="U57" s="1496"/>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16</v>
      </c>
      <c r="J58" s="345">
        <f>SUM(J56:J57)</f>
        <v>58</v>
      </c>
      <c r="K58" s="345">
        <f>SUM(K56:K57)</f>
        <v>0</v>
      </c>
      <c r="L58" s="345">
        <f>SUM(L56:L57)</f>
        <v>0</v>
      </c>
      <c r="M58" s="345">
        <f t="shared" si="211"/>
        <v>74</v>
      </c>
      <c r="N58" s="348"/>
      <c r="O58" s="99"/>
      <c r="Q58" s="538">
        <f t="shared" si="212"/>
        <v>74</v>
      </c>
      <c r="R58" s="538"/>
      <c r="S58" s="538"/>
      <c r="T58" s="1495"/>
      <c r="U58" s="1496"/>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95"/>
      <c r="U59" s="1496"/>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16</v>
      </c>
      <c r="J60" s="345">
        <f>SUM(J58:J59)</f>
        <v>58</v>
      </c>
      <c r="K60" s="345">
        <f>SUM(K58:K59)</f>
        <v>0</v>
      </c>
      <c r="L60" s="345">
        <f>SUM(L58:L59)</f>
        <v>0</v>
      </c>
      <c r="M60" s="345">
        <f t="shared" si="211"/>
        <v>74</v>
      </c>
      <c r="N60" s="64"/>
      <c r="O60" s="99"/>
      <c r="Q60" s="538">
        <f t="shared" si="212"/>
        <v>74</v>
      </c>
      <c r="R60" s="538"/>
      <c r="S60" s="538"/>
      <c r="T60" s="1495"/>
      <c r="U60" s="1496"/>
      <c r="V60" s="642"/>
      <c r="W60" s="642"/>
      <c r="X60" s="642"/>
      <c r="Y60" s="642"/>
      <c r="Z60" s="643"/>
      <c r="AA60" s="644"/>
      <c r="AB60" s="644"/>
      <c r="AC60" s="644"/>
      <c r="AD60" s="644"/>
      <c r="AE60" s="644"/>
      <c r="AF60" s="644"/>
      <c r="AG60" s="623"/>
      <c r="AH60" s="628"/>
      <c r="GW60" s="640"/>
      <c r="HL60" s="624"/>
    </row>
    <row r="61" spans="1:221" ht="12" customHeight="1">
      <c r="A61" s="1022"/>
      <c r="B61" s="1022"/>
      <c r="C61" s="1" t="s">
        <v>3296</v>
      </c>
      <c r="D61" s="1"/>
      <c r="E61" s="1"/>
      <c r="F61" s="1"/>
      <c r="G61" s="44"/>
      <c r="H61" s="345">
        <f>BT48</f>
        <v>0</v>
      </c>
      <c r="I61" s="345">
        <f>BU48</f>
        <v>0</v>
      </c>
      <c r="J61" s="345">
        <f>BV48</f>
        <v>0</v>
      </c>
      <c r="K61" s="345">
        <f>BW48</f>
        <v>0</v>
      </c>
      <c r="L61" s="345">
        <f>BX48</f>
        <v>0</v>
      </c>
      <c r="M61" s="345">
        <f t="shared" si="211"/>
        <v>0</v>
      </c>
      <c r="N61" s="61" t="s">
        <v>2933</v>
      </c>
      <c r="O61" s="99"/>
      <c r="Q61" s="538">
        <f t="shared" si="212"/>
        <v>0</v>
      </c>
      <c r="R61" s="538"/>
      <c r="S61" s="538"/>
      <c r="T61" s="1495"/>
      <c r="U61" s="1496"/>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16</v>
      </c>
      <c r="J62" s="345">
        <f>SUM(J60:J61)</f>
        <v>58</v>
      </c>
      <c r="K62" s="345">
        <f>SUM(K60:K61)</f>
        <v>0</v>
      </c>
      <c r="L62" s="345">
        <f>SUM(L60:L61)</f>
        <v>0</v>
      </c>
      <c r="M62" s="345">
        <f t="shared" si="211"/>
        <v>74</v>
      </c>
      <c r="O62" s="99"/>
      <c r="Q62" s="538">
        <f t="shared" si="212"/>
        <v>74</v>
      </c>
      <c r="R62" s="538"/>
      <c r="S62" s="538"/>
      <c r="T62" s="1498"/>
      <c r="U62" s="1499"/>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93"/>
      <c r="U64" s="1494"/>
      <c r="V64" s="642"/>
      <c r="W64" s="642"/>
      <c r="X64" s="646"/>
      <c r="Y64" s="642"/>
      <c r="Z64" s="643"/>
      <c r="AA64" s="644"/>
      <c r="AB64" s="644"/>
      <c r="AC64" s="644"/>
      <c r="AD64" s="644"/>
      <c r="AE64" s="644"/>
      <c r="AF64" s="644"/>
      <c r="AG64" s="643"/>
      <c r="AH64" s="628"/>
      <c r="GW64" s="640"/>
      <c r="HL64" s="624"/>
    </row>
    <row r="65" spans="1:220" ht="12" customHeight="1">
      <c r="A65" s="1022"/>
      <c r="B65" s="1022"/>
      <c r="C65" s="44" t="s">
        <v>3297</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95"/>
      <c r="U65" s="1496"/>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98"/>
      <c r="U66" s="1499"/>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93"/>
      <c r="U68" s="1494"/>
      <c r="V68" s="628"/>
      <c r="W68" s="642"/>
      <c r="X68" s="646"/>
      <c r="Y68" s="642"/>
      <c r="Z68" s="643"/>
      <c r="AA68" s="644"/>
      <c r="AB68" s="644"/>
      <c r="AC68" s="644"/>
      <c r="AD68" s="644"/>
      <c r="AE68" s="644"/>
      <c r="AF68" s="644"/>
      <c r="AG68" s="643"/>
      <c r="AH68" s="628"/>
      <c r="GW68" s="640"/>
      <c r="HL68" s="624"/>
    </row>
    <row r="69" spans="1:220" ht="12" customHeight="1">
      <c r="A69" s="1022"/>
      <c r="B69" s="1022"/>
      <c r="C69" s="44" t="s">
        <v>3297</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95"/>
      <c r="U69" s="1496"/>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98"/>
      <c r="U70" s="1499"/>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3022</v>
      </c>
      <c r="F72" s="1"/>
      <c r="G72" s="44" t="s">
        <v>1875</v>
      </c>
      <c r="H72" s="343">
        <f>DC48</f>
        <v>0</v>
      </c>
      <c r="I72" s="343">
        <f>DD48</f>
        <v>16</v>
      </c>
      <c r="J72" s="343">
        <f>DE48</f>
        <v>58</v>
      </c>
      <c r="K72" s="343">
        <f>DF48</f>
        <v>0</v>
      </c>
      <c r="L72" s="343">
        <f>DG48</f>
        <v>0</v>
      </c>
      <c r="M72" s="343">
        <f t="shared" ref="M72:M82" si="213">SUM(H72:L72)</f>
        <v>74</v>
      </c>
      <c r="N72" s="31"/>
      <c r="O72" s="99"/>
      <c r="Q72" s="538">
        <f t="shared" ref="Q72:Q80" si="214">ABS(M72-AF72)</f>
        <v>74</v>
      </c>
      <c r="R72" s="538"/>
      <c r="S72" s="538"/>
      <c r="T72" s="1493"/>
      <c r="U72" s="1494"/>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95"/>
      <c r="U73" s="1496"/>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16</v>
      </c>
      <c r="J74" s="345">
        <f>SUM(J72:J73)+DO48</f>
        <v>58</v>
      </c>
      <c r="K74" s="345">
        <f>SUM(K72:K73)+DP48</f>
        <v>0</v>
      </c>
      <c r="L74" s="345">
        <f>SUM(L72:L73)+DQ48</f>
        <v>0</v>
      </c>
      <c r="M74" s="345">
        <f t="shared" si="213"/>
        <v>74</v>
      </c>
      <c r="N74" s="61"/>
      <c r="O74" s="99"/>
      <c r="Q74" s="538">
        <f t="shared" si="214"/>
        <v>74</v>
      </c>
      <c r="R74" s="538"/>
      <c r="S74" s="538"/>
      <c r="T74" s="1495"/>
      <c r="U74" s="1496"/>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2851</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95"/>
      <c r="U75" s="1496"/>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95"/>
      <c r="U76" s="1496"/>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95"/>
      <c r="U77" s="1496"/>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95"/>
      <c r="U78" s="1496"/>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95"/>
      <c r="U79" s="1496"/>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95"/>
      <c r="U80" s="1496"/>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64"/>
      <c r="I81" s="1564"/>
      <c r="J81" s="1564"/>
      <c r="K81" s="1564"/>
      <c r="L81" s="1564"/>
      <c r="M81" s="343">
        <f t="shared" si="213"/>
        <v>0</v>
      </c>
      <c r="N81" s="31"/>
      <c r="O81" s="99"/>
      <c r="T81" s="1495"/>
      <c r="U81" s="1496"/>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65"/>
      <c r="I82" s="1565"/>
      <c r="J82" s="1565"/>
      <c r="K82" s="1565"/>
      <c r="L82" s="1565"/>
      <c r="M82" s="347">
        <f t="shared" si="213"/>
        <v>0</v>
      </c>
      <c r="N82" s="64"/>
      <c r="O82" s="99"/>
      <c r="T82" s="1498"/>
      <c r="U82" s="1499"/>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16</v>
      </c>
      <c r="J84" s="343">
        <f>SUM(J85:J88)</f>
        <v>58</v>
      </c>
      <c r="K84" s="343">
        <f>SUM(K85:K88)</f>
        <v>0</v>
      </c>
      <c r="L84" s="343">
        <f>SUM(L85:L88)</f>
        <v>0</v>
      </c>
      <c r="M84" s="343">
        <f t="shared" ref="M84:M92" si="215">SUM(H84:L84)</f>
        <v>74</v>
      </c>
      <c r="N84" s="31"/>
      <c r="O84" s="99"/>
      <c r="Q84" s="538">
        <f>ABS(M84-AF84)</f>
        <v>74</v>
      </c>
      <c r="R84" s="538"/>
      <c r="S84" s="538"/>
      <c r="T84" s="1493"/>
      <c r="U84" s="1494"/>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3401</v>
      </c>
      <c r="H85" s="346">
        <f>FU48</f>
        <v>0</v>
      </c>
      <c r="I85" s="346">
        <f>FV48</f>
        <v>0</v>
      </c>
      <c r="J85" s="346">
        <f>FW48</f>
        <v>0</v>
      </c>
      <c r="K85" s="346">
        <f>FX48</f>
        <v>0</v>
      </c>
      <c r="L85" s="346">
        <f>FY48</f>
        <v>0</v>
      </c>
      <c r="M85" s="344">
        <f t="shared" si="215"/>
        <v>0</v>
      </c>
      <c r="N85" s="31"/>
      <c r="O85" s="99"/>
      <c r="Q85" s="538"/>
      <c r="R85" s="538"/>
      <c r="S85" s="538"/>
      <c r="T85" s="1495"/>
      <c r="U85" s="1496"/>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3402</v>
      </c>
      <c r="H86" s="346">
        <f>FZ48</f>
        <v>0</v>
      </c>
      <c r="I86" s="346">
        <f>GA48</f>
        <v>0</v>
      </c>
      <c r="J86" s="346">
        <f>GB48</f>
        <v>0</v>
      </c>
      <c r="K86" s="346">
        <f>GC48</f>
        <v>0</v>
      </c>
      <c r="L86" s="346">
        <f>GD48</f>
        <v>0</v>
      </c>
      <c r="M86" s="344">
        <f t="shared" si="215"/>
        <v>0</v>
      </c>
      <c r="N86" s="31"/>
      <c r="O86" s="99"/>
      <c r="Q86" s="538"/>
      <c r="R86" s="538"/>
      <c r="S86" s="538"/>
      <c r="T86" s="1495"/>
      <c r="U86" s="1496"/>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3404</v>
      </c>
      <c r="H87" s="346">
        <f>GE48</f>
        <v>0</v>
      </c>
      <c r="I87" s="346">
        <f>GF48</f>
        <v>0</v>
      </c>
      <c r="J87" s="346">
        <f>GG48</f>
        <v>0</v>
      </c>
      <c r="K87" s="346">
        <f>GH48</f>
        <v>0</v>
      </c>
      <c r="L87" s="346">
        <f>GI48</f>
        <v>0</v>
      </c>
      <c r="M87" s="344">
        <f t="shared" si="215"/>
        <v>0</v>
      </c>
      <c r="N87" s="31"/>
      <c r="O87" s="99"/>
      <c r="Q87" s="538"/>
      <c r="R87" s="538"/>
      <c r="S87" s="538"/>
      <c r="T87" s="1495"/>
      <c r="U87" s="1496"/>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3403</v>
      </c>
      <c r="H88" s="346">
        <f>GJ48</f>
        <v>0</v>
      </c>
      <c r="I88" s="346">
        <f>GK48</f>
        <v>16</v>
      </c>
      <c r="J88" s="346">
        <f>GL48</f>
        <v>58</v>
      </c>
      <c r="K88" s="346">
        <f>GM48</f>
        <v>0</v>
      </c>
      <c r="L88" s="346">
        <f>GN48</f>
        <v>0</v>
      </c>
      <c r="M88" s="346">
        <f t="shared" si="215"/>
        <v>74</v>
      </c>
      <c r="N88" s="31"/>
      <c r="O88" s="99"/>
      <c r="Q88" s="538"/>
      <c r="R88" s="538"/>
      <c r="S88" s="538"/>
      <c r="T88" s="1495"/>
      <c r="U88" s="1496"/>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95"/>
      <c r="U89" s="1496"/>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95"/>
      <c r="U90" s="1496"/>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95"/>
      <c r="U91" s="1496"/>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98"/>
      <c r="U92" s="1499"/>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2881</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2850</v>
      </c>
      <c r="D94" s="1"/>
      <c r="E94" s="1"/>
      <c r="F94" s="1"/>
      <c r="G94" s="44" t="s">
        <v>1562</v>
      </c>
      <c r="H94" s="201">
        <f>BY48</f>
        <v>0</v>
      </c>
      <c r="I94" s="201">
        <f>BZ48</f>
        <v>11050</v>
      </c>
      <c r="J94" s="201">
        <f>CA48</f>
        <v>48100</v>
      </c>
      <c r="K94" s="201">
        <f>CB48</f>
        <v>0</v>
      </c>
      <c r="L94" s="201">
        <f>CC48</f>
        <v>0</v>
      </c>
      <c r="M94" s="201">
        <f t="shared" ref="M94:M100" si="216">SUM(H94:L94)</f>
        <v>59150</v>
      </c>
      <c r="O94" s="99"/>
      <c r="Q94" s="538">
        <f t="shared" ref="Q94:Q100" si="217">ABS(M94-AF94)</f>
        <v>59150</v>
      </c>
      <c r="R94" s="538"/>
      <c r="S94" s="538"/>
      <c r="T94" s="1493"/>
      <c r="U94" s="1494"/>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2550</v>
      </c>
      <c r="J95" s="203">
        <f>CF48</f>
        <v>9000</v>
      </c>
      <c r="K95" s="203">
        <f>CG48</f>
        <v>0</v>
      </c>
      <c r="L95" s="203">
        <f>CH48</f>
        <v>0</v>
      </c>
      <c r="M95" s="203">
        <f t="shared" si="216"/>
        <v>11550</v>
      </c>
      <c r="N95" s="6"/>
      <c r="O95" s="99"/>
      <c r="Q95" s="538">
        <f t="shared" si="217"/>
        <v>11550</v>
      </c>
      <c r="R95" s="538"/>
      <c r="S95" s="538"/>
      <c r="T95" s="1495"/>
      <c r="U95" s="1496"/>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13600</v>
      </c>
      <c r="J96" s="200">
        <f>SUM(J94:J95)</f>
        <v>57100</v>
      </c>
      <c r="K96" s="200">
        <f>SUM(K94:K95)</f>
        <v>0</v>
      </c>
      <c r="L96" s="200">
        <f>SUM(L94:L95)</f>
        <v>0</v>
      </c>
      <c r="M96" s="200">
        <f t="shared" si="216"/>
        <v>70700</v>
      </c>
      <c r="N96" s="6"/>
      <c r="O96" s="99"/>
      <c r="Q96" s="538">
        <f t="shared" si="217"/>
        <v>70700</v>
      </c>
      <c r="R96" s="538"/>
      <c r="S96" s="538"/>
      <c r="T96" s="1495"/>
      <c r="U96" s="1496"/>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95"/>
      <c r="U97" s="1496"/>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13600</v>
      </c>
      <c r="J98" s="200">
        <f>SUM(J96:J97)</f>
        <v>57100</v>
      </c>
      <c r="K98" s="200">
        <f>SUM(K96:K97)</f>
        <v>0</v>
      </c>
      <c r="L98" s="200">
        <f>SUM(L96:L97)</f>
        <v>0</v>
      </c>
      <c r="M98" s="200">
        <f t="shared" si="216"/>
        <v>70700</v>
      </c>
      <c r="O98" s="99"/>
      <c r="Q98" s="538">
        <f t="shared" si="217"/>
        <v>70700</v>
      </c>
      <c r="R98" s="538"/>
      <c r="S98" s="538"/>
      <c r="T98" s="1495"/>
      <c r="U98" s="1496"/>
      <c r="V98" s="642"/>
      <c r="W98" s="642"/>
      <c r="X98" s="642"/>
      <c r="Y98" s="642"/>
      <c r="Z98" s="642"/>
      <c r="AA98" s="644"/>
      <c r="AB98" s="644"/>
      <c r="AC98" s="644"/>
      <c r="AD98" s="644"/>
      <c r="AE98" s="644"/>
      <c r="AF98" s="644"/>
      <c r="AG98" s="639"/>
      <c r="AH98" s="628"/>
      <c r="GW98" s="640"/>
      <c r="HL98" s="624"/>
    </row>
    <row r="99" spans="1:222" ht="12" customHeight="1">
      <c r="C99" s="6" t="s">
        <v>3296</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95"/>
      <c r="U99" s="1496"/>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13600</v>
      </c>
      <c r="J100" s="200">
        <f>SUM(J98:J99)</f>
        <v>57100</v>
      </c>
      <c r="K100" s="200">
        <f>SUM(K98:K99)</f>
        <v>0</v>
      </c>
      <c r="L100" s="200">
        <f>SUM(L98:L99)</f>
        <v>0</v>
      </c>
      <c r="M100" s="200">
        <f t="shared" si="216"/>
        <v>70700</v>
      </c>
      <c r="O100" s="99"/>
      <c r="Q100" s="538">
        <f t="shared" si="217"/>
        <v>70700</v>
      </c>
      <c r="R100" s="538"/>
      <c r="S100" s="538"/>
      <c r="T100" s="1498"/>
      <c r="U100" s="1499"/>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1418</v>
      </c>
      <c r="D104" s="131"/>
      <c r="H104" s="1011">
        <f>'Part VII-Pro Forma'!B9*L49</f>
        <v>11656.32</v>
      </c>
      <c r="I104" s="1012"/>
      <c r="K104" s="747" t="s">
        <v>3756</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3012</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66"/>
      <c r="H109" s="1566"/>
      <c r="I109" s="1566"/>
      <c r="J109" s="1566"/>
      <c r="K109" s="1567"/>
      <c r="L109" s="1566"/>
      <c r="M109" s="1566"/>
      <c r="N109" s="1566"/>
      <c r="O109" s="1566"/>
      <c r="P109" s="1566"/>
      <c r="T109" s="1493"/>
      <c r="U109" s="1494"/>
    </row>
    <row r="110" spans="1:222" ht="15" customHeight="1">
      <c r="B110" s="9" t="s">
        <v>1046</v>
      </c>
      <c r="C110" s="1568"/>
      <c r="D110" s="1569"/>
      <c r="E110" s="1569"/>
      <c r="F110" s="1570"/>
      <c r="G110" s="1571"/>
      <c r="H110" s="1571"/>
      <c r="I110" s="1571"/>
      <c r="J110" s="1571"/>
      <c r="K110" s="1572"/>
      <c r="L110" s="1571"/>
      <c r="M110" s="1571"/>
      <c r="N110" s="1571"/>
      <c r="O110" s="1571"/>
      <c r="P110" s="1571"/>
      <c r="T110" s="1495"/>
      <c r="U110" s="1496"/>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98"/>
      <c r="U111" s="1499"/>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66"/>
      <c r="H114" s="1566"/>
      <c r="I114" s="1566"/>
      <c r="J114" s="1566"/>
      <c r="K114" s="1567"/>
      <c r="L114" s="1566"/>
      <c r="M114" s="1566"/>
      <c r="N114" s="1566"/>
      <c r="O114" s="1566"/>
      <c r="P114" s="1566"/>
      <c r="T114" s="1495"/>
      <c r="U114" s="1496"/>
    </row>
    <row r="115" spans="2:21" ht="15" customHeight="1">
      <c r="B115" s="9" t="s">
        <v>1046</v>
      </c>
      <c r="C115" s="1568"/>
      <c r="D115" s="1569"/>
      <c r="E115" s="1569"/>
      <c r="F115" s="1570"/>
      <c r="G115" s="1571"/>
      <c r="H115" s="1571"/>
      <c r="I115" s="1571"/>
      <c r="J115" s="1571"/>
      <c r="K115" s="1572"/>
      <c r="L115" s="1571"/>
      <c r="M115" s="1571"/>
      <c r="N115" s="1571"/>
      <c r="O115" s="1571"/>
      <c r="P115" s="1571"/>
      <c r="T115" s="1495"/>
      <c r="U115" s="1496"/>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98"/>
      <c r="U116" s="1499"/>
    </row>
    <row r="117" spans="2:21" ht="42.6" customHeight="1">
      <c r="B117" s="16"/>
      <c r="G117" s="42"/>
      <c r="P117" s="9"/>
      <c r="T117" s="213" t="s">
        <v>3420</v>
      </c>
    </row>
    <row r="118" spans="2:21" ht="13.9" customHeight="1">
      <c r="B118" s="486" t="s">
        <v>3012</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66"/>
      <c r="H119" s="1566"/>
      <c r="I119" s="1566"/>
      <c r="J119" s="1566"/>
      <c r="K119" s="1567"/>
      <c r="L119" s="1566"/>
      <c r="M119" s="1566"/>
      <c r="N119" s="1566"/>
      <c r="O119" s="1566"/>
      <c r="P119" s="1566"/>
      <c r="T119" s="1493"/>
      <c r="U119" s="1494"/>
    </row>
    <row r="120" spans="2:21" ht="15" customHeight="1">
      <c r="B120" s="9" t="s">
        <v>1046</v>
      </c>
      <c r="C120" s="1568"/>
      <c r="D120" s="1569"/>
      <c r="E120" s="1569"/>
      <c r="F120" s="1570"/>
      <c r="G120" s="1571"/>
      <c r="H120" s="1571"/>
      <c r="I120" s="1571"/>
      <c r="J120" s="1571"/>
      <c r="K120" s="1572"/>
      <c r="L120" s="1571"/>
      <c r="M120" s="1571"/>
      <c r="N120" s="1571"/>
      <c r="O120" s="1571"/>
      <c r="P120" s="1571"/>
      <c r="T120" s="1495"/>
      <c r="U120" s="1496"/>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98"/>
      <c r="U121" s="1499"/>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66"/>
      <c r="H124" s="1566"/>
      <c r="I124" s="1566"/>
      <c r="J124" s="1566"/>
      <c r="K124" s="1567"/>
      <c r="L124" s="1566"/>
      <c r="M124" s="1566"/>
      <c r="N124" s="1566"/>
      <c r="O124" s="1566"/>
      <c r="P124" s="1566"/>
      <c r="T124" s="1495"/>
      <c r="U124" s="1496"/>
    </row>
    <row r="125" spans="2:21" ht="15" customHeight="1">
      <c r="B125" s="9" t="s">
        <v>1046</v>
      </c>
      <c r="C125" s="1568"/>
      <c r="D125" s="1569"/>
      <c r="E125" s="1569"/>
      <c r="F125" s="1570"/>
      <c r="G125" s="1571"/>
      <c r="H125" s="1571"/>
      <c r="I125" s="1571"/>
      <c r="J125" s="1571"/>
      <c r="K125" s="1572"/>
      <c r="L125" s="1571"/>
      <c r="M125" s="1571"/>
      <c r="N125" s="1571"/>
      <c r="O125" s="1571"/>
      <c r="P125" s="1571"/>
      <c r="T125" s="1495"/>
      <c r="U125" s="1496"/>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98"/>
      <c r="U126" s="1499"/>
    </row>
    <row r="127" spans="2:21" ht="42.6" customHeight="1">
      <c r="B127" s="16"/>
      <c r="G127" s="42"/>
      <c r="P127" s="9"/>
      <c r="T127" s="213" t="s">
        <v>3421</v>
      </c>
    </row>
    <row r="128" spans="2:21" ht="13.9" customHeight="1">
      <c r="B128" s="486" t="s">
        <v>3012</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66"/>
      <c r="H129" s="1566"/>
      <c r="I129" s="1566"/>
      <c r="J129" s="1566"/>
      <c r="K129" s="1567"/>
      <c r="L129" s="1566"/>
      <c r="M129" s="1566"/>
      <c r="N129" s="1566"/>
      <c r="O129" s="1566"/>
      <c r="P129" s="1566"/>
      <c r="T129" s="1493"/>
      <c r="U129" s="1494"/>
    </row>
    <row r="130" spans="1:255" ht="15" customHeight="1">
      <c r="B130" s="9" t="s">
        <v>1046</v>
      </c>
      <c r="C130" s="1568"/>
      <c r="D130" s="1569"/>
      <c r="E130" s="1569"/>
      <c r="F130" s="1570"/>
      <c r="G130" s="1571"/>
      <c r="H130" s="1571"/>
      <c r="I130" s="1571"/>
      <c r="J130" s="1571"/>
      <c r="K130" s="1572"/>
      <c r="L130" s="1571"/>
      <c r="M130" s="1571"/>
      <c r="N130" s="1571"/>
      <c r="O130" s="1571"/>
      <c r="P130" s="1571"/>
      <c r="T130" s="1495"/>
      <c r="U130" s="1496"/>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98"/>
      <c r="U131" s="1499"/>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66"/>
      <c r="H134" s="1566"/>
      <c r="I134" s="1566"/>
      <c r="J134" s="1566"/>
      <c r="K134" s="1567"/>
      <c r="L134" s="1566"/>
      <c r="M134" s="1566"/>
      <c r="N134" s="1566"/>
      <c r="O134" s="1566"/>
      <c r="P134" s="1566"/>
      <c r="T134" s="1495"/>
      <c r="U134" s="1496"/>
    </row>
    <row r="135" spans="1:255" ht="15" customHeight="1">
      <c r="B135" s="9" t="s">
        <v>1046</v>
      </c>
      <c r="C135" s="1568"/>
      <c r="D135" s="1569"/>
      <c r="E135" s="1569"/>
      <c r="F135" s="1570"/>
      <c r="G135" s="1571"/>
      <c r="H135" s="1571"/>
      <c r="I135" s="1571"/>
      <c r="J135" s="1571"/>
      <c r="K135" s="1572"/>
      <c r="L135" s="1571"/>
      <c r="M135" s="1571"/>
      <c r="N135" s="1571"/>
      <c r="O135" s="1571"/>
      <c r="P135" s="1571"/>
      <c r="T135" s="1495"/>
      <c r="U135" s="1496"/>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98"/>
      <c r="U136" s="1499"/>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2548</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93"/>
      <c r="U140" s="1494"/>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2913</v>
      </c>
      <c r="C141" s="1"/>
      <c r="D141" s="1"/>
      <c r="E141" s="1"/>
      <c r="F141" s="1573">
        <v>40000</v>
      </c>
      <c r="G141" s="1574"/>
      <c r="H141" s="1"/>
      <c r="I141" s="1" t="s">
        <v>1813</v>
      </c>
      <c r="J141" s="1"/>
      <c r="K141" s="1573"/>
      <c r="L141" s="1574"/>
      <c r="M141" s="1"/>
      <c r="N141" s="1" t="s">
        <v>1325</v>
      </c>
      <c r="O141" s="1"/>
      <c r="P141" s="1575">
        <v>98131.83</v>
      </c>
      <c r="T141" s="1495"/>
      <c r="U141" s="1496"/>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73">
        <v>30000</v>
      </c>
      <c r="G142" s="1574"/>
      <c r="H142" s="1"/>
      <c r="I142" s="1" t="s">
        <v>1814</v>
      </c>
      <c r="J142" s="1"/>
      <c r="K142" s="1573"/>
      <c r="L142" s="1574"/>
      <c r="M142" s="1"/>
      <c r="N142" s="1" t="s">
        <v>161</v>
      </c>
      <c r="O142" s="1"/>
      <c r="P142" s="1575">
        <v>16500</v>
      </c>
      <c r="T142" s="1495"/>
      <c r="U142" s="1496"/>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73">
        <v>21000</v>
      </c>
      <c r="G143" s="1574"/>
      <c r="H143" s="1"/>
      <c r="I143" s="1"/>
      <c r="J143" s="151" t="s">
        <v>209</v>
      </c>
      <c r="K143" s="1023">
        <f>SUM(K141:L142)</f>
        <v>0</v>
      </c>
      <c r="L143" s="1024"/>
      <c r="M143" s="1"/>
      <c r="N143" s="1576" t="s">
        <v>55</v>
      </c>
      <c r="O143" s="1577"/>
      <c r="P143" s="1578"/>
      <c r="T143" s="1495"/>
      <c r="U143" s="1496"/>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9" t="s">
        <v>55</v>
      </c>
      <c r="C144" s="1580"/>
      <c r="D144" s="1580"/>
      <c r="E144" s="1581"/>
      <c r="F144" s="1582"/>
      <c r="G144" s="1583"/>
      <c r="H144" s="1"/>
      <c r="I144" s="1"/>
      <c r="J144" s="1"/>
      <c r="K144" s="1"/>
      <c r="L144" s="1"/>
      <c r="M144" s="1"/>
      <c r="N144" s="13" t="s">
        <v>209</v>
      </c>
      <c r="O144" s="1"/>
      <c r="P144" s="534">
        <f>SUM(P141:P143)</f>
        <v>114631.83</v>
      </c>
      <c r="T144" s="1495"/>
      <c r="U144" s="1496"/>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91000</v>
      </c>
      <c r="G145" s="1024"/>
      <c r="H145" s="1"/>
      <c r="I145" s="1"/>
      <c r="J145" s="14"/>
      <c r="K145" s="1"/>
      <c r="L145" s="1"/>
      <c r="M145" s="1"/>
      <c r="N145" s="1"/>
      <c r="O145" s="1"/>
      <c r="P145" s="1"/>
      <c r="T145" s="1495"/>
      <c r="U145" s="1496"/>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95"/>
      <c r="U146" s="1496"/>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49757</v>
      </c>
      <c r="T147" s="1495"/>
      <c r="U147" s="1496"/>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73">
        <v>5180</v>
      </c>
      <c r="G148" s="1574"/>
      <c r="H148" s="1"/>
      <c r="I148" s="1" t="s">
        <v>2067</v>
      </c>
      <c r="J148" s="1"/>
      <c r="K148" s="1584">
        <v>3626</v>
      </c>
      <c r="L148" s="1585"/>
      <c r="M148" s="1"/>
      <c r="N148" s="515">
        <f>+P147/(M62*0.93)</f>
        <v>723.00203429235683</v>
      </c>
      <c r="O148" s="30" t="s">
        <v>3938</v>
      </c>
      <c r="P148" s="1"/>
      <c r="T148" s="1495"/>
      <c r="U148" s="1496"/>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73">
        <v>1998</v>
      </c>
      <c r="G149" s="1574"/>
      <c r="H149" s="1"/>
      <c r="I149" s="1" t="s">
        <v>2762</v>
      </c>
      <c r="J149" s="1"/>
      <c r="K149" s="1586">
        <v>6000</v>
      </c>
      <c r="L149" s="1587"/>
      <c r="M149" s="1"/>
      <c r="N149" s="515">
        <f>+P147/(M62*0.93)/12</f>
        <v>60.250169524363066</v>
      </c>
      <c r="O149" s="30" t="s">
        <v>3941</v>
      </c>
      <c r="P149" s="1"/>
      <c r="T149" s="1495"/>
      <c r="U149" s="1496"/>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73">
        <v>1480</v>
      </c>
      <c r="G150" s="1574"/>
      <c r="H150" s="1"/>
      <c r="I150" s="1" t="s">
        <v>2068</v>
      </c>
      <c r="J150" s="1"/>
      <c r="K150" s="1586">
        <v>3774</v>
      </c>
      <c r="L150" s="1587"/>
      <c r="M150" s="1"/>
      <c r="N150" s="1"/>
      <c r="O150" s="1"/>
      <c r="P150" s="1"/>
      <c r="T150" s="1495"/>
      <c r="U150" s="1496"/>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3071</v>
      </c>
      <c r="C151" s="1"/>
      <c r="D151" s="10"/>
      <c r="E151" s="1"/>
      <c r="F151" s="1573"/>
      <c r="G151" s="1574"/>
      <c r="H151" s="1"/>
      <c r="I151" s="1576" t="s">
        <v>55</v>
      </c>
      <c r="J151" s="1577"/>
      <c r="K151" s="1584"/>
      <c r="L151" s="1585"/>
      <c r="M151" s="1"/>
      <c r="N151" s="1035" t="s">
        <v>3240</v>
      </c>
      <c r="O151" s="1036"/>
      <c r="P151" s="1036"/>
      <c r="T151" s="1495"/>
      <c r="U151" s="1496"/>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73">
        <v>1036</v>
      </c>
      <c r="G152" s="1574"/>
      <c r="H152" s="1"/>
      <c r="I152" s="11"/>
      <c r="J152" s="13" t="s">
        <v>209</v>
      </c>
      <c r="K152" s="1031">
        <f>SUM(K148:K151)</f>
        <v>13400</v>
      </c>
      <c r="L152" s="1032"/>
      <c r="M152" s="1"/>
      <c r="N152" s="1036"/>
      <c r="O152" s="1036"/>
      <c r="P152" s="1036"/>
      <c r="T152" s="1498"/>
      <c r="U152" s="1499"/>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9" t="s">
        <v>4142</v>
      </c>
      <c r="C153" s="1580"/>
      <c r="D153" s="1580"/>
      <c r="E153" s="1581"/>
      <c r="F153" s="1582">
        <v>1628</v>
      </c>
      <c r="G153" s="1583"/>
      <c r="H153" s="1"/>
      <c r="I153" s="1"/>
      <c r="J153" s="14"/>
      <c r="K153" s="1"/>
      <c r="L153" s="1"/>
      <c r="M153" s="1"/>
      <c r="N153" s="1"/>
      <c r="O153" s="1"/>
      <c r="P153" s="1"/>
      <c r="T153" s="1493"/>
      <c r="U153" s="1494"/>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11322</v>
      </c>
      <c r="G154" s="1024"/>
      <c r="H154" s="1"/>
      <c r="I154" s="1"/>
      <c r="J154" s="14"/>
      <c r="K154" s="1"/>
      <c r="L154" s="1"/>
      <c r="M154" s="1"/>
      <c r="N154" s="1"/>
      <c r="O154" s="1"/>
      <c r="P154" s="1"/>
      <c r="T154" s="1495"/>
      <c r="U154" s="1496"/>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95"/>
      <c r="U155" s="1496"/>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3937</v>
      </c>
      <c r="K156" s="1"/>
      <c r="L156" s="1"/>
      <c r="M156" s="1"/>
      <c r="N156" s="11" t="s">
        <v>2903</v>
      </c>
      <c r="O156" s="6"/>
      <c r="P156" s="6"/>
      <c r="T156" s="1495"/>
      <c r="U156" s="1496"/>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88">
        <v>7992</v>
      </c>
      <c r="G157" s="1589"/>
      <c r="H157" s="1"/>
      <c r="I157" s="1" t="s">
        <v>1803</v>
      </c>
      <c r="J157" s="770">
        <f>K157/12/M62</f>
        <v>37.083333333333329</v>
      </c>
      <c r="K157" s="1586">
        <v>32930</v>
      </c>
      <c r="L157" s="1587"/>
      <c r="M157" s="1"/>
      <c r="N157" s="771">
        <f>+P157/M62</f>
        <v>4918.4166216216217</v>
      </c>
      <c r="O157" s="30" t="s">
        <v>3942</v>
      </c>
      <c r="P157" s="532">
        <f>F145+F154+F165+K143+K152+K162+P144+P147</f>
        <v>363962.83</v>
      </c>
      <c r="T157" s="1495"/>
      <c r="U157" s="1496"/>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88">
        <v>7030</v>
      </c>
      <c r="G158" s="1589"/>
      <c r="H158" s="1"/>
      <c r="I158" s="1" t="s">
        <v>1804</v>
      </c>
      <c r="J158" s="770">
        <f>K158/12/M62</f>
        <v>0</v>
      </c>
      <c r="K158" s="1586"/>
      <c r="L158" s="1587"/>
      <c r="M158" s="1"/>
      <c r="N158" s="1"/>
      <c r="O158" s="1"/>
      <c r="P158" s="1"/>
      <c r="T158" s="1495"/>
      <c r="U158" s="1496"/>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88">
        <v>15022</v>
      </c>
      <c r="G159" s="1589"/>
      <c r="H159" s="1"/>
      <c r="I159" s="1" t="s">
        <v>3104</v>
      </c>
      <c r="J159" s="770">
        <f>K159/12/M62</f>
        <v>4.1666666666666661</v>
      </c>
      <c r="K159" s="1586">
        <v>3700</v>
      </c>
      <c r="L159" s="1587"/>
      <c r="M159" s="1"/>
      <c r="N159" s="1"/>
      <c r="O159" s="1"/>
      <c r="P159" s="1"/>
      <c r="T159" s="1495"/>
      <c r="U159" s="1496"/>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73">
        <v>3404</v>
      </c>
      <c r="G160" s="1574"/>
      <c r="H160" s="1"/>
      <c r="I160" s="1" t="s">
        <v>1806</v>
      </c>
      <c r="J160" s="1"/>
      <c r="K160" s="1586">
        <v>5032</v>
      </c>
      <c r="L160" s="1587"/>
      <c r="M160" s="1"/>
      <c r="N160" s="11" t="s">
        <v>1667</v>
      </c>
      <c r="O160" s="11"/>
      <c r="P160" s="533">
        <f>P161*M62</f>
        <v>18500</v>
      </c>
      <c r="T160" s="1495"/>
      <c r="U160" s="1496"/>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73">
        <v>3996</v>
      </c>
      <c r="G161" s="1574"/>
      <c r="H161" s="1"/>
      <c r="I161" s="1576" t="s">
        <v>55</v>
      </c>
      <c r="J161" s="1577"/>
      <c r="K161" s="1584"/>
      <c r="L161" s="1585"/>
      <c r="M161" s="1"/>
      <c r="N161" s="30" t="s">
        <v>592</v>
      </c>
      <c r="O161" s="1"/>
      <c r="P161" s="1590">
        <v>250</v>
      </c>
      <c r="T161" s="1495"/>
      <c r="U161" s="1496"/>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73">
        <v>3256</v>
      </c>
      <c r="G162" s="1574"/>
      <c r="H162" s="1"/>
      <c r="I162" s="1"/>
      <c r="J162" s="13" t="s">
        <v>209</v>
      </c>
      <c r="K162" s="1031">
        <f>SUM(K157:K161)</f>
        <v>41662</v>
      </c>
      <c r="L162" s="1032"/>
      <c r="M162" s="1"/>
      <c r="N162" s="1"/>
      <c r="O162" s="1"/>
      <c r="T162" s="1495"/>
      <c r="U162" s="1496"/>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73">
        <v>1490</v>
      </c>
      <c r="G163" s="1574"/>
      <c r="H163" s="1"/>
      <c r="I163" s="1"/>
      <c r="J163" s="14"/>
      <c r="K163" s="1"/>
      <c r="L163" s="1"/>
      <c r="M163" s="1"/>
      <c r="N163" s="1"/>
      <c r="O163" s="1"/>
      <c r="T163" s="1495"/>
      <c r="U163" s="1496"/>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9" t="s">
        <v>55</v>
      </c>
      <c r="C164" s="1580"/>
      <c r="D164" s="1580"/>
      <c r="E164" s="1581"/>
      <c r="F164" s="1582"/>
      <c r="G164" s="1583"/>
      <c r="H164" s="1"/>
      <c r="I164" s="1"/>
      <c r="J164" s="14"/>
      <c r="K164" s="1"/>
      <c r="L164" s="1"/>
      <c r="M164" s="1"/>
      <c r="N164" s="11" t="s">
        <v>2904</v>
      </c>
      <c r="O164" s="11"/>
      <c r="P164" s="11"/>
      <c r="T164" s="1495"/>
      <c r="U164" s="1496"/>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42190</v>
      </c>
      <c r="G165" s="1034"/>
      <c r="H165" s="1"/>
      <c r="I165" s="1"/>
      <c r="J165" s="14"/>
      <c r="K165" s="1"/>
      <c r="L165" s="1"/>
      <c r="M165" s="1"/>
      <c r="N165" s="1"/>
      <c r="O165" s="1"/>
      <c r="P165" s="532">
        <f>P157+P160</f>
        <v>382462.83</v>
      </c>
      <c r="T165" s="1498"/>
      <c r="U165" s="1499"/>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2548</v>
      </c>
    </row>
    <row r="168" spans="1:255" ht="145.5" customHeight="1">
      <c r="A168" s="1374" t="s">
        <v>4128</v>
      </c>
      <c r="B168" s="1375"/>
      <c r="C168" s="1375"/>
      <c r="D168" s="1375"/>
      <c r="E168" s="1375"/>
      <c r="F168" s="1375"/>
      <c r="G168" s="1375"/>
      <c r="H168" s="1375"/>
      <c r="I168" s="1375"/>
      <c r="J168" s="1376"/>
      <c r="K168" s="1377"/>
      <c r="L168" s="1378"/>
      <c r="M168" s="1378"/>
      <c r="N168" s="1378"/>
      <c r="O168" s="1378"/>
      <c r="P168" s="1379"/>
      <c r="T168" s="881" t="s">
        <v>3593</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2013-005 The Villas at Stanford, Kennesaw, Cobb County</v>
      </c>
      <c r="B1" s="1591"/>
      <c r="C1" s="1591"/>
      <c r="D1" s="1591"/>
      <c r="E1" s="1591"/>
      <c r="F1" s="1591"/>
      <c r="G1" s="1591"/>
      <c r="H1" s="1591"/>
      <c r="I1" s="1591"/>
      <c r="J1" s="1591"/>
      <c r="K1" s="1592"/>
      <c r="L1" s="11"/>
      <c r="M1" s="1037" t="str">
        <f>A1</f>
        <v>PART SEVEN - OPERATING PRO FORMA  -  2013-005 The Villas at Stanford, Kennesaw, Cobb County</v>
      </c>
      <c r="N1" s="1037"/>
      <c r="O1" s="11"/>
    </row>
    <row r="2" spans="1:15" ht="13.5" customHeight="1">
      <c r="A2" s="751"/>
      <c r="B2" s="751"/>
      <c r="C2" s="751"/>
      <c r="D2" s="751"/>
      <c r="E2" s="751"/>
      <c r="F2" s="751"/>
      <c r="G2" s="751"/>
      <c r="H2" s="751"/>
      <c r="I2" s="751"/>
      <c r="J2" s="751"/>
      <c r="K2" s="751"/>
      <c r="M2" s="1038" t="s">
        <v>2548</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2905</v>
      </c>
      <c r="B5" s="94">
        <v>0.02</v>
      </c>
      <c r="C5" s="19"/>
      <c r="D5" s="19" t="s">
        <v>1177</v>
      </c>
      <c r="F5" s="19"/>
      <c r="G5" s="1593">
        <v>4500</v>
      </c>
      <c r="H5" s="117" t="s">
        <v>2615</v>
      </c>
      <c r="K5" s="122">
        <f>IF(($B$14+$B$15+$B$16+$B$17)=0,"",-B28/($B$14+$B$15+$B$16+$B$17))</f>
        <v>8.1395037491726364E-3</v>
      </c>
      <c r="M5" s="1493"/>
      <c r="N5" s="1494"/>
    </row>
    <row r="6" spans="1:15">
      <c r="A6" s="19" t="s">
        <v>2906</v>
      </c>
      <c r="B6" s="94">
        <v>0.03</v>
      </c>
      <c r="C6" s="19"/>
      <c r="D6" s="19"/>
      <c r="E6" s="19"/>
      <c r="F6" s="19"/>
      <c r="G6" s="19"/>
      <c r="H6" s="19"/>
      <c r="I6" s="19"/>
      <c r="J6" s="19"/>
      <c r="K6" s="19"/>
      <c r="M6" s="1495"/>
      <c r="N6" s="1496"/>
    </row>
    <row r="7" spans="1:15">
      <c r="A7" s="19" t="s">
        <v>2908</v>
      </c>
      <c r="B7" s="94">
        <v>0.03</v>
      </c>
      <c r="C7" s="19"/>
      <c r="D7" s="96" t="s">
        <v>298</v>
      </c>
      <c r="G7" s="98"/>
      <c r="H7" s="117" t="s">
        <v>3129</v>
      </c>
      <c r="K7" s="122">
        <f>IF(($B$14+$B$15+$B$16+$B$17)=0,"",-B20/($B$14+$B$15+$B$16+$B$17))</f>
        <v>8.9999397343907314E-2</v>
      </c>
      <c r="M7" s="1495"/>
      <c r="N7" s="1496"/>
    </row>
    <row r="8" spans="1:15" ht="13.15" customHeight="1">
      <c r="A8" s="19" t="s">
        <v>2907</v>
      </c>
      <c r="B8" s="1594">
        <v>7.0000000000000007E-2</v>
      </c>
      <c r="C8" s="19"/>
      <c r="D8" s="95" t="s">
        <v>3290</v>
      </c>
      <c r="G8" s="1595" t="s">
        <v>4070</v>
      </c>
      <c r="H8" s="209" t="s">
        <v>1889</v>
      </c>
      <c r="K8" s="1596"/>
      <c r="M8" s="1495"/>
      <c r="N8" s="1496"/>
    </row>
    <row r="9" spans="1:15">
      <c r="A9" s="19" t="s">
        <v>1858</v>
      </c>
      <c r="B9" s="94">
        <v>0.02</v>
      </c>
      <c r="D9" s="95" t="s">
        <v>2410</v>
      </c>
      <c r="G9" s="1595" t="s">
        <v>4061</v>
      </c>
      <c r="H9" s="209" t="s">
        <v>3109</v>
      </c>
      <c r="K9" s="1597">
        <v>0.09</v>
      </c>
      <c r="M9" s="1498"/>
      <c r="N9" s="1499"/>
    </row>
    <row r="10" spans="1:15" ht="13.5" customHeight="1"/>
    <row r="11" spans="1:15">
      <c r="A11" s="16" t="s">
        <v>95</v>
      </c>
      <c r="M11" s="16" t="str">
        <f>A11</f>
        <v>II.  OPERATING PRO FORMA</v>
      </c>
    </row>
    <row r="12" spans="1:15" ht="2.4500000000000002" customHeight="1"/>
    <row r="13" spans="1:15" ht="14.45" customHeight="1">
      <c r="A13" s="16" t="s">
        <v>3260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3422</v>
      </c>
      <c r="N13" s="883"/>
    </row>
    <row r="14" spans="1:15" ht="13.15" customHeight="1">
      <c r="A14" s="21" t="s">
        <v>3165</v>
      </c>
      <c r="B14" s="22">
        <f>'Part VI-Revenues &amp; Expenses'!L49</f>
        <v>582816</v>
      </c>
      <c r="C14" s="22">
        <f t="shared" ref="C14:K14" si="1">$B$14*(1+$B$5)^(C13-1)</f>
        <v>594472.32000000007</v>
      </c>
      <c r="D14" s="22">
        <f t="shared" si="1"/>
        <v>606361.76639999996</v>
      </c>
      <c r="E14" s="22">
        <f t="shared" si="1"/>
        <v>618489.001728</v>
      </c>
      <c r="F14" s="22">
        <f t="shared" si="1"/>
        <v>630858.78176256001</v>
      </c>
      <c r="G14" s="22">
        <f t="shared" si="1"/>
        <v>643475.95739781123</v>
      </c>
      <c r="H14" s="22">
        <f t="shared" si="1"/>
        <v>656345.47654576751</v>
      </c>
      <c r="I14" s="22">
        <f t="shared" si="1"/>
        <v>669472.38607668271</v>
      </c>
      <c r="J14" s="22">
        <f t="shared" si="1"/>
        <v>682861.83379821642</v>
      </c>
      <c r="K14" s="23">
        <f t="shared" si="1"/>
        <v>696519.07047418074</v>
      </c>
      <c r="M14" s="1493"/>
      <c r="N14" s="1494"/>
    </row>
    <row r="15" spans="1:15" ht="13.15" customHeight="1">
      <c r="A15" s="24" t="s">
        <v>1418</v>
      </c>
      <c r="B15" s="25">
        <f>MIN(B14*B9,'Part VI-Revenues &amp; Expenses'!H104)</f>
        <v>11656.32</v>
      </c>
      <c r="C15" s="25">
        <f t="shared" ref="C15:K15" si="2">$B$15*(1+$B$5)^(C13-1)</f>
        <v>11889.446400000001</v>
      </c>
      <c r="D15" s="25">
        <f t="shared" si="2"/>
        <v>12127.235327999999</v>
      </c>
      <c r="E15" s="25">
        <f t="shared" si="2"/>
        <v>12369.780034559999</v>
      </c>
      <c r="F15" s="25">
        <f t="shared" si="2"/>
        <v>12617.1756352512</v>
      </c>
      <c r="G15" s="25">
        <f t="shared" si="2"/>
        <v>12869.519147956224</v>
      </c>
      <c r="H15" s="25">
        <f t="shared" si="2"/>
        <v>13126.909530915349</v>
      </c>
      <c r="I15" s="25">
        <f t="shared" si="2"/>
        <v>13389.447721533654</v>
      </c>
      <c r="J15" s="25">
        <f t="shared" si="2"/>
        <v>13657.236675964326</v>
      </c>
      <c r="K15" s="26">
        <f t="shared" si="2"/>
        <v>13930.381409483614</v>
      </c>
      <c r="M15" s="1495"/>
      <c r="N15" s="1496"/>
    </row>
    <row r="16" spans="1:15" ht="13.15" customHeight="1">
      <c r="A16" s="24" t="s">
        <v>3166</v>
      </c>
      <c r="B16" s="25">
        <f t="shared" ref="B16:K16" si="3">-(B14+B15)*$B$8</f>
        <v>-41613.062400000003</v>
      </c>
      <c r="C16" s="25">
        <f t="shared" si="3"/>
        <v>-42445.323648000012</v>
      </c>
      <c r="D16" s="25">
        <f t="shared" si="3"/>
        <v>-43294.230120960005</v>
      </c>
      <c r="E16" s="25">
        <f t="shared" si="3"/>
        <v>-44160.114723379207</v>
      </c>
      <c r="F16" s="25">
        <f t="shared" si="3"/>
        <v>-45043.317017846792</v>
      </c>
      <c r="G16" s="25">
        <f t="shared" si="3"/>
        <v>-45944.183358203729</v>
      </c>
      <c r="H16" s="25">
        <f t="shared" si="3"/>
        <v>-46863.067025367804</v>
      </c>
      <c r="I16" s="25">
        <f t="shared" si="3"/>
        <v>-47800.328365875153</v>
      </c>
      <c r="J16" s="25">
        <f t="shared" si="3"/>
        <v>-48756.334933192658</v>
      </c>
      <c r="K16" s="26">
        <f t="shared" si="3"/>
        <v>-49731.461631856509</v>
      </c>
      <c r="M16" s="1495"/>
      <c r="N16" s="1496"/>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5"/>
      <c r="N17" s="1496"/>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95"/>
      <c r="N18" s="1496"/>
    </row>
    <row r="19" spans="1:14" ht="13.15" customHeight="1">
      <c r="A19" s="24" t="s">
        <v>794</v>
      </c>
      <c r="B19" s="25">
        <f>-('Part VI-Revenues &amp; Expenses'!P157-'Part VI-Revenues &amp; Expenses'!P147)</f>
        <v>-314205.83</v>
      </c>
      <c r="C19" s="25">
        <f t="shared" ref="C19:K19" si="4">$B$19*(1+$B$6)^(C13-1)</f>
        <v>-323632.0049</v>
      </c>
      <c r="D19" s="25">
        <f t="shared" si="4"/>
        <v>-333340.96504699998</v>
      </c>
      <c r="E19" s="25">
        <f t="shared" si="4"/>
        <v>-343341.19399841002</v>
      </c>
      <c r="F19" s="25">
        <f t="shared" si="4"/>
        <v>-353641.42981836229</v>
      </c>
      <c r="G19" s="25">
        <f t="shared" si="4"/>
        <v>-364250.67271291313</v>
      </c>
      <c r="H19" s="25">
        <f t="shared" si="4"/>
        <v>-375178.19289430056</v>
      </c>
      <c r="I19" s="25">
        <f t="shared" si="4"/>
        <v>-386433.53868112958</v>
      </c>
      <c r="J19" s="25">
        <f t="shared" si="4"/>
        <v>-398026.54484156345</v>
      </c>
      <c r="K19" s="26">
        <f t="shared" si="4"/>
        <v>-409967.34118681034</v>
      </c>
      <c r="M19" s="1495"/>
      <c r="N19" s="1496"/>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-49757</v>
      </c>
      <c r="C20" s="25">
        <f>IF(AND('Part VII-Pro Forma'!$G$8="Yes",'Part VII-Pro Forma'!$G$9="Yes"),"Choose One!",IF('Part VII-Pro Forma'!$G$8="Yes",ROUND((-$K$8*(1+'Part VII-Pro Forma'!$B$6)^('Part VII-Pro Forma'!C13-1)),),IF('Part VII-Pro Forma'!$G$9="Yes",ROUND((-(SUM(C14:C17)*'Part VII-Pro Forma'!$K$9)),),"Choose mgt fee")))</f>
        <v>-50752</v>
      </c>
      <c r="D20" s="25">
        <f>IF(AND('Part VII-Pro Forma'!$G$8="Yes",'Part VII-Pro Forma'!$G$9="Yes"),"Choose One!",IF('Part VII-Pro Forma'!$G$8="Yes",ROUND((-$K$8*(1+'Part VII-Pro Forma'!$B$6)^('Part VII-Pro Forma'!D13-1)),),IF('Part VII-Pro Forma'!$G$9="Yes",ROUND((-(SUM(D14:D17)*'Part VII-Pro Forma'!$K$9)),),"Choose mgt fee")))</f>
        <v>-51768</v>
      </c>
      <c r="E20" s="25">
        <f>IF(AND('Part VII-Pro Forma'!$G$8="Yes",'Part VII-Pro Forma'!$G$9="Yes"),"Choose One!",IF('Part VII-Pro Forma'!$G$8="Yes",ROUND((-$K$8*(1+'Part VII-Pro Forma'!$B$6)^('Part VII-Pro Forma'!E13-1)),),IF('Part VII-Pro Forma'!$G$9="Yes",ROUND((-(SUM(E14:E17)*'Part VII-Pro Forma'!$K$9)),),"Choose mgt fee")))</f>
        <v>-52803</v>
      </c>
      <c r="F20" s="25">
        <f>IF(AND('Part VII-Pro Forma'!$G$8="Yes",'Part VII-Pro Forma'!$G$9="Yes"),"Choose One!",IF('Part VII-Pro Forma'!$G$8="Yes",ROUND((-$K$8*(1+'Part VII-Pro Forma'!$B$6)^('Part VII-Pro Forma'!F13-1)),),IF('Part VII-Pro Forma'!$G$9="Yes",ROUND((-(SUM(F14:F17)*'Part VII-Pro Forma'!$K$9)),),"Choose mgt fee")))</f>
        <v>-53859</v>
      </c>
      <c r="G20" s="25">
        <f>IF(AND('Part VII-Pro Forma'!$G$8="Yes",'Part VII-Pro Forma'!$G$9="Yes"),"Choose One!",IF('Part VII-Pro Forma'!$G$8="Yes",ROUND((-$K$8*(1+'Part VII-Pro Forma'!$B$6)^('Part VII-Pro Forma'!G13-1)),),IF('Part VII-Pro Forma'!$G$9="Yes",ROUND((-(SUM(G14:G17)*'Part VII-Pro Forma'!$K$9)),),"Choose mgt fee")))</f>
        <v>-54936</v>
      </c>
      <c r="H20" s="25">
        <f>IF(AND('Part VII-Pro Forma'!$G$8="Yes",'Part VII-Pro Forma'!$G$9="Yes"),"Choose One!",IF('Part VII-Pro Forma'!$G$8="Yes",ROUND((-$K$8*(1+'Part VII-Pro Forma'!$B$6)^('Part VII-Pro Forma'!H13-1)),),IF('Part VII-Pro Forma'!$G$9="Yes",ROUND((-(SUM(H14:H17)*'Part VII-Pro Forma'!$K$9)),),"Choose mgt fee")))</f>
        <v>-56035</v>
      </c>
      <c r="I20" s="25">
        <f>IF(AND('Part VII-Pro Forma'!$G$8="Yes",'Part VII-Pro Forma'!$G$9="Yes"),"Choose One!",IF('Part VII-Pro Forma'!$G$8="Yes",ROUND((-$K$8*(1+'Part VII-Pro Forma'!$B$6)^('Part VII-Pro Forma'!I13-1)),),IF('Part VII-Pro Forma'!$G$9="Yes",ROUND((-(SUM(I14:I17)*'Part VII-Pro Forma'!$K$9)),),"Choose mgt fee")))</f>
        <v>-57156</v>
      </c>
      <c r="J20" s="25">
        <f>IF(AND('Part VII-Pro Forma'!$G$8="Yes",'Part VII-Pro Forma'!$G$9="Yes"),"Choose One!",IF('Part VII-Pro Forma'!$G$8="Yes",ROUND((-$K$8*(1+'Part VII-Pro Forma'!$B$6)^('Part VII-Pro Forma'!J13-1)),),IF('Part VII-Pro Forma'!$G$9="Yes",ROUND((-(SUM(J14:J17)*'Part VII-Pro Forma'!$K$9)),),"Choose mgt fee")))</f>
        <v>-58299</v>
      </c>
      <c r="K20" s="25">
        <f>IF(AND('Part VII-Pro Forma'!$G$8="Yes",'Part VII-Pro Forma'!$G$9="Yes"),"Choose One!",IF('Part VII-Pro Forma'!$G$8="Yes",ROUND((-$K$8*(1+'Part VII-Pro Forma'!$B$6)^('Part VII-Pro Forma'!K13-1)),),IF('Part VII-Pro Forma'!$G$9="Yes",ROUND((-(SUM(K14:K17)*'Part VII-Pro Forma'!$K$9)),),"Choose mgt fee")))</f>
        <v>-59465</v>
      </c>
      <c r="M20" s="1495"/>
      <c r="N20" s="1496"/>
    </row>
    <row r="21" spans="1:14" ht="13.15" customHeight="1">
      <c r="A21" s="24" t="s">
        <v>1622</v>
      </c>
      <c r="B21" s="25">
        <f>-('Part VI-Revenues &amp; Expenses'!P160)</f>
        <v>-18500</v>
      </c>
      <c r="C21" s="25">
        <f t="shared" ref="C21:K21" si="5">$B$21*(1+$B$7)^(C13-1)</f>
        <v>-19055</v>
      </c>
      <c r="D21" s="25">
        <f t="shared" si="5"/>
        <v>-19626.649999999998</v>
      </c>
      <c r="E21" s="25">
        <f t="shared" si="5"/>
        <v>-20215.449499999999</v>
      </c>
      <c r="F21" s="25">
        <f t="shared" si="5"/>
        <v>-20821.912984999999</v>
      </c>
      <c r="G21" s="25">
        <f t="shared" si="5"/>
        <v>-21446.570374549996</v>
      </c>
      <c r="H21" s="25">
        <f t="shared" si="5"/>
        <v>-22089.967485786499</v>
      </c>
      <c r="I21" s="25">
        <f t="shared" si="5"/>
        <v>-22752.666510360094</v>
      </c>
      <c r="J21" s="25">
        <f t="shared" si="5"/>
        <v>-23435.246505670893</v>
      </c>
      <c r="K21" s="26">
        <f t="shared" si="5"/>
        <v>-24138.303900841023</v>
      </c>
      <c r="M21" s="1495"/>
      <c r="N21" s="1496"/>
    </row>
    <row r="22" spans="1:14" ht="13.15" customHeight="1">
      <c r="A22" s="24" t="s">
        <v>1623</v>
      </c>
      <c r="B22" s="25">
        <f t="shared" ref="B22:K22" si="6">SUM(B14:B21)</f>
        <v>170396.42759999988</v>
      </c>
      <c r="C22" s="25">
        <f t="shared" si="6"/>
        <v>170477.43785200006</v>
      </c>
      <c r="D22" s="25">
        <f t="shared" si="6"/>
        <v>170459.15656003999</v>
      </c>
      <c r="E22" s="25">
        <f t="shared" si="6"/>
        <v>170339.02354077075</v>
      </c>
      <c r="F22" s="25">
        <f t="shared" si="6"/>
        <v>170110.2975766022</v>
      </c>
      <c r="G22" s="25">
        <f t="shared" si="6"/>
        <v>169768.05010010063</v>
      </c>
      <c r="H22" s="25">
        <f t="shared" si="6"/>
        <v>169306.15867122801</v>
      </c>
      <c r="I22" s="25">
        <f t="shared" si="6"/>
        <v>168719.30024085159</v>
      </c>
      <c r="J22" s="25">
        <f t="shared" si="6"/>
        <v>168001.9441937537</v>
      </c>
      <c r="K22" s="26">
        <f t="shared" si="6"/>
        <v>167147.34516415649</v>
      </c>
      <c r="M22" s="1495"/>
      <c r="N22" s="1496"/>
    </row>
    <row r="23" spans="1:14" ht="13.15" customHeight="1">
      <c r="A23" s="564" t="s">
        <v>2051</v>
      </c>
      <c r="B23" s="1598">
        <f>IF('Part III-Sources of Funds'!$M$32="", 0,-'Part III-Sources of Funds'!$M$32)</f>
        <v>-63066.410440221589</v>
      </c>
      <c r="C23" s="1598">
        <f>IF('Part III-Sources of Funds'!$M$32="", 0,-'Part III-Sources of Funds'!$M$32)</f>
        <v>-63066.410440221589</v>
      </c>
      <c r="D23" s="1598">
        <f>IF('Part III-Sources of Funds'!$M$32="", 0,-'Part III-Sources of Funds'!$M$32)</f>
        <v>-63066.410440221589</v>
      </c>
      <c r="E23" s="1598">
        <f>IF('Part III-Sources of Funds'!$M$32="", 0,-'Part III-Sources of Funds'!$M$32)</f>
        <v>-63066.410440221589</v>
      </c>
      <c r="F23" s="1598">
        <f>IF('Part III-Sources of Funds'!$M$32="", 0,-'Part III-Sources of Funds'!$M$32)</f>
        <v>-63066.410440221589</v>
      </c>
      <c r="G23" s="1598">
        <f>IF('Part III-Sources of Funds'!$M$32="", 0,-'Part III-Sources of Funds'!$M$32)</f>
        <v>-63066.410440221589</v>
      </c>
      <c r="H23" s="1598">
        <f>IF('Part III-Sources of Funds'!$M$32="", 0,-'Part III-Sources of Funds'!$M$32)</f>
        <v>-63066.410440221589</v>
      </c>
      <c r="I23" s="1598">
        <f>IF('Part III-Sources of Funds'!$M$32="", 0,-'Part III-Sources of Funds'!$M$32)</f>
        <v>-63066.410440221589</v>
      </c>
      <c r="J23" s="1598">
        <f>IF('Part III-Sources of Funds'!$M$32="", 0,-'Part III-Sources of Funds'!$M$32)</f>
        <v>-63066.410440221589</v>
      </c>
      <c r="K23" s="1598">
        <f>IF('Part III-Sources of Funds'!$M$32="", 0,-'Part III-Sources of Funds'!$M$32)</f>
        <v>-63066.410440221589</v>
      </c>
      <c r="M23" s="1495"/>
      <c r="N23" s="1496"/>
    </row>
    <row r="24" spans="1:14" ht="13.15" customHeight="1">
      <c r="A24" s="564" t="s">
        <v>2052</v>
      </c>
      <c r="B24" s="1599">
        <f>IF('Part III-Sources of Funds'!$M$33="", 0,-'Part III-Sources of Funds'!$M$33)</f>
        <v>-24827.274747576244</v>
      </c>
      <c r="C24" s="1599">
        <f>IF('Part III-Sources of Funds'!$M$33="", 0,-'Part III-Sources of Funds'!$M$33)</f>
        <v>-24827.274747576244</v>
      </c>
      <c r="D24" s="1599">
        <f>IF('Part III-Sources of Funds'!$M$33="", 0,-'Part III-Sources of Funds'!$M$33)</f>
        <v>-24827.274747576244</v>
      </c>
      <c r="E24" s="1599">
        <f>IF('Part III-Sources of Funds'!$M$33="", 0,-'Part III-Sources of Funds'!$M$33)</f>
        <v>-24827.274747576244</v>
      </c>
      <c r="F24" s="1599">
        <f>IF('Part III-Sources of Funds'!$M$33="", 0,-'Part III-Sources of Funds'!$M$33)</f>
        <v>-24827.274747576244</v>
      </c>
      <c r="G24" s="1599">
        <f>IF('Part III-Sources of Funds'!$M$33="", 0,-'Part III-Sources of Funds'!$M$33)</f>
        <v>-24827.274747576244</v>
      </c>
      <c r="H24" s="1599">
        <f>IF('Part III-Sources of Funds'!$M$33="", 0,-'Part III-Sources of Funds'!$M$33)</f>
        <v>-24827.274747576244</v>
      </c>
      <c r="I24" s="1599">
        <f>IF('Part III-Sources of Funds'!$M$33="", 0,-'Part III-Sources of Funds'!$M$33)</f>
        <v>-24827.274747576244</v>
      </c>
      <c r="J24" s="1599">
        <f>IF('Part III-Sources of Funds'!$M$33="", 0,-'Part III-Sources of Funds'!$M$33)</f>
        <v>-24827.274747576244</v>
      </c>
      <c r="K24" s="1599">
        <f>IF('Part III-Sources of Funds'!$M$33="", 0,-'Part III-Sources of Funds'!$M$33)</f>
        <v>-24827.274747576244</v>
      </c>
      <c r="M24" s="1495"/>
      <c r="N24" s="1496"/>
    </row>
    <row r="25" spans="1:14" ht="13.15" customHeight="1">
      <c r="A25" s="564" t="s">
        <v>2053</v>
      </c>
      <c r="B25" s="1599">
        <f>IF('Part III-Sources of Funds'!$M$34="", 0,-'Part III-Sources of Funds'!$M$34)</f>
        <v>-33838.747804512597</v>
      </c>
      <c r="C25" s="1599">
        <f>IF('Part III-Sources of Funds'!$M$34="", 0,-'Part III-Sources of Funds'!$M$34)</f>
        <v>-33838.747804512597</v>
      </c>
      <c r="D25" s="1599">
        <f>IF('Part III-Sources of Funds'!$M$34="", 0,-'Part III-Sources of Funds'!$M$34)</f>
        <v>-33838.747804512597</v>
      </c>
      <c r="E25" s="1599">
        <f>IF('Part III-Sources of Funds'!$M$34="", 0,-'Part III-Sources of Funds'!$M$34)</f>
        <v>-33838.747804512597</v>
      </c>
      <c r="F25" s="1599">
        <f>IF('Part III-Sources of Funds'!$M$34="", 0,-'Part III-Sources of Funds'!$M$34)</f>
        <v>-33838.747804512597</v>
      </c>
      <c r="G25" s="1599">
        <f>IF('Part III-Sources of Funds'!$M$34="", 0,-'Part III-Sources of Funds'!$M$34)</f>
        <v>-33838.747804512597</v>
      </c>
      <c r="H25" s="1599">
        <f>IF('Part III-Sources of Funds'!$M$34="", 0,-'Part III-Sources of Funds'!$M$34)</f>
        <v>-33838.747804512597</v>
      </c>
      <c r="I25" s="1599">
        <f>IF('Part III-Sources of Funds'!$M$34="", 0,-'Part III-Sources of Funds'!$M$34)</f>
        <v>-33838.747804512597</v>
      </c>
      <c r="J25" s="1599">
        <f>IF('Part III-Sources of Funds'!$M$34="", 0,-'Part III-Sources of Funds'!$M$34)</f>
        <v>-33838.747804512597</v>
      </c>
      <c r="K25" s="1599">
        <f>IF('Part III-Sources of Funds'!$M$34="", 0,-'Part III-Sources of Funds'!$M$34)</f>
        <v>-33838.747804512597</v>
      </c>
      <c r="M25" s="1495"/>
      <c r="N25" s="1496"/>
    </row>
    <row r="26" spans="1:14" ht="13.15" customHeight="1">
      <c r="A26" s="24" t="s">
        <v>1174</v>
      </c>
      <c r="B26" s="1599">
        <f>IF('Part III-Sources of Funds'!$M$35="", 0,-'Part III-Sources of Funds'!$M$35)</f>
        <v>0</v>
      </c>
      <c r="C26" s="1599">
        <f>IF('Part III-Sources of Funds'!$M$35="", 0,-'Part III-Sources of Funds'!$M$35)</f>
        <v>0</v>
      </c>
      <c r="D26" s="1599">
        <f>IF('Part III-Sources of Funds'!$M$35="", 0,-'Part III-Sources of Funds'!$M$35)</f>
        <v>0</v>
      </c>
      <c r="E26" s="1599">
        <f>IF('Part III-Sources of Funds'!$M$35="", 0,-'Part III-Sources of Funds'!$M$35)</f>
        <v>0</v>
      </c>
      <c r="F26" s="1599">
        <f>IF('Part III-Sources of Funds'!$M$35="", 0,-'Part III-Sources of Funds'!$M$35)</f>
        <v>0</v>
      </c>
      <c r="G26" s="1599">
        <f>IF('Part III-Sources of Funds'!$M$35="", 0,-'Part III-Sources of Funds'!$M$35)</f>
        <v>0</v>
      </c>
      <c r="H26" s="1599">
        <f>IF('Part III-Sources of Funds'!$M$35="", 0,-'Part III-Sources of Funds'!$M$35)</f>
        <v>0</v>
      </c>
      <c r="I26" s="1599">
        <f>IF('Part III-Sources of Funds'!$M$35="", 0,-'Part III-Sources of Funds'!$M$35)</f>
        <v>0</v>
      </c>
      <c r="J26" s="1599">
        <f>IF('Part III-Sources of Funds'!$M$35="", 0,-'Part III-Sources of Funds'!$M$35)</f>
        <v>0</v>
      </c>
      <c r="K26" s="1599">
        <f>IF('Part III-Sources of Funds'!$M$35="", 0,-'Part III-Sources of Funds'!$M$35)</f>
        <v>0</v>
      </c>
      <c r="M26" s="1495"/>
      <c r="N26" s="1496"/>
    </row>
    <row r="27" spans="1:14" ht="13.15" customHeight="1">
      <c r="A27" s="24" t="s">
        <v>1150</v>
      </c>
      <c r="B27" s="1600"/>
      <c r="C27" s="1600"/>
      <c r="D27" s="1600"/>
      <c r="E27" s="1600"/>
      <c r="F27" s="1600"/>
      <c r="G27" s="1600"/>
      <c r="H27" s="1600"/>
      <c r="I27" s="1600"/>
      <c r="J27" s="1600"/>
      <c r="K27" s="1600"/>
      <c r="M27" s="1495"/>
      <c r="N27" s="1496"/>
    </row>
    <row r="28" spans="1:14" ht="13.15" customHeight="1">
      <c r="A28" s="24" t="s">
        <v>1578</v>
      </c>
      <c r="B28" s="1599">
        <f>-$G$5</f>
        <v>-4500</v>
      </c>
      <c r="C28" s="1599">
        <f>+B28*0+B28*1.03</f>
        <v>-4635</v>
      </c>
      <c r="D28" s="1599">
        <f>+C28*0+C28*1.03</f>
        <v>-4774.05</v>
      </c>
      <c r="E28" s="1599">
        <f t="shared" ref="E28:K28" si="7">+D28*0+D28*1.03</f>
        <v>-4917.2715000000007</v>
      </c>
      <c r="F28" s="1599">
        <f t="shared" si="7"/>
        <v>-5064.7896450000007</v>
      </c>
      <c r="G28" s="1599">
        <f t="shared" si="7"/>
        <v>-5216.7333343500013</v>
      </c>
      <c r="H28" s="1599">
        <f t="shared" si="7"/>
        <v>-5373.2353343805016</v>
      </c>
      <c r="I28" s="1599">
        <f t="shared" si="7"/>
        <v>-5534.4323944119169</v>
      </c>
      <c r="J28" s="1599">
        <f t="shared" si="7"/>
        <v>-5700.4653662442743</v>
      </c>
      <c r="K28" s="1599">
        <f t="shared" si="7"/>
        <v>-5871.4793272316028</v>
      </c>
      <c r="M28" s="1495"/>
      <c r="N28" s="1496"/>
    </row>
    <row r="29" spans="1:14" ht="13.15" customHeight="1">
      <c r="A29" s="24" t="s">
        <v>1624</v>
      </c>
      <c r="B29" s="1601">
        <f>IF('Part III-Sources of Funds'!$M$37="", 0,-'Part III-Sources of Funds'!$M$37)</f>
        <v>0</v>
      </c>
      <c r="C29" s="1601">
        <f>IF('Part III-Sources of Funds'!$M$37="", 0,-'Part III-Sources of Funds'!$M$37)</f>
        <v>0</v>
      </c>
      <c r="D29" s="1601">
        <f>IF('Part III-Sources of Funds'!$M$37="", 0,-'Part III-Sources of Funds'!$M$37)</f>
        <v>0</v>
      </c>
      <c r="E29" s="1601">
        <f>IF('Part III-Sources of Funds'!$M$37="", 0,-'Part III-Sources of Funds'!$M$37)</f>
        <v>0</v>
      </c>
      <c r="F29" s="1601">
        <f>IF('Part III-Sources of Funds'!$M$37="", 0,-'Part III-Sources of Funds'!$M$37)</f>
        <v>0</v>
      </c>
      <c r="G29" s="1601">
        <f>IF('Part III-Sources of Funds'!$M$37="", 0,-'Part III-Sources of Funds'!$M$37)</f>
        <v>0</v>
      </c>
      <c r="H29" s="1601">
        <f>IF('Part III-Sources of Funds'!$M$37="", 0,-'Part III-Sources of Funds'!$M$37)</f>
        <v>0</v>
      </c>
      <c r="I29" s="1601">
        <f>IF('Part III-Sources of Funds'!$M$37="", 0,-'Part III-Sources of Funds'!$M$37)</f>
        <v>0</v>
      </c>
      <c r="J29" s="1601">
        <f>IF('Part III-Sources of Funds'!$M$37="", 0,-'Part III-Sources of Funds'!$M$37)</f>
        <v>0</v>
      </c>
      <c r="K29" s="1601">
        <f>IF('Part III-Sources of Funds'!$M$37="", 0,-'Part III-Sources of Funds'!$M$37)</f>
        <v>0</v>
      </c>
      <c r="M29" s="1495"/>
      <c r="N29" s="1496"/>
    </row>
    <row r="30" spans="1:14" ht="13.15" customHeight="1">
      <c r="A30" s="24" t="s">
        <v>1579</v>
      </c>
      <c r="B30" s="25">
        <f t="shared" ref="B30:K30" si="8">SUM(B22:B29)</f>
        <v>44163.994607689448</v>
      </c>
      <c r="C30" s="25">
        <f t="shared" si="8"/>
        <v>44110.00485968963</v>
      </c>
      <c r="D30" s="25">
        <f t="shared" si="8"/>
        <v>43952.673567729558</v>
      </c>
      <c r="E30" s="25">
        <f t="shared" si="8"/>
        <v>43689.319048460318</v>
      </c>
      <c r="F30" s="25">
        <f t="shared" si="8"/>
        <v>43313.074939291764</v>
      </c>
      <c r="G30" s="25">
        <f t="shared" si="8"/>
        <v>42818.883773440204</v>
      </c>
      <c r="H30" s="25">
        <f t="shared" si="8"/>
        <v>42200.49034453708</v>
      </c>
      <c r="I30" s="25">
        <f t="shared" si="8"/>
        <v>41452.434854129242</v>
      </c>
      <c r="J30" s="25">
        <f t="shared" si="8"/>
        <v>40569.045835199002</v>
      </c>
      <c r="K30" s="26">
        <f t="shared" si="8"/>
        <v>39543.432844614457</v>
      </c>
      <c r="M30" s="1495"/>
      <c r="N30" s="1496"/>
    </row>
    <row r="31" spans="1:14" ht="13.15" customHeight="1">
      <c r="A31" s="24" t="str">
        <f>IF('Part III-Sources of Funds'!$E$32 = "Neither", "", "DCR Mortgage A")</f>
        <v>DCR Mortgage A</v>
      </c>
      <c r="B31" s="27">
        <f>IF(B23=0,"",-B22/B23)</f>
        <v>2.7018570806643991</v>
      </c>
      <c r="C31" s="27">
        <f t="shared" ref="C31:K31" si="9">IF(C23=0,"",-C22/C23)</f>
        <v>2.7031416036209888</v>
      </c>
      <c r="D31" s="27">
        <f t="shared" si="9"/>
        <v>2.7028517299492125</v>
      </c>
      <c r="E31" s="27">
        <f t="shared" si="9"/>
        <v>2.7009468646107435</v>
      </c>
      <c r="F31" s="27">
        <f t="shared" si="9"/>
        <v>2.6973201168289687</v>
      </c>
      <c r="G31" s="27">
        <f t="shared" si="9"/>
        <v>2.6918933377541401</v>
      </c>
      <c r="H31" s="27">
        <f t="shared" si="9"/>
        <v>2.6845694481328901</v>
      </c>
      <c r="I31" s="27">
        <f t="shared" si="9"/>
        <v>2.6752640440948294</v>
      </c>
      <c r="J31" s="27">
        <f t="shared" si="9"/>
        <v>2.6638894305392058</v>
      </c>
      <c r="K31" s="28">
        <f t="shared" si="9"/>
        <v>2.6503386509144917</v>
      </c>
      <c r="M31" s="1495"/>
      <c r="N31" s="1496"/>
    </row>
    <row r="32" spans="1:14" ht="13.15" customHeight="1">
      <c r="A32" s="24" t="str">
        <f>IF('Part III-Sources of Funds'!$E$32 = "Neither", "", "DCR Mortgage B")</f>
        <v>DCR Mortgage B</v>
      </c>
      <c r="B32" s="27">
        <f t="shared" ref="B32:K32" si="10">IF(OR(B24=0,AND(B24=0,B23=0)),"",-B22/(B23+B24))</f>
        <v>1.9386651866504716</v>
      </c>
      <c r="C32" s="27">
        <f t="shared" si="10"/>
        <v>1.9395868712041127</v>
      </c>
      <c r="D32" s="27">
        <f t="shared" si="10"/>
        <v>1.9393788779686372</v>
      </c>
      <c r="E32" s="27">
        <f t="shared" si="10"/>
        <v>1.93801207876102</v>
      </c>
      <c r="F32" s="27">
        <f t="shared" si="10"/>
        <v>1.9354097761760294</v>
      </c>
      <c r="G32" s="27">
        <f t="shared" si="10"/>
        <v>1.931515896021041</v>
      </c>
      <c r="H32" s="27">
        <f t="shared" si="10"/>
        <v>1.9262607809591827</v>
      </c>
      <c r="I32" s="27">
        <f t="shared" si="10"/>
        <v>1.9195838686289908</v>
      </c>
      <c r="J32" s="27">
        <f t="shared" si="10"/>
        <v>1.9114222351104377</v>
      </c>
      <c r="K32" s="28">
        <f t="shared" si="10"/>
        <v>1.9016991358027771</v>
      </c>
      <c r="M32" s="1495"/>
      <c r="N32" s="1496"/>
    </row>
    <row r="33" spans="1:14" ht="13.15" customHeight="1">
      <c r="A33" s="24" t="str">
        <f>IF('Part III-Sources of Funds'!$E$32 = "Neither", "DCR First Mortgage", "DCR Mortgage C")</f>
        <v>DCR Mortgage C</v>
      </c>
      <c r="B33" s="27">
        <f t="shared" ref="B33:K33" si="11">IF(OR(B25=0,AND(B25=0,B24=0,B23=0)),"",-B22/(B23+B24+B25))</f>
        <v>1.3997619484920953</v>
      </c>
      <c r="C33" s="27">
        <f t="shared" si="11"/>
        <v>1.4004274264588856</v>
      </c>
      <c r="D33" s="27">
        <f t="shared" si="11"/>
        <v>1.4002772504416101</v>
      </c>
      <c r="E33" s="27">
        <f t="shared" si="11"/>
        <v>1.399290389205732</v>
      </c>
      <c r="F33" s="27">
        <f t="shared" si="11"/>
        <v>1.3974114654173362</v>
      </c>
      <c r="G33" s="27">
        <f t="shared" si="11"/>
        <v>1.3945999921879857</v>
      </c>
      <c r="H33" s="27">
        <f t="shared" si="11"/>
        <v>1.390805675279017</v>
      </c>
      <c r="I33" s="27">
        <f t="shared" si="11"/>
        <v>1.3859847872383295</v>
      </c>
      <c r="J33" s="27">
        <f t="shared" si="11"/>
        <v>1.3800918955128911</v>
      </c>
      <c r="K33" s="28">
        <f t="shared" si="11"/>
        <v>1.3730715886925122</v>
      </c>
      <c r="M33" s="1495"/>
      <c r="N33" s="1496"/>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95"/>
      <c r="N34" s="1496"/>
    </row>
    <row r="35" spans="1:14" ht="13.15" customHeight="1">
      <c r="A35" s="24" t="s">
        <v>1158</v>
      </c>
      <c r="B35" s="341">
        <f>IF(OR(B20="Choose mgt fee",B20="Choose One!"),"",(B14+B15+B16+B17+B18) / -(B19+B20+B21))</f>
        <v>1.4455241509351375</v>
      </c>
      <c r="C35" s="341">
        <f t="shared" ref="C35:K35" si="13">IF(OR(C20="Choose mgt fee",C20="Choose One!"),"",(C14+C15+C16+C17+C18) / -(C19+C20+C21))</f>
        <v>1.4333008057890197</v>
      </c>
      <c r="D35" s="341">
        <f t="shared" si="13"/>
        <v>1.4211617416970961</v>
      </c>
      <c r="E35" s="341">
        <f t="shared" si="13"/>
        <v>1.4091151152631374</v>
      </c>
      <c r="F35" s="341">
        <f t="shared" si="13"/>
        <v>1.3971548541297969</v>
      </c>
      <c r="G35" s="341">
        <f t="shared" si="13"/>
        <v>1.3852819839705164</v>
      </c>
      <c r="H35" s="341">
        <f t="shared" si="13"/>
        <v>1.3734943266869519</v>
      </c>
      <c r="I35" s="341">
        <f t="shared" si="13"/>
        <v>1.3617929030711942</v>
      </c>
      <c r="J35" s="341">
        <f t="shared" si="13"/>
        <v>1.3501785623664266</v>
      </c>
      <c r="K35" s="342">
        <f t="shared" si="13"/>
        <v>1.3386492831932364</v>
      </c>
      <c r="M35" s="1495"/>
      <c r="N35" s="1496"/>
    </row>
    <row r="36" spans="1:14" ht="13.15" customHeight="1">
      <c r="A36" s="564" t="s">
        <v>3415</v>
      </c>
      <c r="B36" s="1602">
        <f>IF('Part III-Sources of Funds'!$H$32="","",-FV('Part III-Sources of Funds'!$J$32/12,12,B23/12,'Part III-Sources of Funds'!$H$32))</f>
        <v>420231.72634110693</v>
      </c>
      <c r="C36" s="1602">
        <f>IF('Part III-Sources of Funds'!$H$32="","",-FV('Part III-Sources of Funds'!$J$32/12,12,C23/12,B36))</f>
        <v>385480.65595900145</v>
      </c>
      <c r="D36" s="1602">
        <f>IF('Part III-Sources of Funds'!$H$32="","",-FV('Part III-Sources of Funds'!$J$32/12,12,D23/12,C36))</f>
        <v>348217.42788913281</v>
      </c>
      <c r="E36" s="1602">
        <f>IF('Part III-Sources of Funds'!$H$32="","",-FV('Part III-Sources of Funds'!$J$32/12,12,E23/12,D36))</f>
        <v>308260.43804912904</v>
      </c>
      <c r="F36" s="1602">
        <f>IF('Part III-Sources of Funds'!$H$32="","",-FV('Part III-Sources of Funds'!$J$32/12,12,F23/12,E36))</f>
        <v>265414.95418281958</v>
      </c>
      <c r="G36" s="1602">
        <f>IF('Part III-Sources of Funds'!$H$32="","",-FV('Part III-Sources of Funds'!$J$32/12,12,G23/12,F36))</f>
        <v>219472.16682349006</v>
      </c>
      <c r="H36" s="1602">
        <f>IF('Part III-Sources of Funds'!$H$32="","",-FV('Part III-Sources of Funds'!$J$32/12,12,H23/12,G36))</f>
        <v>170208.17165119376</v>
      </c>
      <c r="I36" s="1602">
        <f>IF('Part III-Sources of Funds'!$H$32="","",-FV('Part III-Sources of Funds'!$J$32/12,12,I23/12,H36))</f>
        <v>117382.87828459094</v>
      </c>
      <c r="J36" s="1602">
        <f>IF('Part III-Sources of Funds'!$H$32="","",-FV('Part III-Sources of Funds'!$J$32/12,12,J23/12,I36))</f>
        <v>60738.840189262031</v>
      </c>
      <c r="K36" s="1602">
        <f>IF('Part III-Sources of Funds'!$H$32="","",-FV('Part III-Sources of Funds'!$J$32/12,12,K23/12,J36))</f>
        <v>-1.913576852530241E-9</v>
      </c>
      <c r="M36" s="1495"/>
      <c r="N36" s="1496"/>
    </row>
    <row r="37" spans="1:14" ht="13.15" customHeight="1">
      <c r="A37" s="564" t="s">
        <v>3416</v>
      </c>
      <c r="B37" s="1599">
        <f>IF('Part III-Sources of Funds'!$H$33="","",-FV('Part III-Sources of Funds'!$J$33/12,12,B24/12,'Part III-Sources of Funds'!$H$33))</f>
        <v>200342.96859830432</v>
      </c>
      <c r="C37" s="1599">
        <f>IF('Part III-Sources of Funds'!$H$33="","",-FV('Part III-Sources of Funds'!$J$33/12,12,C24/12,B37))</f>
        <v>180198.89501763249</v>
      </c>
      <c r="D37" s="1599">
        <f>IF('Part III-Sources of Funds'!$H$33="","",-FV('Part III-Sources of Funds'!$J$33/12,12,D24/12,C37))</f>
        <v>159555.71181609796</v>
      </c>
      <c r="E37" s="1599">
        <f>IF('Part III-Sources of Funds'!$H$33="","",-FV('Part III-Sources of Funds'!$J$33/12,12,E24/12,D37))</f>
        <v>138401.05255686064</v>
      </c>
      <c r="F37" s="1599">
        <f>IF('Part III-Sources of Funds'!$H$33="","",-FV('Part III-Sources of Funds'!$J$33/12,12,F24/12,E37))</f>
        <v>116722.24439993028</v>
      </c>
      <c r="G37" s="1599">
        <f>IF('Part III-Sources of Funds'!$H$33="","",-FV('Part III-Sources of Funds'!$J$33/12,12,G24/12,F37))</f>
        <v>94506.300510416884</v>
      </c>
      <c r="H37" s="1599">
        <f>IF('Part III-Sources of Funds'!$H$33="","",-FV('Part III-Sources of Funds'!$J$33/12,12,H24/12,G37))</f>
        <v>71739.912278680626</v>
      </c>
      <c r="I37" s="1599">
        <f>IF('Part III-Sources of Funds'!$H$33="","",-FV('Part III-Sources of Funds'!$J$33/12,12,I24/12,H37))</f>
        <v>48409.441347720247</v>
      </c>
      <c r="J37" s="1599">
        <f>IF('Part III-Sources of Funds'!$H$33="","",-FV('Part III-Sources of Funds'!$J$33/12,12,J24/12,I37))</f>
        <v>24500.911443024164</v>
      </c>
      <c r="K37" s="1599">
        <f>IF('Part III-Sources of Funds'!$H$33="","",-FV('Part III-Sources of Funds'!$J$33/12,12,K24/12,J37))</f>
        <v>-1.0157236829400063E-8</v>
      </c>
      <c r="M37" s="1495"/>
      <c r="N37" s="1496"/>
    </row>
    <row r="38" spans="1:14" ht="13.15" customHeight="1">
      <c r="A38" s="564" t="s">
        <v>3417</v>
      </c>
      <c r="B38" s="1599">
        <f>IF('Part III-Sources of Funds'!$H$34="","",-FV('Part III-Sources of Funds'!$J$34/12,12,B25/12,'Part III-Sources of Funds'!$H$34))</f>
        <v>297737.3837663742</v>
      </c>
      <c r="C38" s="1599">
        <f>IF('Part III-Sources of Funds'!$H$34="","",-FV('Part III-Sources of Funds'!$J$34/12,12,C25/12,B38))</f>
        <v>265313.084261849</v>
      </c>
      <c r="D38" s="1599">
        <f>IF('Part III-Sources of Funds'!$H$34="","",-FV('Part III-Sources of Funds'!$J$34/12,12,D25/12,C38))</f>
        <v>232726.29121487349</v>
      </c>
      <c r="E38" s="1599">
        <f>IF('Part III-Sources of Funds'!$H$34="","",-FV('Part III-Sources of Funds'!$J$34/12,12,E25/12,D38))</f>
        <v>199976.19029324193</v>
      </c>
      <c r="F38" s="1599">
        <f>IF('Part III-Sources of Funds'!$H$34="","",-FV('Part III-Sources of Funds'!$J$34/12,12,F25/12,E38))</f>
        <v>167061.96308374355</v>
      </c>
      <c r="G38" s="1599">
        <f>IF('Part III-Sources of Funds'!$H$34="","",-FV('Part III-Sources of Funds'!$J$34/12,12,G25/12,F38))</f>
        <v>133982.78707171089</v>
      </c>
      <c r="H38" s="1599">
        <f>IF('Part III-Sources of Funds'!$H$34="","",-FV('Part III-Sources of Funds'!$J$34/12,12,H25/12,G38))</f>
        <v>100737.83562046543</v>
      </c>
      <c r="I38" s="1599">
        <f>IF('Part III-Sources of Funds'!$H$34="","",-FV('Part III-Sources of Funds'!$J$34/12,12,I25/12,H38))</f>
        <v>67326.277950660122</v>
      </c>
      <c r="J38" s="1599">
        <f>IF('Part III-Sources of Funds'!$H$34="","",-FV('Part III-Sources of Funds'!$J$34/12,12,J25/12,I38))</f>
        <v>33747.279119518709</v>
      </c>
      <c r="K38" s="1599">
        <f>IF('Part III-Sources of Funds'!$H$34="","",-FV('Part III-Sources of Funds'!$J$34/12,12,K25/12,J38))</f>
        <v>-2.935121301561594E-8</v>
      </c>
      <c r="M38" s="1495"/>
      <c r="N38" s="1496"/>
    </row>
    <row r="39" spans="1:14" ht="13.15" customHeight="1">
      <c r="A39" s="24" t="s">
        <v>1176</v>
      </c>
      <c r="B39" s="1599" t="str">
        <f>IF('Part III-Sources of Funds'!$H$35="","",-FV('Part III-Sources of Funds'!$J$35/12,12,B24/12,'Part III-Sources of Funds'!$H$35))</f>
        <v/>
      </c>
      <c r="C39" s="1599" t="str">
        <f>IF('Part III-Sources of Funds'!$H$35="","",-FV('Part III-Sources of Funds'!$J$35/12,12,C26/12,B39))</f>
        <v/>
      </c>
      <c r="D39" s="1599" t="str">
        <f>IF('Part III-Sources of Funds'!$H$35="","",-FV('Part III-Sources of Funds'!$J$35/12,12,D26/12,C39))</f>
        <v/>
      </c>
      <c r="E39" s="1599" t="str">
        <f>IF('Part III-Sources of Funds'!$H$35="","",-FV('Part III-Sources of Funds'!$J$35/12,12,E26/12,D39))</f>
        <v/>
      </c>
      <c r="F39" s="1599" t="str">
        <f>IF('Part III-Sources of Funds'!$H$35="","",-FV('Part III-Sources of Funds'!$J$35/12,12,F26/12,E39))</f>
        <v/>
      </c>
      <c r="G39" s="1599" t="str">
        <f>IF('Part III-Sources of Funds'!$H$35="","",-FV('Part III-Sources of Funds'!$J$35/12,12,G26/12,F39))</f>
        <v/>
      </c>
      <c r="H39" s="1599" t="str">
        <f>IF('Part III-Sources of Funds'!$H$35="","",-FV('Part III-Sources of Funds'!$J$35/12,12,H26/12,G39))</f>
        <v/>
      </c>
      <c r="I39" s="1599" t="str">
        <f>IF('Part III-Sources of Funds'!$H$35="","",-FV('Part III-Sources of Funds'!$J$35/12,12,I26/12,H39))</f>
        <v/>
      </c>
      <c r="J39" s="1599" t="str">
        <f>IF('Part III-Sources of Funds'!$H$35="","",-FV('Part III-Sources of Funds'!$J$35/12,12,J26/12,I39))</f>
        <v/>
      </c>
      <c r="K39" s="1599" t="str">
        <f>IF('Part III-Sources of Funds'!$H$35="","",-FV('Part III-Sources of Funds'!$J$35/12,12,K26/12,J39))</f>
        <v/>
      </c>
      <c r="M39" s="1495"/>
      <c r="N39" s="1496"/>
    </row>
    <row r="40" spans="1:14" ht="13.15" customHeight="1">
      <c r="A40" s="29" t="s">
        <v>1659</v>
      </c>
      <c r="B40" s="1601" t="str">
        <f>IF('Part III-Sources of Funds'!$H$37="","",-FV('Part III-Sources of Funds'!$J$37/12,12,B29/12,'Part III-Sources of Funds'!$H$37))</f>
        <v/>
      </c>
      <c r="C40" s="1601" t="str">
        <f>IF('Part III-Sources of Funds'!$H$37="","",-FV('Part III-Sources of Funds'!$J$37/12,12,C29/12,B40))</f>
        <v/>
      </c>
      <c r="D40" s="1601" t="str">
        <f>IF('Part III-Sources of Funds'!$H$37="","",-FV('Part III-Sources of Funds'!$J$37/12,12,D29/12,C40))</f>
        <v/>
      </c>
      <c r="E40" s="1601" t="str">
        <f>IF('Part III-Sources of Funds'!$H$37="","",-FV('Part III-Sources of Funds'!$J$37/12,12,E29/12,D40))</f>
        <v/>
      </c>
      <c r="F40" s="1601" t="str">
        <f>IF('Part III-Sources of Funds'!$H$37="","",-FV('Part III-Sources of Funds'!$J$37/12,12,F29/12,E40))</f>
        <v/>
      </c>
      <c r="G40" s="1601" t="str">
        <f>IF('Part III-Sources of Funds'!$H$37="","",-FV('Part III-Sources of Funds'!$J$37/12,12,G29/12,F40))</f>
        <v/>
      </c>
      <c r="H40" s="1601" t="str">
        <f>IF('Part III-Sources of Funds'!$H$37="","",-FV('Part III-Sources of Funds'!$J$37/12,12,H29/12,G40))</f>
        <v/>
      </c>
      <c r="I40" s="1601" t="str">
        <f>IF('Part III-Sources of Funds'!$H$37="","",-FV('Part III-Sources of Funds'!$J$37/12,12,I29/12,H40))</f>
        <v/>
      </c>
      <c r="J40" s="1601" t="str">
        <f>IF('Part III-Sources of Funds'!$H$37="","",-FV('Part III-Sources of Funds'!$J$37/12,12,J29/12,I40))</f>
        <v/>
      </c>
      <c r="K40" s="1601" t="str">
        <f>IF('Part III-Sources of Funds'!$H$37="","",-FV('Part III-Sources of Funds'!$J$37/12,12,K29/12,J40))</f>
        <v/>
      </c>
      <c r="M40" s="1498"/>
      <c r="N40" s="1499"/>
    </row>
    <row r="41" spans="1:14" ht="4.1500000000000004" customHeight="1">
      <c r="B41" s="20"/>
      <c r="C41" s="20"/>
      <c r="D41" s="20"/>
      <c r="E41" s="20"/>
      <c r="F41" s="20"/>
      <c r="G41" s="20"/>
      <c r="H41" s="20"/>
      <c r="I41" s="20"/>
      <c r="J41" s="20"/>
      <c r="K41" s="20"/>
    </row>
    <row r="42" spans="1:14" ht="14.45" customHeight="1">
      <c r="A42" s="16" t="s">
        <v>3260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3420</v>
      </c>
      <c r="N42" s="883"/>
    </row>
    <row r="43" spans="1:14" ht="13.15" customHeight="1">
      <c r="A43" s="21" t="s">
        <v>3165</v>
      </c>
      <c r="B43" s="22">
        <f t="shared" ref="B43:K43" si="15">$B$14*(1+$B$5)^(B42-1)</f>
        <v>710449.45188366435</v>
      </c>
      <c r="C43" s="22">
        <f t="shared" si="15"/>
        <v>724658.44092133746</v>
      </c>
      <c r="D43" s="22">
        <f t="shared" si="15"/>
        <v>739151.60973976436</v>
      </c>
      <c r="E43" s="22">
        <f t="shared" si="15"/>
        <v>753934.64193455968</v>
      </c>
      <c r="F43" s="22">
        <f t="shared" si="15"/>
        <v>769013.33477325086</v>
      </c>
      <c r="G43" s="22">
        <f t="shared" si="15"/>
        <v>784393.6014687157</v>
      </c>
      <c r="H43" s="22">
        <f t="shared" si="15"/>
        <v>800081.47349809017</v>
      </c>
      <c r="I43" s="22">
        <f t="shared" si="15"/>
        <v>816083.10296805203</v>
      </c>
      <c r="J43" s="22">
        <f t="shared" si="15"/>
        <v>832404.76502741291</v>
      </c>
      <c r="K43" s="23">
        <f t="shared" si="15"/>
        <v>849052.86032796116</v>
      </c>
      <c r="M43" s="1493"/>
      <c r="N43" s="1494"/>
    </row>
    <row r="44" spans="1:14" ht="13.15" customHeight="1">
      <c r="A44" s="24" t="s">
        <v>1418</v>
      </c>
      <c r="B44" s="25">
        <f t="shared" ref="B44:K44" si="16">$B$15*(1+$B$5)^(B42-1)</f>
        <v>14208.989037673287</v>
      </c>
      <c r="C44" s="25">
        <f t="shared" si="16"/>
        <v>14493.16881842675</v>
      </c>
      <c r="D44" s="25">
        <f t="shared" si="16"/>
        <v>14783.032194795287</v>
      </c>
      <c r="E44" s="25">
        <f t="shared" si="16"/>
        <v>15078.692838691191</v>
      </c>
      <c r="F44" s="25">
        <f t="shared" si="16"/>
        <v>15380.266695465018</v>
      </c>
      <c r="G44" s="25">
        <f t="shared" si="16"/>
        <v>15687.872029374314</v>
      </c>
      <c r="H44" s="25">
        <f t="shared" si="16"/>
        <v>16001.629469961803</v>
      </c>
      <c r="I44" s="25">
        <f t="shared" si="16"/>
        <v>16321.662059361041</v>
      </c>
      <c r="J44" s="25">
        <f t="shared" si="16"/>
        <v>16648.095300548259</v>
      </c>
      <c r="K44" s="26">
        <f t="shared" si="16"/>
        <v>16981.057206559224</v>
      </c>
      <c r="M44" s="1495"/>
      <c r="N44" s="1496"/>
    </row>
    <row r="45" spans="1:14" ht="13.15" customHeight="1">
      <c r="A45" s="24" t="s">
        <v>3166</v>
      </c>
      <c r="B45" s="25">
        <f t="shared" ref="B45:K45" si="17">-(B43+B44)*$B$8</f>
        <v>-50726.090864493643</v>
      </c>
      <c r="C45" s="25">
        <f t="shared" si="17"/>
        <v>-51740.612681783503</v>
      </c>
      <c r="D45" s="25">
        <f t="shared" si="17"/>
        <v>-52775.424935419185</v>
      </c>
      <c r="E45" s="25">
        <f t="shared" si="17"/>
        <v>-53830.933434127568</v>
      </c>
      <c r="F45" s="25">
        <f t="shared" si="17"/>
        <v>-54907.552102810114</v>
      </c>
      <c r="G45" s="25">
        <f t="shared" si="17"/>
        <v>-56005.703144866311</v>
      </c>
      <c r="H45" s="25">
        <f t="shared" si="17"/>
        <v>-57125.817207763648</v>
      </c>
      <c r="I45" s="25">
        <f t="shared" si="17"/>
        <v>-58268.33355191892</v>
      </c>
      <c r="J45" s="25">
        <f t="shared" si="17"/>
        <v>-59433.70022295729</v>
      </c>
      <c r="K45" s="26">
        <f t="shared" si="17"/>
        <v>-60622.374227416432</v>
      </c>
      <c r="M45" s="1495"/>
      <c r="N45" s="1496"/>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95"/>
      <c r="N46" s="1496"/>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95"/>
      <c r="N47" s="1496"/>
    </row>
    <row r="48" spans="1:14" ht="13.15" customHeight="1">
      <c r="A48" s="24" t="s">
        <v>794</v>
      </c>
      <c r="B48" s="25">
        <f t="shared" ref="B48:K48" si="18">$B$19*(1+$B$6)^(B42-1)</f>
        <v>-422266.36142241466</v>
      </c>
      <c r="C48" s="25">
        <f t="shared" si="18"/>
        <v>-434934.35226508713</v>
      </c>
      <c r="D48" s="25">
        <f t="shared" si="18"/>
        <v>-447982.38283303968</v>
      </c>
      <c r="E48" s="25">
        <f t="shared" si="18"/>
        <v>-461421.85431803082</v>
      </c>
      <c r="F48" s="25">
        <f t="shared" si="18"/>
        <v>-475264.50994757179</v>
      </c>
      <c r="G48" s="25">
        <f t="shared" si="18"/>
        <v>-489522.44524599897</v>
      </c>
      <c r="H48" s="25">
        <f t="shared" si="18"/>
        <v>-504208.11860337888</v>
      </c>
      <c r="I48" s="25">
        <f t="shared" si="18"/>
        <v>-519334.36216148024</v>
      </c>
      <c r="J48" s="25">
        <f t="shared" si="18"/>
        <v>-534914.39302632469</v>
      </c>
      <c r="K48" s="26">
        <f t="shared" si="18"/>
        <v>-550961.82481711439</v>
      </c>
      <c r="M48" s="1495"/>
      <c r="N48" s="1496"/>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-60654</v>
      </c>
      <c r="C49" s="25">
        <f>IF(AND('Part VII-Pro Forma'!$G$8="Yes",'Part VII-Pro Forma'!$G$9="Yes"),"Choose One!",IF('Part VII-Pro Forma'!$G$8="Yes",ROUND((-$K$8*(1+'Part VII-Pro Forma'!$B$6)^('Part VII-Pro Forma'!C42-1)),),IF('Part VII-Pro Forma'!$G$9="Yes",ROUND((-(SUM(C43:C46)*'Part VII-Pro Forma'!$K$9)),),"Choose mgt fee")))</f>
        <v>-61867</v>
      </c>
      <c r="D49" s="25">
        <f>IF(AND('Part VII-Pro Forma'!$G$8="Yes",'Part VII-Pro Forma'!$G$9="Yes"),"Choose One!",IF('Part VII-Pro Forma'!$G$8="Yes",ROUND((-$K$8*(1+'Part VII-Pro Forma'!$B$6)^('Part VII-Pro Forma'!D42-1)),),IF('Part VII-Pro Forma'!$G$9="Yes",ROUND((-(SUM(D43:D46)*'Part VII-Pro Forma'!$K$9)),),"Choose mgt fee")))</f>
        <v>-63104</v>
      </c>
      <c r="E49" s="25">
        <f>IF(AND('Part VII-Pro Forma'!$G$8="Yes",'Part VII-Pro Forma'!$G$9="Yes"),"Choose One!",IF('Part VII-Pro Forma'!$G$8="Yes",ROUND((-$K$8*(1+'Part VII-Pro Forma'!$B$6)^('Part VII-Pro Forma'!E42-1)),),IF('Part VII-Pro Forma'!$G$9="Yes",ROUND((-(SUM(E43:E46)*'Part VII-Pro Forma'!$K$9)),),"Choose mgt fee")))</f>
        <v>-64366</v>
      </c>
      <c r="F49" s="25">
        <f>IF(AND('Part VII-Pro Forma'!$G$8="Yes",'Part VII-Pro Forma'!$G$9="Yes"),"Choose One!",IF('Part VII-Pro Forma'!$G$8="Yes",ROUND((-$K$8*(1+'Part VII-Pro Forma'!$B$6)^('Part VII-Pro Forma'!F42-1)),),IF('Part VII-Pro Forma'!$G$9="Yes",ROUND((-(SUM(F43:F46)*'Part VII-Pro Forma'!$K$9)),),"Choose mgt fee")))</f>
        <v>-65654</v>
      </c>
      <c r="G49" s="25">
        <f>IF(AND('Part VII-Pro Forma'!$G$8="Yes",'Part VII-Pro Forma'!$G$9="Yes"),"Choose One!",IF('Part VII-Pro Forma'!$G$8="Yes",ROUND((-$K$8*(1+'Part VII-Pro Forma'!$B$6)^('Part VII-Pro Forma'!G42-1)),),IF('Part VII-Pro Forma'!$G$9="Yes",ROUND((-(SUM(G43:G46)*'Part VII-Pro Forma'!$K$9)),),"Choose mgt fee")))</f>
        <v>-66967</v>
      </c>
      <c r="H49" s="25">
        <f>IF(AND('Part VII-Pro Forma'!$G$8="Yes",'Part VII-Pro Forma'!$G$9="Yes"),"Choose One!",IF('Part VII-Pro Forma'!$G$8="Yes",ROUND((-$K$8*(1+'Part VII-Pro Forma'!$B$6)^('Part VII-Pro Forma'!H42-1)),),IF('Part VII-Pro Forma'!$G$9="Yes",ROUND((-(SUM(H43:H46)*'Part VII-Pro Forma'!$K$9)),),"Choose mgt fee")))</f>
        <v>-68306</v>
      </c>
      <c r="I49" s="25">
        <f>IF(AND('Part VII-Pro Forma'!$G$8="Yes",'Part VII-Pro Forma'!$G$9="Yes"),"Choose One!",IF('Part VII-Pro Forma'!$G$8="Yes",ROUND((-$K$8*(1+'Part VII-Pro Forma'!$B$6)^('Part VII-Pro Forma'!I42-1)),),IF('Part VII-Pro Forma'!$G$9="Yes",ROUND((-(SUM(I43:I46)*'Part VII-Pro Forma'!$K$9)),),"Choose mgt fee")))</f>
        <v>-69672</v>
      </c>
      <c r="J49" s="25">
        <f>IF(AND('Part VII-Pro Forma'!$G$8="Yes",'Part VII-Pro Forma'!$G$9="Yes"),"Choose One!",IF('Part VII-Pro Forma'!$G$8="Yes",ROUND((-$K$8*(1+'Part VII-Pro Forma'!$B$6)^('Part VII-Pro Forma'!J42-1)),),IF('Part VII-Pro Forma'!$G$9="Yes",ROUND((-(SUM(J43:J46)*'Part VII-Pro Forma'!$K$9)),),"Choose mgt fee")))</f>
        <v>-71066</v>
      </c>
      <c r="K49" s="25">
        <f>IF(AND('Part VII-Pro Forma'!$G$8="Yes",'Part VII-Pro Forma'!$G$9="Yes"),"Choose One!",IF('Part VII-Pro Forma'!$G$8="Yes",ROUND((-$K$8*(1+'Part VII-Pro Forma'!$B$6)^('Part VII-Pro Forma'!K42-1)),),IF('Part VII-Pro Forma'!$G$9="Yes",ROUND((-(SUM(K43:K46)*'Part VII-Pro Forma'!$K$9)),),"Choose mgt fee")))</f>
        <v>-72487</v>
      </c>
      <c r="M49" s="1495"/>
      <c r="N49" s="1496"/>
    </row>
    <row r="50" spans="1:14" ht="13.15" customHeight="1">
      <c r="A50" s="24" t="s">
        <v>1622</v>
      </c>
      <c r="B50" s="25">
        <f t="shared" ref="B50:K50" si="19">$B$21*(1+$B$7)^(B42-1)</f>
        <v>-24862.453017866254</v>
      </c>
      <c r="C50" s="25">
        <f t="shared" si="19"/>
        <v>-25608.32660840224</v>
      </c>
      <c r="D50" s="25">
        <f t="shared" si="19"/>
        <v>-26376.576406654305</v>
      </c>
      <c r="E50" s="25">
        <f t="shared" si="19"/>
        <v>-27167.873698853931</v>
      </c>
      <c r="F50" s="25">
        <f t="shared" si="19"/>
        <v>-27982.909909819555</v>
      </c>
      <c r="G50" s="25">
        <f t="shared" si="19"/>
        <v>-28822.397207114143</v>
      </c>
      <c r="H50" s="25">
        <f t="shared" si="19"/>
        <v>-29687.069123327561</v>
      </c>
      <c r="I50" s="25">
        <f t="shared" si="19"/>
        <v>-30577.681197027388</v>
      </c>
      <c r="J50" s="25">
        <f t="shared" si="19"/>
        <v>-31495.011632938211</v>
      </c>
      <c r="K50" s="26">
        <f t="shared" si="19"/>
        <v>-32439.861981926355</v>
      </c>
      <c r="M50" s="1495"/>
      <c r="N50" s="1496"/>
    </row>
    <row r="51" spans="1:14" ht="13.15" customHeight="1">
      <c r="A51" s="24" t="s">
        <v>1623</v>
      </c>
      <c r="B51" s="25">
        <f t="shared" ref="B51:K51" si="20">SUM(B43:B50)</f>
        <v>166149.53561656317</v>
      </c>
      <c r="C51" s="25">
        <f t="shared" si="20"/>
        <v>165001.31818449136</v>
      </c>
      <c r="D51" s="25">
        <f t="shared" si="20"/>
        <v>163696.25775944645</v>
      </c>
      <c r="E51" s="25">
        <f t="shared" si="20"/>
        <v>162226.67332223849</v>
      </c>
      <c r="F51" s="25">
        <f t="shared" si="20"/>
        <v>160584.62950851436</v>
      </c>
      <c r="G51" s="25">
        <f t="shared" si="20"/>
        <v>158763.92790011066</v>
      </c>
      <c r="H51" s="25">
        <f t="shared" si="20"/>
        <v>156756.09803358192</v>
      </c>
      <c r="I51" s="25">
        <f t="shared" si="20"/>
        <v>154552.38811698643</v>
      </c>
      <c r="J51" s="25">
        <f t="shared" si="20"/>
        <v>152143.75544574097</v>
      </c>
      <c r="K51" s="26">
        <f t="shared" si="20"/>
        <v>149522.85650806315</v>
      </c>
      <c r="M51" s="1495"/>
      <c r="N51" s="1496"/>
    </row>
    <row r="52" spans="1:14" ht="13.15" customHeight="1">
      <c r="A52" s="24" t="str">
        <f>$A23</f>
        <v>Mortgage A</v>
      </c>
      <c r="B52" s="1598">
        <f>IF('Part III-Sources of Funds'!$M$32="", 0,-'Part III-Sources of Funds'!$M$32)*0</f>
        <v>0</v>
      </c>
      <c r="C52" s="1598">
        <f>IF('Part III-Sources of Funds'!$M$32="", 0,-'Part III-Sources of Funds'!$M$32)*0</f>
        <v>0</v>
      </c>
      <c r="D52" s="1598">
        <f>IF('Part III-Sources of Funds'!$M$32="", 0,-'Part III-Sources of Funds'!$M$32)*0</f>
        <v>0</v>
      </c>
      <c r="E52" s="1598">
        <f>IF('Part III-Sources of Funds'!$M$32="", 0,-'Part III-Sources of Funds'!$M$32)*0</f>
        <v>0</v>
      </c>
      <c r="F52" s="1598">
        <f>IF('Part III-Sources of Funds'!$M$32="", 0,-'Part III-Sources of Funds'!$M$32)*0</f>
        <v>0</v>
      </c>
      <c r="G52" s="1598">
        <f>IF('Part III-Sources of Funds'!$M$32="", 0,-'Part III-Sources of Funds'!$M$32)*0</f>
        <v>0</v>
      </c>
      <c r="H52" s="1598">
        <f>IF('Part III-Sources of Funds'!$M$32="", 0,-'Part III-Sources of Funds'!$M$32)*0</f>
        <v>0</v>
      </c>
      <c r="I52" s="1598">
        <f>IF('Part III-Sources of Funds'!$M$32="", 0,-'Part III-Sources of Funds'!$M$32)*0</f>
        <v>0</v>
      </c>
      <c r="J52" s="1598">
        <f>IF('Part III-Sources of Funds'!$M$32="", 0,-'Part III-Sources of Funds'!$M$32)*0</f>
        <v>0</v>
      </c>
      <c r="K52" s="1598">
        <f>IF('Part III-Sources of Funds'!$M$32="", 0,-'Part III-Sources of Funds'!$M$32)*0</f>
        <v>0</v>
      </c>
      <c r="M52" s="1495"/>
      <c r="N52" s="1496"/>
    </row>
    <row r="53" spans="1:14" ht="13.15" customHeight="1">
      <c r="A53" s="24" t="str">
        <f>$A24</f>
        <v>Mortgage B</v>
      </c>
      <c r="B53" s="1599">
        <f>IF('Part III-Sources of Funds'!$M$33="", 0,-'Part III-Sources of Funds'!$M$33)*0</f>
        <v>0</v>
      </c>
      <c r="C53" s="1599">
        <f>IF('Part III-Sources of Funds'!$M$33="", 0,-'Part III-Sources of Funds'!$M$33)*0</f>
        <v>0</v>
      </c>
      <c r="D53" s="1599">
        <f>IF('Part III-Sources of Funds'!$M$33="", 0,-'Part III-Sources of Funds'!$M$33)*0</f>
        <v>0</v>
      </c>
      <c r="E53" s="1599">
        <f>IF('Part III-Sources of Funds'!$M$33="", 0,-'Part III-Sources of Funds'!$M$33)*0</f>
        <v>0</v>
      </c>
      <c r="F53" s="1599">
        <f>IF('Part III-Sources of Funds'!$M$33="", 0,-'Part III-Sources of Funds'!$M$33)*0</f>
        <v>0</v>
      </c>
      <c r="G53" s="1599">
        <f>IF('Part III-Sources of Funds'!$M$33="", 0,-'Part III-Sources of Funds'!$M$33)*0</f>
        <v>0</v>
      </c>
      <c r="H53" s="1599">
        <f>IF('Part III-Sources of Funds'!$M$33="", 0,-'Part III-Sources of Funds'!$M$33)*0</f>
        <v>0</v>
      </c>
      <c r="I53" s="1599">
        <f>IF('Part III-Sources of Funds'!$M$33="", 0,-'Part III-Sources of Funds'!$M$33)*0</f>
        <v>0</v>
      </c>
      <c r="J53" s="1599">
        <f>IF('Part III-Sources of Funds'!$M$33="", 0,-'Part III-Sources of Funds'!$M$33)*0</f>
        <v>0</v>
      </c>
      <c r="K53" s="1599">
        <f>IF('Part III-Sources of Funds'!$M$33="", 0,-'Part III-Sources of Funds'!$M$33)*0</f>
        <v>0</v>
      </c>
      <c r="M53" s="1495"/>
      <c r="N53" s="1496"/>
    </row>
    <row r="54" spans="1:14" ht="13.15" customHeight="1">
      <c r="A54" s="24" t="str">
        <f>$A25</f>
        <v>Mortgage C</v>
      </c>
      <c r="B54" s="1599">
        <f>IF('Part III-Sources of Funds'!$M$34="", 0,-'Part III-Sources of Funds'!$M$34)*0</f>
        <v>0</v>
      </c>
      <c r="C54" s="1599">
        <f>IF('Part III-Sources of Funds'!$M$34="", 0,-'Part III-Sources of Funds'!$M$34)*0</f>
        <v>0</v>
      </c>
      <c r="D54" s="1599">
        <f>IF('Part III-Sources of Funds'!$M$34="", 0,-'Part III-Sources of Funds'!$M$34)*0</f>
        <v>0</v>
      </c>
      <c r="E54" s="1599">
        <f>IF('Part III-Sources of Funds'!$M$34="", 0,-'Part III-Sources of Funds'!$M$34)*0</f>
        <v>0</v>
      </c>
      <c r="F54" s="1599">
        <f>IF('Part III-Sources of Funds'!$M$34="", 0,-'Part III-Sources of Funds'!$M$34)*0</f>
        <v>0</v>
      </c>
      <c r="G54" s="1599">
        <f>IF('Part III-Sources of Funds'!$M$34="", 0,-'Part III-Sources of Funds'!$M$34)*0</f>
        <v>0</v>
      </c>
      <c r="H54" s="1599">
        <f>IF('Part III-Sources of Funds'!$M$34="", 0,-'Part III-Sources of Funds'!$M$34)*0</f>
        <v>0</v>
      </c>
      <c r="I54" s="1599">
        <f>IF('Part III-Sources of Funds'!$M$34="", 0,-'Part III-Sources of Funds'!$M$34)*0</f>
        <v>0</v>
      </c>
      <c r="J54" s="1599">
        <f>IF('Part III-Sources of Funds'!$M$34="", 0,-'Part III-Sources of Funds'!$M$34)*0</f>
        <v>0</v>
      </c>
      <c r="K54" s="1599">
        <f>IF('Part III-Sources of Funds'!$M$34="", 0,-'Part III-Sources of Funds'!$M$34)*0</f>
        <v>0</v>
      </c>
      <c r="M54" s="1495"/>
      <c r="N54" s="1496"/>
    </row>
    <row r="55" spans="1:14" ht="13.15" customHeight="1">
      <c r="A55" s="24" t="str">
        <f>$A26</f>
        <v>D/S Other Source</v>
      </c>
      <c r="B55" s="1599">
        <f>IF('Part III-Sources of Funds'!$M$35="", 0,-'Part III-Sources of Funds'!$M$35)</f>
        <v>0</v>
      </c>
      <c r="C55" s="1599">
        <f>IF('Part III-Sources of Funds'!$M$35="", 0,-'Part III-Sources of Funds'!$M$35)</f>
        <v>0</v>
      </c>
      <c r="D55" s="1599">
        <f>IF('Part III-Sources of Funds'!$M$35="", 0,-'Part III-Sources of Funds'!$M$35)</f>
        <v>0</v>
      </c>
      <c r="E55" s="1599">
        <f>IF('Part III-Sources of Funds'!$M$35="", 0,-'Part III-Sources of Funds'!$M$35)</f>
        <v>0</v>
      </c>
      <c r="F55" s="1599">
        <f>IF('Part III-Sources of Funds'!$M$35="", 0,-'Part III-Sources of Funds'!$M$35)</f>
        <v>0</v>
      </c>
      <c r="G55" s="1599">
        <f>IF('Part III-Sources of Funds'!$M$35="", 0,-'Part III-Sources of Funds'!$M$35)</f>
        <v>0</v>
      </c>
      <c r="H55" s="1599">
        <f>IF('Part III-Sources of Funds'!$M$35="", 0,-'Part III-Sources of Funds'!$M$35)</f>
        <v>0</v>
      </c>
      <c r="I55" s="1599">
        <f>IF('Part III-Sources of Funds'!$M$35="", 0,-'Part III-Sources of Funds'!$M$35)</f>
        <v>0</v>
      </c>
      <c r="J55" s="1599">
        <f>IF('Part III-Sources of Funds'!$M$35="", 0,-'Part III-Sources of Funds'!$M$35)</f>
        <v>0</v>
      </c>
      <c r="K55" s="1599">
        <f>IF('Part III-Sources of Funds'!$M$35="", 0,-'Part III-Sources of Funds'!$M$35)</f>
        <v>0</v>
      </c>
      <c r="M55" s="1495"/>
      <c r="N55" s="1496"/>
    </row>
    <row r="56" spans="1:14" ht="13.15" customHeight="1">
      <c r="A56" s="24" t="s">
        <v>1150</v>
      </c>
      <c r="B56" s="1600"/>
      <c r="C56" s="1600"/>
      <c r="D56" s="1600"/>
      <c r="E56" s="1600"/>
      <c r="F56" s="1600"/>
      <c r="G56" s="1600"/>
      <c r="H56" s="1600"/>
      <c r="I56" s="1600"/>
      <c r="J56" s="1600"/>
      <c r="K56" s="1600"/>
      <c r="M56" s="1495"/>
      <c r="N56" s="1496"/>
    </row>
    <row r="57" spans="1:14" ht="13.15" customHeight="1">
      <c r="A57" s="24" t="s">
        <v>1578</v>
      </c>
      <c r="B57" s="1599">
        <f>+K28*0+K28*1.03</f>
        <v>-6047.6237070485513</v>
      </c>
      <c r="C57" s="1599">
        <f>+B57*0+B57*1.03</f>
        <v>-6229.0524182600084</v>
      </c>
      <c r="D57" s="1599">
        <f t="shared" ref="D57:K57" si="21">+C57*0+C57*1.03</f>
        <v>-6415.9239908078089</v>
      </c>
      <c r="E57" s="1599">
        <f t="shared" si="21"/>
        <v>-6608.4017105320436</v>
      </c>
      <c r="F57" s="1599">
        <f t="shared" si="21"/>
        <v>-6806.6537618480052</v>
      </c>
      <c r="G57" s="1599">
        <f t="shared" si="21"/>
        <v>-7010.8533747034453</v>
      </c>
      <c r="H57" s="1599">
        <f t="shared" si="21"/>
        <v>-7221.1789759445492</v>
      </c>
      <c r="I57" s="1599">
        <f t="shared" si="21"/>
        <v>-7437.814345222886</v>
      </c>
      <c r="J57" s="1599">
        <f t="shared" si="21"/>
        <v>-7660.9487755795726</v>
      </c>
      <c r="K57" s="1599">
        <f t="shared" si="21"/>
        <v>-7890.7772388469602</v>
      </c>
      <c r="M57" s="1495"/>
      <c r="N57" s="1496"/>
    </row>
    <row r="58" spans="1:14" ht="13.15" customHeight="1">
      <c r="A58" s="24" t="s">
        <v>1624</v>
      </c>
      <c r="B58" s="1601">
        <f>IF('Part III-Sources of Funds'!$M$37="", 0,-'Part III-Sources of Funds'!$M$37)</f>
        <v>0</v>
      </c>
      <c r="C58" s="1601">
        <f>IF('Part III-Sources of Funds'!$M$37="", 0,-'Part III-Sources of Funds'!$M$37)</f>
        <v>0</v>
      </c>
      <c r="D58" s="1601">
        <f>IF('Part III-Sources of Funds'!$M$37="", 0,-'Part III-Sources of Funds'!$M$37)</f>
        <v>0</v>
      </c>
      <c r="E58" s="1601">
        <f>IF('Part III-Sources of Funds'!$M$37="", 0,-'Part III-Sources of Funds'!$M$37)</f>
        <v>0</v>
      </c>
      <c r="F58" s="1601">
        <f>IF('Part III-Sources of Funds'!$M$37="", 0,-'Part III-Sources of Funds'!$M$37)</f>
        <v>0</v>
      </c>
      <c r="G58" s="1601">
        <f>IF('Part III-Sources of Funds'!$M$37="", 0,-'Part III-Sources of Funds'!$M$37)</f>
        <v>0</v>
      </c>
      <c r="H58" s="1601">
        <f>IF('Part III-Sources of Funds'!$M$37="", 0,-'Part III-Sources of Funds'!$M$37)</f>
        <v>0</v>
      </c>
      <c r="I58" s="1601">
        <f>IF('Part III-Sources of Funds'!$M$37="", 0,-'Part III-Sources of Funds'!$M$37)</f>
        <v>0</v>
      </c>
      <c r="J58" s="1601">
        <f>IF('Part III-Sources of Funds'!$M$37="", 0,-'Part III-Sources of Funds'!$M$37)</f>
        <v>0</v>
      </c>
      <c r="K58" s="1599">
        <f>IF('Part III-Sources of Funds'!$M$37="", 0,-'Part III-Sources of Funds'!$M$37)</f>
        <v>0</v>
      </c>
      <c r="M58" s="1495"/>
      <c r="N58" s="1496"/>
    </row>
    <row r="59" spans="1:14" ht="13.15" customHeight="1">
      <c r="A59" s="24" t="s">
        <v>1579</v>
      </c>
      <c r="B59" s="25">
        <f t="shared" ref="B59:K59" si="22">SUM(B51:B58)</f>
        <v>160101.91190951463</v>
      </c>
      <c r="C59" s="25">
        <f t="shared" si="22"/>
        <v>158772.26576623134</v>
      </c>
      <c r="D59" s="25">
        <f t="shared" si="22"/>
        <v>157280.33376863864</v>
      </c>
      <c r="E59" s="25">
        <f t="shared" si="22"/>
        <v>155618.27161170644</v>
      </c>
      <c r="F59" s="25">
        <f t="shared" si="22"/>
        <v>153777.97574666637</v>
      </c>
      <c r="G59" s="25">
        <f t="shared" si="22"/>
        <v>151753.07452540722</v>
      </c>
      <c r="H59" s="25">
        <f t="shared" si="22"/>
        <v>149534.91905763737</v>
      </c>
      <c r="I59" s="25">
        <f t="shared" si="22"/>
        <v>147114.57377176353</v>
      </c>
      <c r="J59" s="25">
        <f t="shared" si="22"/>
        <v>144482.8066701614</v>
      </c>
      <c r="K59" s="23">
        <f t="shared" si="22"/>
        <v>141632.07926921619</v>
      </c>
      <c r="M59" s="1495"/>
      <c r="N59" s="1496"/>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495"/>
      <c r="N60" s="1496"/>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95"/>
      <c r="N61" s="1496"/>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95"/>
      <c r="N62" s="1496"/>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95"/>
      <c r="N63" s="1496"/>
    </row>
    <row r="64" spans="1:14" ht="13.15" customHeight="1">
      <c r="A64" s="24" t="s">
        <v>1158</v>
      </c>
      <c r="B64" s="341">
        <f>IF(OR(B49="Choose mgt fee",B49="Choose One!"),"",(B43+B44+B45+B46+B47) / -(B48+B49+B50))</f>
        <v>1.3272059055399632</v>
      </c>
      <c r="C64" s="341">
        <f t="shared" ref="C64:K64" si="27">IF(OR(C49="Choose mgt fee",C49="Choose One!"),"",(C43+C44+C45+C46+C47) / -(C48+C49+C50))</f>
        <v>1.3158465948416116</v>
      </c>
      <c r="D64" s="341">
        <f t="shared" si="27"/>
        <v>1.3045721662214911</v>
      </c>
      <c r="E64" s="341">
        <f t="shared" si="27"/>
        <v>1.2933809437222881</v>
      </c>
      <c r="F64" s="341">
        <f t="shared" si="27"/>
        <v>1.2822714514384033</v>
      </c>
      <c r="G64" s="341">
        <f t="shared" si="27"/>
        <v>1.2712467378666248</v>
      </c>
      <c r="H64" s="341">
        <f t="shared" si="27"/>
        <v>1.2603051957192777</v>
      </c>
      <c r="I64" s="341">
        <f t="shared" si="27"/>
        <v>1.2494453977207387</v>
      </c>
      <c r="J64" s="341">
        <f t="shared" si="27"/>
        <v>1.2386660792459332</v>
      </c>
      <c r="K64" s="342">
        <f t="shared" si="27"/>
        <v>1.22796986671288</v>
      </c>
      <c r="M64" s="1495"/>
      <c r="N64" s="1496"/>
    </row>
    <row r="65" spans="1:14" ht="13.15" customHeight="1">
      <c r="A65" s="564" t="s">
        <v>3415</v>
      </c>
      <c r="B65" s="1602">
        <f>IF('Part III-Sources of Funds'!$H$32="","",-FV('Part III-Sources of Funds'!$J$32/12,12,B52/12,K36))</f>
        <v>-2.0519094779242733E-9</v>
      </c>
      <c r="C65" s="1602">
        <f>IF('Part III-Sources of Funds'!$H$32="","",-FV('Part III-Sources of Funds'!$J$32/12,12,C52/12,B65))</f>
        <v>-2.200242179993096E-9</v>
      </c>
      <c r="D65" s="1602">
        <f>IF('Part III-Sources of Funds'!$H$32="","",-FV('Part III-Sources of Funds'!$J$32/12,12,D52/12,C65))</f>
        <v>-2.3592978650880974E-9</v>
      </c>
      <c r="E65" s="1602">
        <f>IF('Part III-Sources of Funds'!$H$32="","",-FV('Part III-Sources of Funds'!$J$32/12,12,E52/12,D65))</f>
        <v>-2.5298516985192607E-9</v>
      </c>
      <c r="F65" s="1602">
        <f>IF('Part III-Sources of Funds'!$H$32="","",-FV('Part III-Sources of Funds'!$J$32/12,12,F52/12,E65))</f>
        <v>-2.712734882359504E-9</v>
      </c>
      <c r="G65" s="1602">
        <f>IF('Part III-Sources of Funds'!$H$32="","",-FV('Part III-Sources of Funds'!$J$32/12,12,G52/12,F65))</f>
        <v>-2.9088387063468043E-9</v>
      </c>
      <c r="H65" s="1602">
        <f>IF('Part III-Sources of Funds'!$H$32="","",-FV('Part III-Sources of Funds'!$J$32/12,12,H52/12,G65))</f>
        <v>-3.1191188916263633E-9</v>
      </c>
      <c r="I65" s="1602">
        <f>IF('Part III-Sources of Funds'!$H$32="","",-FV('Part III-Sources of Funds'!$J$32/12,12,I52/12,H65))</f>
        <v>-3.3446002485022459E-9</v>
      </c>
      <c r="J65" s="1602">
        <f>IF('Part III-Sources of Funds'!$H$32="","",-FV('Part III-Sources of Funds'!$J$32/12,12,J52/12,I65))</f>
        <v>-3.5863816708982598E-9</v>
      </c>
      <c r="K65" s="1602">
        <f>IF('Part III-Sources of Funds'!$H$32="","",-FV('Part III-Sources of Funds'!$J$32/12,12,K52/12,J65))</f>
        <v>-3.8456414918688171E-9</v>
      </c>
      <c r="M65" s="1495"/>
      <c r="N65" s="1496"/>
    </row>
    <row r="66" spans="1:14" ht="13.15" customHeight="1">
      <c r="A66" s="564" t="s">
        <v>3416</v>
      </c>
      <c r="B66" s="1599">
        <f>IF('Part III-Sources of Funds'!$H$33="","",-FV('Part III-Sources of Funds'!$J$33/12,12,B53/12,K37))</f>
        <v>-1.0408902640817602E-8</v>
      </c>
      <c r="C66" s="1599">
        <f>IF('Part III-Sources of Funds'!$H$33="","",-FV('Part III-Sources of Funds'!$J$33/12,12,C53/12,B66))</f>
        <v>-1.066680397491717E-8</v>
      </c>
      <c r="D66" s="1599">
        <f>IF('Part III-Sources of Funds'!$H$33="","",-FV('Part III-Sources of Funds'!$J$33/12,12,D53/12,C66))</f>
        <v>-1.0931095329216321E-8</v>
      </c>
      <c r="E66" s="1599">
        <f>IF('Part III-Sources of Funds'!$H$33="","",-FV('Part III-Sources of Funds'!$J$33/12,12,E53/12,D66))</f>
        <v>-1.1201935029216917E-8</v>
      </c>
      <c r="F66" s="1599">
        <f>IF('Part III-Sources of Funds'!$H$33="","",-FV('Part III-Sources of Funds'!$J$33/12,12,F53/12,E66))</f>
        <v>-1.1479485323251062E-8</v>
      </c>
      <c r="G66" s="1599">
        <f>IF('Part III-Sources of Funds'!$H$33="","",-FV('Part III-Sources of Funds'!$J$33/12,12,G53/12,F66))</f>
        <v>-1.1763912479677063E-8</v>
      </c>
      <c r="H66" s="1599">
        <f>IF('Part III-Sources of Funds'!$H$33="","",-FV('Part III-Sources of Funds'!$J$33/12,12,H53/12,G66))</f>
        <v>-1.2055386886483596E-8</v>
      </c>
      <c r="I66" s="1599">
        <f>IF('Part III-Sources of Funds'!$H$33="","",-FV('Part III-Sources of Funds'!$J$33/12,12,I53/12,H66))</f>
        <v>-1.2354083153361766E-8</v>
      </c>
      <c r="J66" s="1599">
        <f>IF('Part III-Sources of Funds'!$H$33="","",-FV('Part III-Sources of Funds'!$J$33/12,12,J53/12,I66))</f>
        <v>-1.2660180216306216E-8</v>
      </c>
      <c r="K66" s="1599">
        <f>IF('Part III-Sources of Funds'!$H$33="","",-FV('Part III-Sources of Funds'!$J$33/12,12,K53/12,J66))</f>
        <v>-1.2973861444807924E-8</v>
      </c>
      <c r="M66" s="1495"/>
      <c r="N66" s="1496"/>
    </row>
    <row r="67" spans="1:14" ht="13.15" customHeight="1">
      <c r="A67" s="564" t="s">
        <v>3417</v>
      </c>
      <c r="B67" s="1599">
        <f>IF('Part III-Sources of Funds'!$H$34="","",-FV('Part III-Sources of Funds'!$J$34/12,12,B54/12,K38))</f>
        <v>-2.9498305864220237E-8</v>
      </c>
      <c r="C67" s="1599">
        <f>IF('Part III-Sources of Funds'!$H$34="","",-FV('Part III-Sources of Funds'!$J$34/12,12,C54/12,B67))</f>
        <v>-2.9646135864849531E-8</v>
      </c>
      <c r="D67" s="1599">
        <f>IF('Part III-Sources of Funds'!$H$34="","",-FV('Part III-Sources of Funds'!$J$34/12,12,D54/12,C67))</f>
        <v>-2.9794706711722219E-8</v>
      </c>
      <c r="E67" s="1599">
        <f>IF('Part III-Sources of Funds'!$H$34="","",-FV('Part III-Sources of Funds'!$J$34/12,12,E54/12,D67))</f>
        <v>-2.9944022117570185E-8</v>
      </c>
      <c r="F67" s="1599">
        <f>IF('Part III-Sources of Funds'!$H$34="","",-FV('Part III-Sources of Funds'!$J$34/12,12,F54/12,E67))</f>
        <v>-3.0094085813731571E-8</v>
      </c>
      <c r="G67" s="1599">
        <f>IF('Part III-Sources of Funds'!$H$34="","",-FV('Part III-Sources of Funds'!$J$34/12,12,G54/12,F67))</f>
        <v>-3.024490155024402E-8</v>
      </c>
      <c r="H67" s="1599">
        <f>IF('Part III-Sources of Funds'!$H$34="","",-FV('Part III-Sources of Funds'!$J$34/12,12,H54/12,G67))</f>
        <v>-3.0396473095938398E-8</v>
      </c>
      <c r="I67" s="1599">
        <f>IF('Part III-Sources of Funds'!$H$34="","",-FV('Part III-Sources of Funds'!$J$34/12,12,I54/12,H67))</f>
        <v>-3.054880423853297E-8</v>
      </c>
      <c r="J67" s="1599">
        <f>IF('Part III-Sources of Funds'!$H$34="","",-FV('Part III-Sources of Funds'!$J$34/12,12,J54/12,I67))</f>
        <v>-3.0701898784728049E-8</v>
      </c>
      <c r="K67" s="1599">
        <f>IF('Part III-Sources of Funds'!$H$34="","",-FV('Part III-Sources of Funds'!$J$34/12,12,K54/12,J67))</f>
        <v>-3.0855760560301136E-8</v>
      </c>
      <c r="M67" s="1495"/>
      <c r="N67" s="1496"/>
    </row>
    <row r="68" spans="1:14" ht="13.15" customHeight="1">
      <c r="A68" s="24" t="s">
        <v>1176</v>
      </c>
      <c r="B68" s="1599" t="str">
        <f>IF('Part III-Sources of Funds'!$H$35="","",-FV('Part III-Sources of Funds'!$J$35/12,12,B55/12,K39))</f>
        <v/>
      </c>
      <c r="C68" s="1599" t="str">
        <f>IF('Part III-Sources of Funds'!$H$35="","",-FV('Part III-Sources of Funds'!$J$35/12,12,C55/12,B68))</f>
        <v/>
      </c>
      <c r="D68" s="1599" t="str">
        <f>IF('Part III-Sources of Funds'!$H$35="","",-FV('Part III-Sources of Funds'!$J$35/12,12,D55/12,C68))</f>
        <v/>
      </c>
      <c r="E68" s="1599" t="str">
        <f>IF('Part III-Sources of Funds'!$H$35="","",-FV('Part III-Sources of Funds'!$J$35/12,12,E55/12,D68))</f>
        <v/>
      </c>
      <c r="F68" s="1599" t="str">
        <f>IF('Part III-Sources of Funds'!$H$35="","",-FV('Part III-Sources of Funds'!$J$35/12,12,F55/12,E68))</f>
        <v/>
      </c>
      <c r="G68" s="1599" t="str">
        <f>IF('Part III-Sources of Funds'!$H$35="","",-FV('Part III-Sources of Funds'!$J$35/12,12,G55/12,F68))</f>
        <v/>
      </c>
      <c r="H68" s="1599" t="str">
        <f>IF('Part III-Sources of Funds'!$H$35="","",-FV('Part III-Sources of Funds'!$J$35/12,12,H55/12,G68))</f>
        <v/>
      </c>
      <c r="I68" s="1599" t="str">
        <f>IF('Part III-Sources of Funds'!$H$35="","",-FV('Part III-Sources of Funds'!$J$35/12,12,I55/12,H68))</f>
        <v/>
      </c>
      <c r="J68" s="1599" t="str">
        <f>IF('Part III-Sources of Funds'!$H$35="","",-FV('Part III-Sources of Funds'!$J$35/12,12,J55/12,I68))</f>
        <v/>
      </c>
      <c r="K68" s="1599" t="str">
        <f>IF('Part III-Sources of Funds'!$H$35="","",-FV('Part III-Sources of Funds'!$J$35/12,12,K55/12,J68))</f>
        <v/>
      </c>
      <c r="M68" s="1495"/>
      <c r="N68" s="1496"/>
    </row>
    <row r="69" spans="1:14" ht="13.15" customHeight="1">
      <c r="A69" s="29" t="s">
        <v>1659</v>
      </c>
      <c r="B69" s="1601" t="str">
        <f>IF('Part III-Sources of Funds'!$H$37="","",-FV('Part III-Sources of Funds'!$J$37/12,12,B58/12,K40))</f>
        <v/>
      </c>
      <c r="C69" s="1601" t="str">
        <f>IF('Part III-Sources of Funds'!$H$37="","",-FV('Part III-Sources of Funds'!$J$37/12,12,C58/12,B69))</f>
        <v/>
      </c>
      <c r="D69" s="1601" t="str">
        <f>IF('Part III-Sources of Funds'!$H$37="","",-FV('Part III-Sources of Funds'!$J$37/12,12,D58/12,C69))</f>
        <v/>
      </c>
      <c r="E69" s="1601" t="str">
        <f>IF('Part III-Sources of Funds'!$H$37="","",-FV('Part III-Sources of Funds'!$J$37/12,12,E58/12,D69))</f>
        <v/>
      </c>
      <c r="F69" s="1601" t="str">
        <f>IF('Part III-Sources of Funds'!$H$37="","",-FV('Part III-Sources of Funds'!$J$37/12,12,F58/12,E69))</f>
        <v/>
      </c>
      <c r="G69" s="1601" t="str">
        <f>IF('Part III-Sources of Funds'!$H$37="","",-FV('Part III-Sources of Funds'!$J$37/12,12,G58/12,F69))</f>
        <v/>
      </c>
      <c r="H69" s="1601" t="str">
        <f>IF('Part III-Sources of Funds'!$H$37="","",-FV('Part III-Sources of Funds'!$J$37/12,12,H58/12,G69))</f>
        <v/>
      </c>
      <c r="I69" s="1601" t="str">
        <f>IF('Part III-Sources of Funds'!$H$37="","",-FV('Part III-Sources of Funds'!$J$37/12,12,I58/12,H69))</f>
        <v/>
      </c>
      <c r="J69" s="1601" t="str">
        <f>IF('Part III-Sources of Funds'!$H$37="","",-FV('Part III-Sources of Funds'!$J$37/12,12,J58/12,I69))</f>
        <v/>
      </c>
      <c r="K69" s="1601" t="str">
        <f>IF('Part III-Sources of Funds'!$H$37="","",-FV('Part III-Sources of Funds'!$J$37/12,12,K58/12,J69))</f>
        <v/>
      </c>
      <c r="M69" s="1498"/>
      <c r="N69" s="1499"/>
    </row>
    <row r="70" spans="1:14" ht="4.1500000000000004" customHeight="1">
      <c r="B70" s="20"/>
      <c r="C70" s="20"/>
      <c r="D70" s="20"/>
      <c r="E70" s="20"/>
      <c r="F70" s="20"/>
      <c r="G70" s="20"/>
      <c r="H70" s="20"/>
      <c r="I70" s="20"/>
      <c r="J70" s="20"/>
      <c r="K70" s="20"/>
    </row>
    <row r="71" spans="1:14" ht="14.45" customHeight="1">
      <c r="A71" s="16" t="s">
        <v>3260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3421</v>
      </c>
      <c r="N71" s="883"/>
    </row>
    <row r="72" spans="1:14" ht="13.15" customHeight="1">
      <c r="A72" s="21" t="s">
        <v>3165</v>
      </c>
      <c r="B72" s="22">
        <f t="shared" ref="B72:K72" si="29">$B$14*(1+$B$5)^(B71-1)</f>
        <v>866033.9175345205</v>
      </c>
      <c r="C72" s="22">
        <f t="shared" si="29"/>
        <v>883354.5958852109</v>
      </c>
      <c r="D72" s="22">
        <f t="shared" si="29"/>
        <v>901021.68780291511</v>
      </c>
      <c r="E72" s="22">
        <f t="shared" si="29"/>
        <v>919042.12155897322</v>
      </c>
      <c r="F72" s="22">
        <f t="shared" si="29"/>
        <v>937422.96399015281</v>
      </c>
      <c r="G72" s="22">
        <f t="shared" si="29"/>
        <v>956171.42326995579</v>
      </c>
      <c r="H72" s="22">
        <f t="shared" si="29"/>
        <v>975294.85173535498</v>
      </c>
      <c r="I72" s="22">
        <f t="shared" si="29"/>
        <v>994800.748770062</v>
      </c>
      <c r="J72" s="22">
        <f t="shared" si="29"/>
        <v>1014696.7637454635</v>
      </c>
      <c r="K72" s="23">
        <f t="shared" si="29"/>
        <v>1034990.6990203725</v>
      </c>
      <c r="M72" s="1493"/>
      <c r="N72" s="1494"/>
    </row>
    <row r="73" spans="1:14" ht="13.15" customHeight="1">
      <c r="A73" s="24" t="s">
        <v>1418</v>
      </c>
      <c r="B73" s="25">
        <f t="shared" ref="B73:K73" si="30">$B$15*(1+$B$5)^(B71-1)</f>
        <v>17320.67835069041</v>
      </c>
      <c r="C73" s="25">
        <f t="shared" si="30"/>
        <v>17667.091917704216</v>
      </c>
      <c r="D73" s="25">
        <f t="shared" si="30"/>
        <v>18020.433756058301</v>
      </c>
      <c r="E73" s="25">
        <f t="shared" si="30"/>
        <v>18380.842431179466</v>
      </c>
      <c r="F73" s="25">
        <f t="shared" si="30"/>
        <v>18748.459279803054</v>
      </c>
      <c r="G73" s="25">
        <f t="shared" si="30"/>
        <v>19123.428465399116</v>
      </c>
      <c r="H73" s="25">
        <f t="shared" si="30"/>
        <v>19505.897034707101</v>
      </c>
      <c r="I73" s="25">
        <f t="shared" si="30"/>
        <v>19896.014975401238</v>
      </c>
      <c r="J73" s="25">
        <f t="shared" si="30"/>
        <v>20293.935274909269</v>
      </c>
      <c r="K73" s="26">
        <f t="shared" si="30"/>
        <v>20699.813980407449</v>
      </c>
      <c r="M73" s="1495"/>
      <c r="N73" s="1496"/>
    </row>
    <row r="74" spans="1:14" ht="13.15" customHeight="1">
      <c r="A74" s="24" t="s">
        <v>3166</v>
      </c>
      <c r="B74" s="25">
        <f t="shared" ref="B74:K74" si="31">-(B72+B73)*$B$8</f>
        <v>-61834.821711964767</v>
      </c>
      <c r="C74" s="25">
        <f t="shared" si="31"/>
        <v>-63071.518146204064</v>
      </c>
      <c r="D74" s="25">
        <f t="shared" si="31"/>
        <v>-64332.948509128146</v>
      </c>
      <c r="E74" s="25">
        <f t="shared" si="31"/>
        <v>-65619.607479310696</v>
      </c>
      <c r="F74" s="25">
        <f t="shared" si="31"/>
        <v>-66931.999628896927</v>
      </c>
      <c r="G74" s="25">
        <f t="shared" si="31"/>
        <v>-68270.639621474853</v>
      </c>
      <c r="H74" s="25">
        <f t="shared" si="31"/>
        <v>-69636.052413904355</v>
      </c>
      <c r="I74" s="25">
        <f t="shared" si="31"/>
        <v>-71028.773462182435</v>
      </c>
      <c r="J74" s="25">
        <f t="shared" si="31"/>
        <v>-72449.348931426095</v>
      </c>
      <c r="K74" s="26">
        <f t="shared" si="31"/>
        <v>-73898.335910054608</v>
      </c>
      <c r="M74" s="1495"/>
      <c r="N74" s="1496"/>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95"/>
      <c r="N75" s="1496"/>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95"/>
      <c r="N76" s="1496"/>
    </row>
    <row r="77" spans="1:14" ht="13.15" customHeight="1">
      <c r="A77" s="24" t="s">
        <v>794</v>
      </c>
      <c r="B77" s="25">
        <f t="shared" ref="B77:K77" si="32">$B$19*(1+$B$6)^(B71-1)</f>
        <v>-567490.6795616278</v>
      </c>
      <c r="C77" s="25">
        <f t="shared" si="32"/>
        <v>-584515.39994847658</v>
      </c>
      <c r="D77" s="25">
        <f t="shared" si="32"/>
        <v>-602050.86194693088</v>
      </c>
      <c r="E77" s="25">
        <f t="shared" si="32"/>
        <v>-620112.38780533883</v>
      </c>
      <c r="F77" s="25">
        <f t="shared" si="32"/>
        <v>-638715.759439499</v>
      </c>
      <c r="G77" s="25">
        <f t="shared" si="32"/>
        <v>-657877.23222268396</v>
      </c>
      <c r="H77" s="25">
        <f t="shared" si="32"/>
        <v>-677613.54918936454</v>
      </c>
      <c r="I77" s="25">
        <f t="shared" si="32"/>
        <v>-697941.95566504542</v>
      </c>
      <c r="J77" s="25">
        <f t="shared" si="32"/>
        <v>-718880.21433499677</v>
      </c>
      <c r="K77" s="26">
        <f t="shared" si="32"/>
        <v>-740446.62076504657</v>
      </c>
      <c r="M77" s="1495"/>
      <c r="N77" s="1496"/>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-73937</v>
      </c>
      <c r="C78" s="25">
        <f>IF(AND('Part VII-Pro Forma'!$G$8="Yes",'Part VII-Pro Forma'!$G$9="Yes"),"Choose One!",IF('Part VII-Pro Forma'!$G$8="Yes",ROUND((-$K$8*(1+'Part VII-Pro Forma'!$B$6)^('Part VII-Pro Forma'!C71-1)),),IF('Part VII-Pro Forma'!$G$9="Yes",ROUND((-(SUM(C72:C75)*'Part VII-Pro Forma'!$K$9)),),"Choose mgt fee")))</f>
        <v>-75416</v>
      </c>
      <c r="D78" s="25">
        <f>IF(AND('Part VII-Pro Forma'!$G$8="Yes",'Part VII-Pro Forma'!$G$9="Yes"),"Choose One!",IF('Part VII-Pro Forma'!$G$8="Yes",ROUND((-$K$8*(1+'Part VII-Pro Forma'!$B$6)^('Part VII-Pro Forma'!D71-1)),),IF('Part VII-Pro Forma'!$G$9="Yes",ROUND((-(SUM(D72:D75)*'Part VII-Pro Forma'!$K$9)),),"Choose mgt fee")))</f>
        <v>-76924</v>
      </c>
      <c r="E78" s="25">
        <f>IF(AND('Part VII-Pro Forma'!$G$8="Yes",'Part VII-Pro Forma'!$G$9="Yes"),"Choose One!",IF('Part VII-Pro Forma'!$G$8="Yes",ROUND((-$K$8*(1+'Part VII-Pro Forma'!$B$6)^('Part VII-Pro Forma'!E71-1)),),IF('Part VII-Pro Forma'!$G$9="Yes",ROUND((-(SUM(E72:E75)*'Part VII-Pro Forma'!$K$9)),),"Choose mgt fee")))</f>
        <v>-78462</v>
      </c>
      <c r="F78" s="25">
        <f>IF(AND('Part VII-Pro Forma'!$G$8="Yes",'Part VII-Pro Forma'!$G$9="Yes"),"Choose One!",IF('Part VII-Pro Forma'!$G$8="Yes",ROUND((-$K$8*(1+'Part VII-Pro Forma'!$B$6)^('Part VII-Pro Forma'!F71-1)),),IF('Part VII-Pro Forma'!$G$9="Yes",ROUND((-(SUM(F72:F75)*'Part VII-Pro Forma'!$K$9)),),"Choose mgt fee")))</f>
        <v>-80032</v>
      </c>
      <c r="G78" s="25">
        <f>IF(AND('Part VII-Pro Forma'!$G$8="Yes",'Part VII-Pro Forma'!$G$9="Yes"),"Choose One!",IF('Part VII-Pro Forma'!$G$8="Yes",ROUND((-$K$8*(1+'Part VII-Pro Forma'!$B$6)^('Part VII-Pro Forma'!G71-1)),),IF('Part VII-Pro Forma'!$G$9="Yes",ROUND((-(SUM(G72:G75)*'Part VII-Pro Forma'!$K$9)),),"Choose mgt fee")))</f>
        <v>-81632</v>
      </c>
      <c r="H78" s="25">
        <f>IF(AND('Part VII-Pro Forma'!$G$8="Yes",'Part VII-Pro Forma'!$G$9="Yes"),"Choose One!",IF('Part VII-Pro Forma'!$G$8="Yes",ROUND((-$K$8*(1+'Part VII-Pro Forma'!$B$6)^('Part VII-Pro Forma'!H71-1)),),IF('Part VII-Pro Forma'!$G$9="Yes",ROUND((-(SUM(H72:H75)*'Part VII-Pro Forma'!$K$9)),),"Choose mgt fee")))</f>
        <v>-83265</v>
      </c>
      <c r="I78" s="25">
        <f>IF(AND('Part VII-Pro Forma'!$G$8="Yes",'Part VII-Pro Forma'!$G$9="Yes"),"Choose One!",IF('Part VII-Pro Forma'!$G$8="Yes",ROUND((-$K$8*(1+'Part VII-Pro Forma'!$B$6)^('Part VII-Pro Forma'!I71-1)),),IF('Part VII-Pro Forma'!$G$9="Yes",ROUND((-(SUM(I72:I75)*'Part VII-Pro Forma'!$K$9)),),"Choose mgt fee")))</f>
        <v>-84930</v>
      </c>
      <c r="J78" s="25">
        <f>IF(AND('Part VII-Pro Forma'!$G$8="Yes",'Part VII-Pro Forma'!$G$9="Yes"),"Choose One!",IF('Part VII-Pro Forma'!$G$8="Yes",ROUND((-$K$8*(1+'Part VII-Pro Forma'!$B$6)^('Part VII-Pro Forma'!J71-1)),),IF('Part VII-Pro Forma'!$G$9="Yes",ROUND((-(SUM(J72:J75)*'Part VII-Pro Forma'!$K$9)),),"Choose mgt fee")))</f>
        <v>-86629</v>
      </c>
      <c r="K78" s="25">
        <f>IF(AND('Part VII-Pro Forma'!$G$8="Yes",'Part VII-Pro Forma'!$G$9="Yes"),"Choose One!",IF('Part VII-Pro Forma'!$G$8="Yes",ROUND((-$K$8*(1+'Part VII-Pro Forma'!$B$6)^('Part VII-Pro Forma'!K71-1)),),IF('Part VII-Pro Forma'!$G$9="Yes",ROUND((-(SUM(K72:K75)*'Part VII-Pro Forma'!$K$9)),),"Choose mgt fee")))</f>
        <v>-88361</v>
      </c>
      <c r="M78" s="1495"/>
      <c r="N78" s="1496"/>
    </row>
    <row r="79" spans="1:14" ht="13.15" customHeight="1">
      <c r="A79" s="24" t="s">
        <v>1622</v>
      </c>
      <c r="B79" s="25">
        <f t="shared" ref="B79:K79" si="33">$B$21*(1+$B$7)^(B71-1)</f>
        <v>-33413.057841384143</v>
      </c>
      <c r="C79" s="25">
        <f t="shared" si="33"/>
        <v>-34415.449576625666</v>
      </c>
      <c r="D79" s="25">
        <f t="shared" si="33"/>
        <v>-35447.913063924439</v>
      </c>
      <c r="E79" s="25">
        <f t="shared" si="33"/>
        <v>-36511.350455842177</v>
      </c>
      <c r="F79" s="25">
        <f t="shared" si="33"/>
        <v>-37606.690969517433</v>
      </c>
      <c r="G79" s="25">
        <f t="shared" si="33"/>
        <v>-38734.891698602958</v>
      </c>
      <c r="H79" s="25">
        <f t="shared" si="33"/>
        <v>-39896.93844956105</v>
      </c>
      <c r="I79" s="25">
        <f t="shared" si="33"/>
        <v>-41093.846603047874</v>
      </c>
      <c r="J79" s="25">
        <f t="shared" si="33"/>
        <v>-42326.662001139317</v>
      </c>
      <c r="K79" s="26">
        <f t="shared" si="33"/>
        <v>-43596.461861173491</v>
      </c>
      <c r="M79" s="1495"/>
      <c r="N79" s="1496"/>
    </row>
    <row r="80" spans="1:14" ht="13.15" customHeight="1">
      <c r="A80" s="24" t="s">
        <v>1623</v>
      </c>
      <c r="B80" s="25">
        <f t="shared" ref="B80:K80" si="34">SUM(B72:B79)</f>
        <v>146679.03677023418</v>
      </c>
      <c r="C80" s="25">
        <f t="shared" si="34"/>
        <v>143603.32013160881</v>
      </c>
      <c r="D80" s="25">
        <f t="shared" si="34"/>
        <v>140286.39803898995</v>
      </c>
      <c r="E80" s="25">
        <f t="shared" si="34"/>
        <v>136717.61824966097</v>
      </c>
      <c r="F80" s="25">
        <f t="shared" si="34"/>
        <v>132884.97323204254</v>
      </c>
      <c r="G80" s="25">
        <f t="shared" si="34"/>
        <v>128780.08819259304</v>
      </c>
      <c r="H80" s="25">
        <f t="shared" si="34"/>
        <v>124389.20871723219</v>
      </c>
      <c r="I80" s="25">
        <f t="shared" si="34"/>
        <v>119702.18801518755</v>
      </c>
      <c r="J80" s="25">
        <f t="shared" si="34"/>
        <v>114705.47375281056</v>
      </c>
      <c r="K80" s="26">
        <f t="shared" si="34"/>
        <v>109388.09446450534</v>
      </c>
      <c r="M80" s="1495"/>
      <c r="N80" s="1496"/>
    </row>
    <row r="81" spans="1:14" ht="13.15" customHeight="1">
      <c r="A81" s="24" t="str">
        <f>$A52</f>
        <v>Mortgage A</v>
      </c>
      <c r="B81" s="1598">
        <f>IF('Part III-Sources of Funds'!$M$32="", 0,-'Part III-Sources of Funds'!$M$32)*0</f>
        <v>0</v>
      </c>
      <c r="C81" s="1598">
        <f>IF('Part III-Sources of Funds'!$M$32="", 0,-'Part III-Sources of Funds'!$M$32)*0</f>
        <v>0</v>
      </c>
      <c r="D81" s="1598">
        <f>IF('Part III-Sources of Funds'!$M$32="", 0,-'Part III-Sources of Funds'!$M$32)*0</f>
        <v>0</v>
      </c>
      <c r="E81" s="1598">
        <f>IF('Part III-Sources of Funds'!$M$32="", 0,-'Part III-Sources of Funds'!$M$32)*0</f>
        <v>0</v>
      </c>
      <c r="F81" s="1598">
        <f>IF('Part III-Sources of Funds'!$M$32="", 0,-'Part III-Sources of Funds'!$M$32)*0</f>
        <v>0</v>
      </c>
      <c r="G81" s="1598">
        <f>IF('Part III-Sources of Funds'!$M$32="", 0,-'Part III-Sources of Funds'!$M$32)*0</f>
        <v>0</v>
      </c>
      <c r="H81" s="1598">
        <f>IF('Part III-Sources of Funds'!$M$32="", 0,-'Part III-Sources of Funds'!$M$32)*0</f>
        <v>0</v>
      </c>
      <c r="I81" s="1598">
        <f>IF('Part III-Sources of Funds'!$M$32="", 0,-'Part III-Sources of Funds'!$M$32)*0</f>
        <v>0</v>
      </c>
      <c r="J81" s="1598">
        <f>IF('Part III-Sources of Funds'!$M$32="", 0,-'Part III-Sources of Funds'!$M$32)*0</f>
        <v>0</v>
      </c>
      <c r="K81" s="1598">
        <f>IF('Part III-Sources of Funds'!$M$32="", 0,-'Part III-Sources of Funds'!$M$32)*0</f>
        <v>0</v>
      </c>
      <c r="M81" s="1495"/>
      <c r="N81" s="1496"/>
    </row>
    <row r="82" spans="1:14" ht="13.15" customHeight="1">
      <c r="A82" s="24" t="str">
        <f>$A53</f>
        <v>Mortgage B</v>
      </c>
      <c r="B82" s="1599">
        <f>IF('Part III-Sources of Funds'!$M$33="", 0,-'Part III-Sources of Funds'!$M$33)*0</f>
        <v>0</v>
      </c>
      <c r="C82" s="1599">
        <f>IF('Part III-Sources of Funds'!$M$33="", 0,-'Part III-Sources of Funds'!$M$33)*0</f>
        <v>0</v>
      </c>
      <c r="D82" s="1599">
        <f>IF('Part III-Sources of Funds'!$M$33="", 0,-'Part III-Sources of Funds'!$M$33)*0</f>
        <v>0</v>
      </c>
      <c r="E82" s="1599">
        <f>IF('Part III-Sources of Funds'!$M$33="", 0,-'Part III-Sources of Funds'!$M$33)*0</f>
        <v>0</v>
      </c>
      <c r="F82" s="1599">
        <f>IF('Part III-Sources of Funds'!$M$33="", 0,-'Part III-Sources of Funds'!$M$33)*0</f>
        <v>0</v>
      </c>
      <c r="G82" s="1599">
        <f>IF('Part III-Sources of Funds'!$M$33="", 0,-'Part III-Sources of Funds'!$M$33)*0</f>
        <v>0</v>
      </c>
      <c r="H82" s="1599">
        <f>IF('Part III-Sources of Funds'!$M$33="", 0,-'Part III-Sources of Funds'!$M$33)*0</f>
        <v>0</v>
      </c>
      <c r="I82" s="1599">
        <f>IF('Part III-Sources of Funds'!$M$33="", 0,-'Part III-Sources of Funds'!$M$33)*0</f>
        <v>0</v>
      </c>
      <c r="J82" s="1599">
        <f>IF('Part III-Sources of Funds'!$M$33="", 0,-'Part III-Sources of Funds'!$M$33)*0</f>
        <v>0</v>
      </c>
      <c r="K82" s="1599">
        <f>IF('Part III-Sources of Funds'!$M$33="", 0,-'Part III-Sources of Funds'!$M$33)*0</f>
        <v>0</v>
      </c>
      <c r="M82" s="1495"/>
      <c r="N82" s="1496"/>
    </row>
    <row r="83" spans="1:14" ht="13.15" customHeight="1">
      <c r="A83" s="24" t="str">
        <f>$A54</f>
        <v>Mortgage C</v>
      </c>
      <c r="B83" s="1599">
        <f>IF('Part III-Sources of Funds'!$M$34="", 0,-'Part III-Sources of Funds'!$M$34)*0</f>
        <v>0</v>
      </c>
      <c r="C83" s="1599">
        <f>IF('Part III-Sources of Funds'!$M$34="", 0,-'Part III-Sources of Funds'!$M$34)*0</f>
        <v>0</v>
      </c>
      <c r="D83" s="1599">
        <f>IF('Part III-Sources of Funds'!$M$34="", 0,-'Part III-Sources of Funds'!$M$34)*0</f>
        <v>0</v>
      </c>
      <c r="E83" s="1599">
        <f>IF('Part III-Sources of Funds'!$M$34="", 0,-'Part III-Sources of Funds'!$M$34)*0</f>
        <v>0</v>
      </c>
      <c r="F83" s="1599">
        <f>IF('Part III-Sources of Funds'!$M$34="", 0,-'Part III-Sources of Funds'!$M$34)*0</f>
        <v>0</v>
      </c>
      <c r="G83" s="1599">
        <f>IF('Part III-Sources of Funds'!$M$34="", 0,-'Part III-Sources of Funds'!$M$34)*0</f>
        <v>0</v>
      </c>
      <c r="H83" s="1599">
        <f>IF('Part III-Sources of Funds'!$M$34="", 0,-'Part III-Sources of Funds'!$M$34)*0</f>
        <v>0</v>
      </c>
      <c r="I83" s="1599">
        <f>IF('Part III-Sources of Funds'!$M$34="", 0,-'Part III-Sources of Funds'!$M$34)*0</f>
        <v>0</v>
      </c>
      <c r="J83" s="1599">
        <f>IF('Part III-Sources of Funds'!$M$34="", 0,-'Part III-Sources of Funds'!$M$34)*0</f>
        <v>0</v>
      </c>
      <c r="K83" s="1599">
        <f>IF('Part III-Sources of Funds'!$M$34="", 0,-'Part III-Sources of Funds'!$M$34)*0</f>
        <v>0</v>
      </c>
      <c r="M83" s="1495"/>
      <c r="N83" s="1496"/>
    </row>
    <row r="84" spans="1:14" ht="13.15" customHeight="1">
      <c r="A84" s="24" t="str">
        <f>$A55</f>
        <v>D/S Other Source</v>
      </c>
      <c r="B84" s="1599">
        <f>IF('Part III-Sources of Funds'!$M$35="", 0,-'Part III-Sources of Funds'!$M$35)</f>
        <v>0</v>
      </c>
      <c r="C84" s="1599">
        <f>IF('Part III-Sources of Funds'!$M$35="", 0,-'Part III-Sources of Funds'!$M$35)</f>
        <v>0</v>
      </c>
      <c r="D84" s="1599">
        <f>IF('Part III-Sources of Funds'!$M$35="", 0,-'Part III-Sources of Funds'!$M$35)</f>
        <v>0</v>
      </c>
      <c r="E84" s="1599">
        <f>IF('Part III-Sources of Funds'!$M$35="", 0,-'Part III-Sources of Funds'!$M$35)</f>
        <v>0</v>
      </c>
      <c r="F84" s="1599">
        <f>IF('Part III-Sources of Funds'!$M$35="", 0,-'Part III-Sources of Funds'!$M$35)</f>
        <v>0</v>
      </c>
      <c r="G84" s="1599">
        <f>IF('Part III-Sources of Funds'!$M$35="", 0,-'Part III-Sources of Funds'!$M$35)</f>
        <v>0</v>
      </c>
      <c r="H84" s="1599">
        <f>IF('Part III-Sources of Funds'!$M$35="", 0,-'Part III-Sources of Funds'!$M$35)</f>
        <v>0</v>
      </c>
      <c r="I84" s="1599">
        <f>IF('Part III-Sources of Funds'!$M$35="", 0,-'Part III-Sources of Funds'!$M$35)</f>
        <v>0</v>
      </c>
      <c r="J84" s="1599">
        <f>IF('Part III-Sources of Funds'!$M$35="", 0,-'Part III-Sources of Funds'!$M$35)</f>
        <v>0</v>
      </c>
      <c r="K84" s="1599">
        <f>IF('Part III-Sources of Funds'!$M$35="", 0,-'Part III-Sources of Funds'!$M$35)</f>
        <v>0</v>
      </c>
      <c r="M84" s="1495"/>
      <c r="N84" s="1496"/>
    </row>
    <row r="85" spans="1:14" ht="13.15" customHeight="1">
      <c r="A85" s="24" t="s">
        <v>1150</v>
      </c>
      <c r="B85" s="1600"/>
      <c r="C85" s="1600"/>
      <c r="D85" s="1600"/>
      <c r="E85" s="1600"/>
      <c r="F85" s="1600"/>
      <c r="G85" s="1600"/>
      <c r="H85" s="1600"/>
      <c r="I85" s="1600"/>
      <c r="J85" s="1600"/>
      <c r="K85" s="1600"/>
      <c r="M85" s="1495"/>
      <c r="N85" s="1496"/>
    </row>
    <row r="86" spans="1:14" ht="13.15" customHeight="1">
      <c r="A86" s="24" t="s">
        <v>1578</v>
      </c>
      <c r="B86" s="1599">
        <f>+K57*0</f>
        <v>0</v>
      </c>
      <c r="C86" s="1599">
        <f t="shared" ref="C86:K86" si="35">+B86</f>
        <v>0</v>
      </c>
      <c r="D86" s="1599">
        <f t="shared" si="35"/>
        <v>0</v>
      </c>
      <c r="E86" s="1599">
        <f t="shared" si="35"/>
        <v>0</v>
      </c>
      <c r="F86" s="1599">
        <f t="shared" si="35"/>
        <v>0</v>
      </c>
      <c r="G86" s="1599">
        <f t="shared" si="35"/>
        <v>0</v>
      </c>
      <c r="H86" s="1599">
        <f t="shared" si="35"/>
        <v>0</v>
      </c>
      <c r="I86" s="1599">
        <f t="shared" si="35"/>
        <v>0</v>
      </c>
      <c r="J86" s="1599">
        <f t="shared" si="35"/>
        <v>0</v>
      </c>
      <c r="K86" s="1599">
        <f t="shared" si="35"/>
        <v>0</v>
      </c>
      <c r="M86" s="1495"/>
      <c r="N86" s="1496"/>
    </row>
    <row r="87" spans="1:14" ht="13.15" customHeight="1">
      <c r="A87" s="24" t="s">
        <v>1624</v>
      </c>
      <c r="B87" s="1601">
        <f>IF('Part III-Sources of Funds'!$M$37="", 0,-'Part III-Sources of Funds'!$M$37)</f>
        <v>0</v>
      </c>
      <c r="C87" s="1601">
        <f>IF('Part III-Sources of Funds'!$M$37="", 0,-'Part III-Sources of Funds'!$M$37)</f>
        <v>0</v>
      </c>
      <c r="D87" s="1601">
        <f>IF('Part III-Sources of Funds'!$M$37="", 0,-'Part III-Sources of Funds'!$M$37)</f>
        <v>0</v>
      </c>
      <c r="E87" s="1601">
        <f>IF('Part III-Sources of Funds'!$M$37="", 0,-'Part III-Sources of Funds'!$M$37)</f>
        <v>0</v>
      </c>
      <c r="F87" s="1601">
        <f>IF('Part III-Sources of Funds'!$M$37="", 0,-'Part III-Sources of Funds'!$M$37)</f>
        <v>0</v>
      </c>
      <c r="G87" s="1601">
        <f>IF('Part III-Sources of Funds'!$M$37="", 0,-'Part III-Sources of Funds'!$M$37)</f>
        <v>0</v>
      </c>
      <c r="H87" s="1601">
        <f>IF('Part III-Sources of Funds'!$M$37="", 0,-'Part III-Sources of Funds'!$M$37)</f>
        <v>0</v>
      </c>
      <c r="I87" s="1601">
        <f>IF('Part III-Sources of Funds'!$M$37="", 0,-'Part III-Sources of Funds'!$M$37)</f>
        <v>0</v>
      </c>
      <c r="J87" s="1601">
        <f>IF('Part III-Sources of Funds'!$M$37="", 0,-'Part III-Sources of Funds'!$M$37)</f>
        <v>0</v>
      </c>
      <c r="K87" s="1599">
        <f>IF('Part III-Sources of Funds'!$M$37="", 0,-'Part III-Sources of Funds'!$M$37)</f>
        <v>0</v>
      </c>
      <c r="M87" s="1495"/>
      <c r="N87" s="1496"/>
    </row>
    <row r="88" spans="1:14" ht="13.15" customHeight="1">
      <c r="A88" s="24" t="s">
        <v>1579</v>
      </c>
      <c r="B88" s="25">
        <f t="shared" ref="B88:K88" si="36">SUM(B80:B87)</f>
        <v>146679.03677023418</v>
      </c>
      <c r="C88" s="25">
        <f t="shared" si="36"/>
        <v>143603.32013160881</v>
      </c>
      <c r="D88" s="25">
        <f t="shared" si="36"/>
        <v>140286.39803898995</v>
      </c>
      <c r="E88" s="25">
        <f t="shared" si="36"/>
        <v>136717.61824966097</v>
      </c>
      <c r="F88" s="25">
        <f t="shared" si="36"/>
        <v>132884.97323204254</v>
      </c>
      <c r="G88" s="25">
        <f t="shared" si="36"/>
        <v>128780.08819259304</v>
      </c>
      <c r="H88" s="25">
        <f t="shared" si="36"/>
        <v>124389.20871723219</v>
      </c>
      <c r="I88" s="25">
        <f t="shared" si="36"/>
        <v>119702.18801518755</v>
      </c>
      <c r="J88" s="25">
        <f t="shared" si="36"/>
        <v>114705.47375281056</v>
      </c>
      <c r="K88" s="23">
        <f t="shared" si="36"/>
        <v>109388.09446450534</v>
      </c>
      <c r="M88" s="1495"/>
      <c r="N88" s="1496"/>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495"/>
      <c r="N89" s="1496"/>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95"/>
      <c r="N90" s="1496"/>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95"/>
      <c r="N91" s="1496"/>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95"/>
      <c r="N92" s="1496"/>
    </row>
    <row r="93" spans="1:14" ht="13.15" customHeight="1">
      <c r="A93" s="24" t="s">
        <v>1158</v>
      </c>
      <c r="B93" s="341">
        <f>IF(OR(B78="Choose mgt fee",B78="Choose One!"),"",(B72+B73+B74+B75+B76) / -(B77+B78+B79))</f>
        <v>1.2173535600928582</v>
      </c>
      <c r="C93" s="341">
        <f t="shared" ref="C93:K93" si="41">IF(OR(C78="Choose mgt fee",C78="Choose One!"),"",(C72+C73+C74+C75+C76) / -(C77+C78+C79))</f>
        <v>1.2068178464838231</v>
      </c>
      <c r="D93" s="341">
        <f t="shared" si="41"/>
        <v>1.1963632780839866</v>
      </c>
      <c r="E93" s="341">
        <f t="shared" si="41"/>
        <v>1.185988669257904</v>
      </c>
      <c r="F93" s="341">
        <f t="shared" si="41"/>
        <v>1.1756914012473674</v>
      </c>
      <c r="G93" s="341">
        <f t="shared" si="41"/>
        <v>1.1654751821879714</v>
      </c>
      <c r="H93" s="341">
        <f t="shared" si="41"/>
        <v>1.1553359345251588</v>
      </c>
      <c r="I93" s="341">
        <f t="shared" si="41"/>
        <v>1.1452756748953521</v>
      </c>
      <c r="J93" s="341">
        <f t="shared" si="41"/>
        <v>1.1352920735655847</v>
      </c>
      <c r="K93" s="342">
        <f t="shared" si="41"/>
        <v>1.12538695845532</v>
      </c>
      <c r="M93" s="1495"/>
      <c r="N93" s="1496"/>
    </row>
    <row r="94" spans="1:14" ht="13.15" customHeight="1">
      <c r="A94" s="564" t="s">
        <v>3415</v>
      </c>
      <c r="B94" s="1602">
        <f>IF('Part III-Sources of Funds'!$H$32="","",-FV('Part III-Sources of Funds'!$J$32/12,12,B81/12,K65))</f>
        <v>-4.1236432262601098E-9</v>
      </c>
      <c r="C94" s="1602">
        <f>IF('Part III-Sources of Funds'!$H$32="","",-FV('Part III-Sources of Funds'!$J$32/12,12,C81/12,B94))</f>
        <v>-4.4217417285087229E-9</v>
      </c>
      <c r="D94" s="1602">
        <f>IF('Part III-Sources of Funds'!$H$32="","",-FV('Part III-Sources of Funds'!$J$32/12,12,D81/12,C94))</f>
        <v>-4.7413897955880108E-9</v>
      </c>
      <c r="E94" s="1602">
        <f>IF('Part III-Sources of Funds'!$H$32="","",-FV('Part III-Sources of Funds'!$J$32/12,12,E81/12,D94))</f>
        <v>-5.0841452472819997E-9</v>
      </c>
      <c r="F94" s="1602">
        <f>IF('Part III-Sources of Funds'!$H$32="","",-FV('Part III-Sources of Funds'!$J$32/12,12,F81/12,E94))</f>
        <v>-5.4516785182928625E-9</v>
      </c>
      <c r="G94" s="1602">
        <f>IF('Part III-Sources of Funds'!$H$32="","",-FV('Part III-Sources of Funds'!$J$32/12,12,G81/12,F94))</f>
        <v>-5.845780799182458E-9</v>
      </c>
      <c r="H94" s="1602">
        <f>IF('Part III-Sources of Funds'!$H$32="","",-FV('Part III-Sources of Funds'!$J$32/12,12,H81/12,G94))</f>
        <v>-6.2683727658231892E-9</v>
      </c>
      <c r="I94" s="1602">
        <f>IF('Part III-Sources of Funds'!$H$32="","",-FV('Part III-Sources of Funds'!$J$32/12,12,I81/12,H94))</f>
        <v>-6.7215139399015743E-9</v>
      </c>
      <c r="J94" s="1602">
        <f>IF('Part III-Sources of Funds'!$H$32="","",-FV('Part III-Sources of Funds'!$J$32/12,12,J81/12,I94))</f>
        <v>-7.2074127260933757E-9</v>
      </c>
      <c r="K94" s="1602">
        <f>IF('Part III-Sources of Funds'!$H$32="","",-FV('Part III-Sources of Funds'!$J$32/12,12,K81/12,J94))</f>
        <v>-7.7284371748269288E-9</v>
      </c>
      <c r="M94" s="1495"/>
      <c r="N94" s="1496"/>
    </row>
    <row r="95" spans="1:14" ht="13.15" customHeight="1">
      <c r="A95" s="564" t="s">
        <v>3416</v>
      </c>
      <c r="B95" s="1599">
        <f>IF('Part III-Sources of Funds'!$H$33="","",-FV('Part III-Sources of Funds'!$J$33/12,12,B82/12,K66))</f>
        <v>-1.3295314751702923E-8</v>
      </c>
      <c r="C95" s="1599">
        <f>IF('Part III-Sources of Funds'!$H$33="","",-FV('Part III-Sources of Funds'!$J$33/12,12,C82/12,B95))</f>
        <v>-1.3624732705742745E-8</v>
      </c>
      <c r="D95" s="1599">
        <f>IF('Part III-Sources of Funds'!$H$33="","",-FV('Part III-Sources of Funds'!$J$33/12,12,D82/12,C95))</f>
        <v>-1.3962312646954017E-8</v>
      </c>
      <c r="E95" s="1599">
        <f>IF('Part III-Sources of Funds'!$H$33="","",-FV('Part III-Sources of Funds'!$J$33/12,12,E82/12,D95))</f>
        <v>-1.430825680485632E-8</v>
      </c>
      <c r="F95" s="1599">
        <f>IF('Part III-Sources of Funds'!$H$33="","",-FV('Part III-Sources of Funds'!$J$33/12,12,F82/12,E95))</f>
        <v>-1.4662772419609136E-8</v>
      </c>
      <c r="G95" s="1599">
        <f>IF('Part III-Sources of Funds'!$H$33="","",-FV('Part III-Sources of Funds'!$J$33/12,12,G82/12,F95))</f>
        <v>-1.5026071866160448E-8</v>
      </c>
      <c r="H95" s="1599">
        <f>IF('Part III-Sources of Funds'!$H$33="","",-FV('Part III-Sources of Funds'!$J$33/12,12,H82/12,G95))</f>
        <v>-1.5398372781471379E-8</v>
      </c>
      <c r="I95" s="1599">
        <f>IF('Part III-Sources of Funds'!$H$33="","",-FV('Part III-Sources of Funds'!$J$33/12,12,I82/12,H95))</f>
        <v>-1.5779898194893057E-8</v>
      </c>
      <c r="J95" s="1599">
        <f>IF('Part III-Sources of Funds'!$H$33="","",-FV('Part III-Sources of Funds'!$J$33/12,12,J82/12,I95))</f>
        <v>-1.6170876661773848E-8</v>
      </c>
      <c r="K95" s="1599">
        <f>IF('Part III-Sources of Funds'!$H$33="","",-FV('Part III-Sources of Funds'!$J$33/12,12,K82/12,J95))</f>
        <v>-1.6571542400376957E-8</v>
      </c>
      <c r="M95" s="1495"/>
      <c r="N95" s="1496"/>
    </row>
    <row r="96" spans="1:14" ht="13.15" customHeight="1">
      <c r="A96" s="564" t="s">
        <v>3417</v>
      </c>
      <c r="B96" s="1599">
        <f>IF('Part III-Sources of Funds'!$H$34="","",-FV('Part III-Sources of Funds'!$J$34/12,12,B83/12,K67))</f>
        <v>-3.1010393410202506E-8</v>
      </c>
      <c r="C96" s="1599">
        <f>IF('Part III-Sources of Funds'!$H$34="","",-FV('Part III-Sources of Funds'!$J$34/12,12,C83/12,B96))</f>
        <v>-3.1165801198651311E-8</v>
      </c>
      <c r="D96" s="1599">
        <f>IF('Part III-Sources of Funds'!$H$34="","",-FV('Part III-Sources of Funds'!$J$34/12,12,D83/12,C96))</f>
        <v>-3.1321987809232137E-8</v>
      </c>
      <c r="E96" s="1599">
        <f>IF('Part III-Sources of Funds'!$H$34="","",-FV('Part III-Sources of Funds'!$J$34/12,12,E83/12,D96))</f>
        <v>-3.1478957144992052E-8</v>
      </c>
      <c r="F96" s="1599">
        <f>IF('Part III-Sources of Funds'!$H$34="","",-FV('Part III-Sources of Funds'!$J$34/12,12,F83/12,E96))</f>
        <v>-3.1636713128538148E-8</v>
      </c>
      <c r="G96" s="1599">
        <f>IF('Part III-Sources of Funds'!$H$34="","",-FV('Part III-Sources of Funds'!$J$34/12,12,G83/12,F96))</f>
        <v>-3.1795259702135562E-8</v>
      </c>
      <c r="H96" s="1599">
        <f>IF('Part III-Sources of Funds'!$H$34="","",-FV('Part III-Sources of Funds'!$J$34/12,12,H83/12,G96))</f>
        <v>-3.1954600827805983E-8</v>
      </c>
      <c r="I96" s="1599">
        <f>IF('Part III-Sources of Funds'!$H$34="","",-FV('Part III-Sources of Funds'!$J$34/12,12,I83/12,H96))</f>
        <v>-3.2114740487426674E-8</v>
      </c>
      <c r="J96" s="1599">
        <f>IF('Part III-Sources of Funds'!$H$34="","",-FV('Part III-Sources of Funds'!$J$34/12,12,J83/12,I96))</f>
        <v>-3.2275682682829981E-8</v>
      </c>
      <c r="K96" s="1599">
        <f>IF('Part III-Sources of Funds'!$H$34="","",-FV('Part III-Sources of Funds'!$J$34/12,12,K83/12,J96))</f>
        <v>-3.2437431435903321E-8</v>
      </c>
      <c r="M96" s="1495"/>
      <c r="N96" s="1496"/>
    </row>
    <row r="97" spans="1:14" ht="13.15" customHeight="1">
      <c r="A97" s="24" t="s">
        <v>1176</v>
      </c>
      <c r="B97" s="1599" t="str">
        <f>IF('Part III-Sources of Funds'!$H$35="","",-FV('Part III-Sources of Funds'!$J$35/12,12,B84/12,K68))</f>
        <v/>
      </c>
      <c r="C97" s="1599" t="str">
        <f>IF('Part III-Sources of Funds'!$H$35="","",-FV('Part III-Sources of Funds'!$J$35/12,12,C84/12,B97))</f>
        <v/>
      </c>
      <c r="D97" s="1599" t="str">
        <f>IF('Part III-Sources of Funds'!$H$35="","",-FV('Part III-Sources of Funds'!$J$35/12,12,D84/12,C97))</f>
        <v/>
      </c>
      <c r="E97" s="1599" t="str">
        <f>IF('Part III-Sources of Funds'!$H$35="","",-FV('Part III-Sources of Funds'!$J$35/12,12,E84/12,D97))</f>
        <v/>
      </c>
      <c r="F97" s="1599" t="str">
        <f>IF('Part III-Sources of Funds'!$H$35="","",-FV('Part III-Sources of Funds'!$J$35/12,12,F84/12,E97))</f>
        <v/>
      </c>
      <c r="G97" s="1599" t="str">
        <f>IF('Part III-Sources of Funds'!$H$35="","",-FV('Part III-Sources of Funds'!$J$35/12,12,G84/12,F97))</f>
        <v/>
      </c>
      <c r="H97" s="1599" t="str">
        <f>IF('Part III-Sources of Funds'!$H$35="","",-FV('Part III-Sources of Funds'!$J$35/12,12,H84/12,G97))</f>
        <v/>
      </c>
      <c r="I97" s="1599" t="str">
        <f>IF('Part III-Sources of Funds'!$H$35="","",-FV('Part III-Sources of Funds'!$J$35/12,12,I84/12,H97))</f>
        <v/>
      </c>
      <c r="J97" s="1599" t="str">
        <f>IF('Part III-Sources of Funds'!$H$35="","",-FV('Part III-Sources of Funds'!$J$35/12,12,J84/12,I97))</f>
        <v/>
      </c>
      <c r="K97" s="1599" t="str">
        <f>IF('Part III-Sources of Funds'!$H$35="","",-FV('Part III-Sources of Funds'!$J$35/12,12,K84/12,J97))</f>
        <v/>
      </c>
      <c r="M97" s="1495"/>
      <c r="N97" s="1496"/>
    </row>
    <row r="98" spans="1:14" ht="13.15" customHeight="1">
      <c r="A98" s="29" t="s">
        <v>1659</v>
      </c>
      <c r="B98" s="1601" t="str">
        <f>IF('Part III-Sources of Funds'!$H$37="","",-FV('Part III-Sources of Funds'!$J$37/12,12,B87/12,K69))</f>
        <v/>
      </c>
      <c r="C98" s="1601" t="str">
        <f>IF('Part III-Sources of Funds'!$H$37="","",-FV('Part III-Sources of Funds'!$J$37/12,12,C87/12,B98))</f>
        <v/>
      </c>
      <c r="D98" s="1601" t="str">
        <f>IF('Part III-Sources of Funds'!$H$37="","",-FV('Part III-Sources of Funds'!$J$37/12,12,D87/12,C98))</f>
        <v/>
      </c>
      <c r="E98" s="1601" t="str">
        <f>IF('Part III-Sources of Funds'!$H$37="","",-FV('Part III-Sources of Funds'!$J$37/12,12,E87/12,D98))</f>
        <v/>
      </c>
      <c r="F98" s="1601" t="str">
        <f>IF('Part III-Sources of Funds'!$H$37="","",-FV('Part III-Sources of Funds'!$J$37/12,12,F87/12,E98))</f>
        <v/>
      </c>
      <c r="G98" s="1601" t="str">
        <f>IF('Part III-Sources of Funds'!$H$37="","",-FV('Part III-Sources of Funds'!$J$37/12,12,G87/12,F98))</f>
        <v/>
      </c>
      <c r="H98" s="1601" t="str">
        <f>IF('Part III-Sources of Funds'!$H$37="","",-FV('Part III-Sources of Funds'!$J$37/12,12,H87/12,G98))</f>
        <v/>
      </c>
      <c r="I98" s="1601" t="str">
        <f>IF('Part III-Sources of Funds'!$H$37="","",-FV('Part III-Sources of Funds'!$J$37/12,12,I87/12,H98))</f>
        <v/>
      </c>
      <c r="J98" s="1601" t="str">
        <f>IF('Part III-Sources of Funds'!$H$37="","",-FV('Part III-Sources of Funds'!$J$37/12,12,J87/12,I98))</f>
        <v/>
      </c>
      <c r="K98" s="1601" t="str">
        <f>IF('Part III-Sources of Funds'!$H$37="","",-FV('Part III-Sources of Funds'!$J$37/12,12,K87/12,J98))</f>
        <v/>
      </c>
      <c r="M98" s="1498"/>
      <c r="N98" s="1499"/>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t="s">
        <v>4181</v>
      </c>
      <c r="B103" s="1603"/>
      <c r="C103" s="1603"/>
      <c r="D103" s="1603"/>
      <c r="E103" s="1603"/>
      <c r="F103" s="1604"/>
      <c r="G103" s="1377"/>
      <c r="H103" s="1603"/>
      <c r="I103" s="1603"/>
      <c r="J103" s="1603"/>
      <c r="K103" s="1604"/>
      <c r="M103" s="881" t="s">
        <v>3593</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2013-005 The Villas at Stanford, Kennesaw, Cobb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2542</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2742</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2729</v>
      </c>
      <c r="B15" s="1050"/>
      <c r="C15" s="1050"/>
      <c r="D15" s="1050"/>
      <c r="E15" s="1050"/>
      <c r="F15" s="1050"/>
      <c r="G15" s="1050"/>
      <c r="H15" s="1050"/>
      <c r="I15" s="1050"/>
      <c r="J15" s="1050"/>
      <c r="K15" s="1050"/>
      <c r="L15" s="1050"/>
      <c r="M15" s="1050"/>
      <c r="N15" s="1050"/>
      <c r="O15" s="1050"/>
      <c r="P15" s="1050"/>
      <c r="Q15" s="1051"/>
      <c r="R15" s="816" t="s">
        <v>2742</v>
      </c>
      <c r="S15" s="816"/>
    </row>
    <row r="16" spans="1:32" ht="24.6" customHeight="1">
      <c r="A16" s="1049" t="s">
        <v>2730</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2731</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2732</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2733</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2734</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2735</v>
      </c>
      <c r="B21" s="1050"/>
      <c r="C21" s="1050"/>
      <c r="D21" s="1050"/>
      <c r="E21" s="1050"/>
      <c r="F21" s="1050"/>
      <c r="G21" s="1050"/>
      <c r="H21" s="1050"/>
      <c r="I21" s="1050"/>
      <c r="J21" s="1050"/>
      <c r="K21" s="1050"/>
      <c r="L21" s="1050"/>
      <c r="M21" s="1050"/>
      <c r="N21" s="1050"/>
      <c r="O21" s="1050"/>
      <c r="P21" s="1050"/>
      <c r="Q21" s="1051"/>
    </row>
    <row r="22" spans="1:19" ht="24.6" customHeight="1">
      <c r="A22" s="1049" t="s">
        <v>2736</v>
      </c>
      <c r="B22" s="1050"/>
      <c r="C22" s="1050"/>
      <c r="D22" s="1050"/>
      <c r="E22" s="1050"/>
      <c r="F22" s="1050"/>
      <c r="G22" s="1050"/>
      <c r="H22" s="1050"/>
      <c r="I22" s="1050"/>
      <c r="J22" s="1050"/>
      <c r="K22" s="1050"/>
      <c r="L22" s="1050"/>
      <c r="M22" s="1050"/>
      <c r="N22" s="1050"/>
      <c r="O22" s="1050"/>
      <c r="P22" s="1050"/>
      <c r="Q22" s="1051"/>
      <c r="R22" s="816" t="s">
        <v>2742</v>
      </c>
      <c r="S22" s="816"/>
    </row>
    <row r="23" spans="1:19" ht="24.6" customHeight="1">
      <c r="A23" s="1049" t="s">
        <v>2737</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2738</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2739</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2740</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2741</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3484</v>
      </c>
      <c r="C29" s="161"/>
      <c r="D29" s="104"/>
      <c r="E29" s="104"/>
      <c r="F29" s="104"/>
      <c r="G29" s="104"/>
      <c r="I29" s="162"/>
      <c r="J29" s="162"/>
      <c r="K29" s="162"/>
      <c r="L29" s="804"/>
      <c r="M29" s="804"/>
      <c r="O29" s="163" t="s">
        <v>2571</v>
      </c>
      <c r="P29" s="1045"/>
      <c r="Q29" s="1046"/>
    </row>
    <row r="30" spans="1:19" ht="3" customHeight="1"/>
    <row r="31" spans="1:19" ht="12" customHeight="1">
      <c r="B31" s="174" t="s">
        <v>2693</v>
      </c>
      <c r="C31" s="61" t="s">
        <v>3926</v>
      </c>
      <c r="E31" s="38"/>
      <c r="F31" s="38"/>
      <c r="G31" s="38"/>
      <c r="H31" s="38"/>
      <c r="I31" s="49"/>
      <c r="J31" s="40"/>
      <c r="K31" s="49"/>
      <c r="L31" s="40"/>
      <c r="M31" s="40"/>
      <c r="O31" s="78" t="s">
        <v>773</v>
      </c>
      <c r="P31" s="1605" t="s">
        <v>4070</v>
      </c>
      <c r="Q31" s="210"/>
    </row>
    <row r="32" spans="1:19" ht="12" customHeight="1">
      <c r="B32" s="54" t="s">
        <v>2696</v>
      </c>
      <c r="C32" s="61" t="s">
        <v>907</v>
      </c>
      <c r="E32" s="38"/>
      <c r="F32" s="38"/>
      <c r="G32" s="38"/>
      <c r="H32" s="38"/>
      <c r="J32" s="1606" t="s">
        <v>2873</v>
      </c>
      <c r="K32" s="1607"/>
      <c r="L32" s="1607"/>
      <c r="M32" s="1607"/>
      <c r="N32" s="1608"/>
      <c r="O32" s="78"/>
      <c r="P32" s="78"/>
      <c r="Q32" s="78"/>
    </row>
    <row r="33" spans="1:31" ht="11.25" customHeight="1">
      <c r="B33" s="79" t="s">
        <v>2569</v>
      </c>
      <c r="C33" s="79"/>
      <c r="D33" s="79"/>
      <c r="E33" s="79"/>
      <c r="F33" s="79"/>
      <c r="G33" s="162"/>
      <c r="H33" s="162"/>
      <c r="I33" s="162"/>
      <c r="J33" s="162"/>
      <c r="K33" s="804"/>
      <c r="L33" s="804"/>
      <c r="M33" s="804"/>
      <c r="N33" s="804"/>
      <c r="O33" s="804"/>
      <c r="P33" s="59"/>
      <c r="S33" s="195"/>
      <c r="T33" s="195"/>
    </row>
    <row r="34" spans="1:31" ht="12" customHeight="1">
      <c r="A34" s="1609" t="s">
        <v>4102</v>
      </c>
      <c r="B34" s="1610"/>
      <c r="C34" s="1610"/>
      <c r="D34" s="1610"/>
      <c r="E34" s="1610"/>
      <c r="F34" s="1610"/>
      <c r="G34" s="1610"/>
      <c r="H34" s="1610"/>
      <c r="I34" s="1610"/>
      <c r="J34" s="1610"/>
      <c r="K34" s="1610"/>
      <c r="L34" s="1610"/>
      <c r="M34" s="1610"/>
      <c r="N34" s="1610"/>
      <c r="O34" s="1610"/>
      <c r="P34" s="1610"/>
      <c r="Q34" s="1611"/>
      <c r="R34" s="614" t="s">
        <v>1677</v>
      </c>
      <c r="S34" s="615"/>
      <c r="T34" s="195"/>
      <c r="U34" s="168"/>
      <c r="V34" s="168"/>
      <c r="W34" s="168"/>
      <c r="X34" s="168"/>
      <c r="Y34" s="168"/>
      <c r="Z34" s="168"/>
      <c r="AA34" s="168"/>
      <c r="AB34" s="168"/>
      <c r="AC34" s="168"/>
      <c r="AD34" s="168"/>
      <c r="AE34" s="656"/>
    </row>
    <row r="35" spans="1:31" ht="11.25" customHeight="1">
      <c r="B35" s="169" t="s">
        <v>2570</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3640</v>
      </c>
      <c r="C41" s="5"/>
      <c r="D41" s="5"/>
      <c r="E41" s="808"/>
      <c r="F41" s="808"/>
      <c r="G41" s="808"/>
      <c r="H41" s="808"/>
      <c r="K41" s="808"/>
      <c r="L41" s="808"/>
      <c r="M41" s="808"/>
      <c r="O41" s="163" t="s">
        <v>2571</v>
      </c>
      <c r="P41" s="1045"/>
      <c r="Q41" s="1046"/>
    </row>
    <row r="42" spans="1:31" ht="3" customHeight="1">
      <c r="K42" s="808"/>
      <c r="L42" s="808"/>
    </row>
    <row r="43" spans="1:31" ht="12.75" customHeight="1">
      <c r="A43" s="1111" t="s">
        <v>3924</v>
      </c>
      <c r="B43" s="1111"/>
      <c r="C43" s="1111"/>
      <c r="D43" s="1111"/>
      <c r="E43" s="1111"/>
      <c r="F43" s="1612" t="s">
        <v>3647</v>
      </c>
      <c r="G43" s="1613"/>
      <c r="H43" s="1613"/>
      <c r="I43" s="1614"/>
      <c r="K43" s="1612" t="s">
        <v>3649</v>
      </c>
      <c r="L43" s="1613"/>
      <c r="M43" s="1613"/>
      <c r="N43" s="1614"/>
      <c r="P43" s="719" t="s">
        <v>3748</v>
      </c>
    </row>
    <row r="44" spans="1:31" ht="12.75" customHeight="1">
      <c r="A44" s="1111"/>
      <c r="B44" s="1111"/>
      <c r="C44" s="1111"/>
      <c r="D44" s="1111"/>
      <c r="E44" s="1111"/>
      <c r="F44" s="1615" t="s">
        <v>3648</v>
      </c>
      <c r="G44" s="1616"/>
      <c r="H44" s="1616"/>
      <c r="I44" s="1617"/>
      <c r="K44" s="1615" t="s">
        <v>3650</v>
      </c>
      <c r="L44" s="1616"/>
      <c r="M44" s="1616"/>
      <c r="N44" s="1617"/>
      <c r="P44" s="1605" t="s">
        <v>4061</v>
      </c>
    </row>
    <row r="45" spans="1:31" ht="10.5" customHeight="1">
      <c r="A45" s="1111"/>
      <c r="B45" s="1111"/>
      <c r="C45" s="1111"/>
      <c r="D45" s="1111"/>
      <c r="E45" s="1111"/>
      <c r="F45" s="1071" t="s">
        <v>3644</v>
      </c>
      <c r="G45" s="1072"/>
      <c r="H45" s="1072"/>
      <c r="I45" s="1073"/>
      <c r="K45" s="1618" t="s">
        <v>3646</v>
      </c>
      <c r="L45" s="1619"/>
      <c r="M45" s="1619"/>
      <c r="N45" s="1620"/>
      <c r="P45" s="1069" t="s">
        <v>3654</v>
      </c>
      <c r="Q45" s="1069"/>
    </row>
    <row r="46" spans="1:31" ht="22.5" customHeight="1">
      <c r="A46" s="1111"/>
      <c r="B46" s="1111"/>
      <c r="C46" s="1111"/>
      <c r="D46" s="1111"/>
      <c r="E46" s="1111"/>
      <c r="F46" s="1621" t="s">
        <v>3664</v>
      </c>
      <c r="G46" s="172"/>
      <c r="I46" s="1062" t="s">
        <v>3663</v>
      </c>
      <c r="K46" s="1621" t="s">
        <v>3664</v>
      </c>
      <c r="M46" s="808"/>
      <c r="N46" s="1062" t="s">
        <v>3663</v>
      </c>
      <c r="O46" s="808"/>
      <c r="P46" s="1069"/>
      <c r="Q46" s="1069"/>
    </row>
    <row r="47" spans="1:31" ht="12.75" customHeight="1">
      <c r="A47" s="171"/>
      <c r="D47" s="1622" t="s">
        <v>3643</v>
      </c>
      <c r="F47" s="1623"/>
      <c r="G47" s="1624" t="s">
        <v>3645</v>
      </c>
      <c r="I47" s="1063"/>
      <c r="K47" s="1623"/>
      <c r="L47" s="1624" t="s">
        <v>3645</v>
      </c>
      <c r="N47" s="1063"/>
      <c r="O47" s="808"/>
      <c r="P47" s="1070"/>
      <c r="Q47" s="1070"/>
    </row>
    <row r="48" spans="1:31" ht="11.45" customHeight="1">
      <c r="A48" s="171"/>
      <c r="D48" s="1625" t="s">
        <v>736</v>
      </c>
      <c r="F48" s="536">
        <f>'Part VI-Revenues &amp; Expenses'!H62-'Part VI-Revenues &amp; Expenses'!H82</f>
        <v>0</v>
      </c>
      <c r="G48" s="1626">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26">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10958526</v>
      </c>
      <c r="Q48" s="1068"/>
    </row>
    <row r="49" spans="1:31" ht="11.45" customHeight="1">
      <c r="A49" s="171"/>
      <c r="D49" s="1625" t="s">
        <v>3641</v>
      </c>
      <c r="F49" s="536">
        <f>'Part VI-Revenues &amp; Expenses'!I62-'Part VI-Revenues &amp; Expenses'!I82</f>
        <v>16</v>
      </c>
      <c r="G49" s="1626">
        <f>'DCA Underwriting Assumptions'!$K$11</f>
        <v>126647</v>
      </c>
      <c r="H49" s="575" t="str">
        <f>CONCATENATE("x ", F49," units = ")</f>
        <v xml:space="preserve">x 16 units = </v>
      </c>
      <c r="I49" s="678">
        <f>F49*G49</f>
        <v>2026352</v>
      </c>
      <c r="K49" s="536">
        <f>IF(AND('Part IV-Uses of Funds'!$T$162 = "Yes", 'Part IX A-Scoring Criteria'!$O$240 &gt; 0),'Part VI-Revenues &amp; Expenses'!I$82,0)</f>
        <v>0</v>
      </c>
      <c r="L49" s="1626">
        <f>'DCA Underwriting Assumptions'!$K$12</f>
        <v>139312</v>
      </c>
      <c r="M49" s="575" t="str">
        <f>CONCATENATE("x ", K49," units = ")</f>
        <v xml:space="preserve">x 0 units = </v>
      </c>
      <c r="N49" s="678">
        <f>K49*L49</f>
        <v>0</v>
      </c>
      <c r="O49" s="808"/>
      <c r="P49" s="1114" t="s">
        <v>3731</v>
      </c>
      <c r="Q49" s="1114"/>
    </row>
    <row r="50" spans="1:31" ht="11.45" customHeight="1">
      <c r="A50" s="171"/>
      <c r="D50" s="1625" t="s">
        <v>3642</v>
      </c>
      <c r="F50" s="536">
        <f>'Part VI-Revenues &amp; Expenses'!J62-'Part VI-Revenues &amp; Expenses'!J82</f>
        <v>58</v>
      </c>
      <c r="G50" s="1626">
        <f>'DCA Underwriting Assumptions'!$L$11</f>
        <v>154003</v>
      </c>
      <c r="H50" s="575" t="str">
        <f>CONCATENATE("x ", F50," units = ")</f>
        <v xml:space="preserve">x 58 units = </v>
      </c>
      <c r="I50" s="678">
        <f>F50*G50</f>
        <v>8932174</v>
      </c>
      <c r="K50" s="536">
        <f>IF(AND('Part IV-Uses of Funds'!$T$162 = "Yes", 'Part IX A-Scoring Criteria'!$O$240 &gt; 0),'Part VI-Revenues &amp; Expenses'!J$82,0)</f>
        <v>0</v>
      </c>
      <c r="L50" s="1626">
        <f>'DCA Underwriting Assumptions'!$L$12</f>
        <v>169403</v>
      </c>
      <c r="M50" s="575" t="str">
        <f>CONCATENATE("x ", K50," units = ")</f>
        <v xml:space="preserve">x 0 units = </v>
      </c>
      <c r="N50" s="678">
        <f>K50*L50</f>
        <v>0</v>
      </c>
      <c r="O50" s="808"/>
      <c r="P50" s="1115"/>
      <c r="Q50" s="1115"/>
    </row>
    <row r="51" spans="1:31" ht="11.45" customHeight="1">
      <c r="A51" s="171"/>
      <c r="D51" s="1625" t="s">
        <v>3651</v>
      </c>
      <c r="F51" s="536">
        <f>'Part VI-Revenues &amp; Expenses'!K62-'Part VI-Revenues &amp; Expenses'!K82</f>
        <v>0</v>
      </c>
      <c r="G51" s="1626">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26">
        <f>'DCA Underwriting Assumptions'!$M$12</f>
        <v>219152</v>
      </c>
      <c r="M51" s="575" t="str">
        <f>CONCATENATE("x ", K51," units = ")</f>
        <v xml:space="preserve">x 0 units = </v>
      </c>
      <c r="N51" s="678">
        <f>K51*L51</f>
        <v>0</v>
      </c>
      <c r="O51" s="808"/>
      <c r="P51" s="1115"/>
      <c r="Q51" s="1115"/>
    </row>
    <row r="52" spans="1:31" ht="11.45" customHeight="1">
      <c r="A52" s="171"/>
      <c r="D52" s="1627" t="s">
        <v>3652</v>
      </c>
      <c r="F52" s="536">
        <f>'Part VI-Revenues &amp; Expenses'!L62-'Part VI-Revenues &amp; Expenses'!L82</f>
        <v>0</v>
      </c>
      <c r="G52" s="1626">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26">
        <f>'DCA Underwriting Assumptions'!$N$12</f>
        <v>219152</v>
      </c>
      <c r="M52" s="575" t="str">
        <f>CONCATENATE("x ", K52," units = ")</f>
        <v xml:space="preserve">x 0 units = </v>
      </c>
      <c r="N52" s="678">
        <f>K52*L52</f>
        <v>0</v>
      </c>
      <c r="O52" s="808"/>
      <c r="P52" s="1115"/>
      <c r="Q52" s="1115"/>
    </row>
    <row r="53" spans="1:31" ht="11.45" customHeight="1">
      <c r="A53" s="171"/>
      <c r="C53" s="172"/>
      <c r="D53" s="676" t="s">
        <v>3653</v>
      </c>
      <c r="F53" s="675">
        <f>SUM(F48:F52)</f>
        <v>74</v>
      </c>
      <c r="G53" s="1628"/>
      <c r="H53" s="536"/>
      <c r="I53" s="677">
        <f>SUM(I48:I52)</f>
        <v>10958526</v>
      </c>
      <c r="K53" s="675">
        <f>SUM(K48:K52)</f>
        <v>0</v>
      </c>
      <c r="M53" s="536"/>
      <c r="N53" s="677">
        <f>SUM(N48:N52)</f>
        <v>0</v>
      </c>
      <c r="O53" s="808"/>
      <c r="P53" s="1115"/>
      <c r="Q53" s="1115"/>
    </row>
    <row r="54" spans="1:31" ht="3.75" customHeight="1">
      <c r="A54" s="171"/>
      <c r="C54" s="172"/>
      <c r="E54" s="64"/>
      <c r="F54" s="1628"/>
      <c r="G54" s="64"/>
      <c r="I54" s="64"/>
      <c r="J54" s="64"/>
      <c r="K54" s="808"/>
      <c r="L54" s="1629"/>
      <c r="M54" s="808"/>
      <c r="N54" s="808"/>
      <c r="O54" s="808"/>
      <c r="P54" s="808"/>
      <c r="Q54" s="808"/>
    </row>
    <row r="55" spans="1:31" ht="11.25" customHeight="1">
      <c r="B55" s="116" t="s">
        <v>2569</v>
      </c>
      <c r="D55" s="116"/>
      <c r="E55" s="116"/>
      <c r="F55" s="116"/>
      <c r="G55" s="116"/>
      <c r="H55" s="813"/>
      <c r="I55" s="162"/>
      <c r="J55" s="162"/>
      <c r="K55" s="169" t="s">
        <v>2570</v>
      </c>
      <c r="L55" s="804"/>
      <c r="M55" s="804"/>
      <c r="N55" s="804"/>
      <c r="O55" s="804"/>
      <c r="P55" s="804"/>
      <c r="Q55" s="59"/>
    </row>
    <row r="56" spans="1:31" ht="11.45" customHeight="1">
      <c r="A56" s="1609"/>
      <c r="B56" s="1610"/>
      <c r="C56" s="1610"/>
      <c r="D56" s="1610"/>
      <c r="E56" s="1610"/>
      <c r="F56" s="1610"/>
      <c r="G56" s="1610"/>
      <c r="H56" s="1610"/>
      <c r="I56" s="1610"/>
      <c r="J56" s="1611"/>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2571</v>
      </c>
      <c r="P58" s="1045"/>
      <c r="Q58" s="1046"/>
    </row>
    <row r="59" spans="1:31" ht="3" customHeight="1"/>
    <row r="60" spans="1:31" ht="11.45" customHeight="1">
      <c r="A60" s="171"/>
      <c r="C60" s="172" t="s">
        <v>105</v>
      </c>
      <c r="D60" s="172"/>
      <c r="E60" s="172"/>
      <c r="F60" s="172"/>
      <c r="G60" s="172"/>
      <c r="H60" s="172"/>
      <c r="K60" s="1630" t="str">
        <f>'Part I-Project Information'!$H$65</f>
        <v>HFOP</v>
      </c>
      <c r="L60" s="1631"/>
      <c r="M60" s="1632"/>
      <c r="N60" s="808"/>
    </row>
    <row r="61" spans="1:31" ht="11.25" customHeight="1">
      <c r="B61" s="116" t="s">
        <v>2569</v>
      </c>
      <c r="D61" s="116"/>
      <c r="E61" s="116"/>
      <c r="F61" s="116"/>
      <c r="G61" s="116"/>
      <c r="H61" s="813"/>
      <c r="I61" s="162"/>
      <c r="J61" s="162"/>
      <c r="K61" s="169" t="s">
        <v>2570</v>
      </c>
      <c r="L61" s="804"/>
      <c r="M61" s="804"/>
      <c r="N61" s="804"/>
      <c r="O61" s="804"/>
      <c r="P61" s="804"/>
      <c r="Q61" s="59"/>
    </row>
    <row r="62" spans="1:31" ht="11.45" customHeight="1">
      <c r="A62" s="1609"/>
      <c r="B62" s="1610"/>
      <c r="C62" s="1610"/>
      <c r="D62" s="1610"/>
      <c r="E62" s="1610"/>
      <c r="F62" s="1610"/>
      <c r="G62" s="1610"/>
      <c r="H62" s="1610"/>
      <c r="I62" s="1610"/>
      <c r="J62" s="1611"/>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3485</v>
      </c>
      <c r="C64" s="136"/>
      <c r="D64" s="808"/>
      <c r="E64" s="808"/>
      <c r="F64" s="808"/>
      <c r="G64" s="808"/>
      <c r="H64" s="808"/>
      <c r="I64" s="808"/>
      <c r="J64" s="808"/>
      <c r="K64" s="808"/>
      <c r="L64" s="808"/>
      <c r="M64" s="808"/>
      <c r="O64" s="163" t="s">
        <v>2571</v>
      </c>
      <c r="P64" s="1045"/>
      <c r="Q64" s="1046"/>
    </row>
    <row r="65" spans="1:31" ht="3" customHeight="1"/>
    <row r="66" spans="1:31" ht="12.6" customHeight="1">
      <c r="B66" s="174" t="s">
        <v>2693</v>
      </c>
      <c r="C66" s="1090" t="s">
        <v>336</v>
      </c>
      <c r="D66" s="1091"/>
      <c r="E66" s="1091"/>
      <c r="F66" s="1091"/>
      <c r="G66" s="1091"/>
      <c r="H66" s="1091"/>
      <c r="I66" s="1091"/>
      <c r="J66" s="1091"/>
      <c r="K66" s="1091"/>
      <c r="L66" s="1091"/>
      <c r="M66" s="1091"/>
      <c r="O66" s="175"/>
      <c r="P66" s="1605" t="s">
        <v>4103</v>
      </c>
    </row>
    <row r="67" spans="1:31" ht="12" customHeight="1">
      <c r="B67" s="54" t="s">
        <v>2696</v>
      </c>
      <c r="C67" s="38" t="s">
        <v>3665</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3619</v>
      </c>
      <c r="K68" s="1633" t="s">
        <v>4147</v>
      </c>
      <c r="L68" s="1634"/>
      <c r="M68" s="1634"/>
      <c r="N68" s="1634"/>
      <c r="O68" s="1634"/>
      <c r="P68" s="1635"/>
      <c r="Q68" s="38"/>
    </row>
    <row r="69" spans="1:31" ht="10.9" customHeight="1">
      <c r="A69" s="176"/>
      <c r="B69" s="49"/>
      <c r="C69" s="78" t="s">
        <v>2431</v>
      </c>
      <c r="D69" s="38" t="s">
        <v>2506</v>
      </c>
      <c r="E69" s="803"/>
      <c r="F69" s="803"/>
      <c r="G69" s="803"/>
      <c r="H69" s="40"/>
      <c r="I69" s="49"/>
      <c r="J69" s="44" t="s">
        <v>3619</v>
      </c>
      <c r="K69" s="1636" t="s">
        <v>4146</v>
      </c>
      <c r="L69" s="1637"/>
      <c r="M69" s="1637"/>
      <c r="N69" s="1637"/>
      <c r="O69" s="1637"/>
      <c r="P69" s="1638"/>
      <c r="Q69" s="38"/>
    </row>
    <row r="70" spans="1:31" ht="10.9" customHeight="1">
      <c r="A70" s="176"/>
      <c r="B70" s="49"/>
      <c r="C70" s="78" t="s">
        <v>2432</v>
      </c>
      <c r="D70" s="38" t="s">
        <v>337</v>
      </c>
      <c r="E70" s="803"/>
      <c r="J70" s="44" t="s">
        <v>3619</v>
      </c>
      <c r="K70" s="1639" t="s">
        <v>1369</v>
      </c>
      <c r="L70" s="1640"/>
      <c r="M70" s="1640"/>
      <c r="N70" s="1640"/>
      <c r="O70" s="1640"/>
      <c r="P70" s="1641"/>
      <c r="Q70" s="38"/>
    </row>
    <row r="71" spans="1:31" ht="11.25" customHeight="1">
      <c r="B71" s="116" t="s">
        <v>2569</v>
      </c>
      <c r="D71" s="116"/>
      <c r="E71" s="116"/>
      <c r="F71" s="116"/>
      <c r="G71" s="116"/>
      <c r="H71" s="813"/>
      <c r="I71" s="162"/>
      <c r="J71" s="162"/>
      <c r="K71" s="162"/>
      <c r="L71" s="804"/>
      <c r="M71" s="804"/>
      <c r="N71" s="804"/>
      <c r="O71" s="804"/>
      <c r="P71" s="804"/>
      <c r="Q71" s="59"/>
    </row>
    <row r="72" spans="1:31" ht="12" customHeight="1">
      <c r="A72" s="1609" t="s">
        <v>4151</v>
      </c>
      <c r="B72" s="1610"/>
      <c r="C72" s="1610"/>
      <c r="D72" s="1610"/>
      <c r="E72" s="1610"/>
      <c r="F72" s="1610"/>
      <c r="G72" s="1610"/>
      <c r="H72" s="1610"/>
      <c r="I72" s="1610"/>
      <c r="J72" s="1610"/>
      <c r="K72" s="1610"/>
      <c r="L72" s="1610"/>
      <c r="M72" s="1610"/>
      <c r="N72" s="1610"/>
      <c r="O72" s="1610"/>
      <c r="P72" s="1610"/>
      <c r="Q72" s="1611"/>
      <c r="U72" s="168"/>
      <c r="V72" s="168"/>
      <c r="W72" s="168"/>
      <c r="X72" s="168"/>
      <c r="Y72" s="168"/>
      <c r="Z72" s="168"/>
      <c r="AA72" s="168"/>
      <c r="AB72" s="168"/>
      <c r="AC72" s="168"/>
      <c r="AD72" s="168"/>
      <c r="AE72" s="656"/>
    </row>
    <row r="73" spans="1:31" ht="11.25" customHeight="1">
      <c r="B73" s="169" t="s">
        <v>2570</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3486</v>
      </c>
      <c r="C76" s="810"/>
      <c r="D76" s="808"/>
      <c r="E76" s="808"/>
      <c r="F76" s="808"/>
      <c r="G76" s="808"/>
      <c r="H76" s="808"/>
      <c r="I76" s="808"/>
      <c r="J76" s="808"/>
      <c r="K76" s="808"/>
      <c r="O76" s="163" t="s">
        <v>2571</v>
      </c>
      <c r="P76" s="1045"/>
      <c r="Q76" s="1046"/>
    </row>
    <row r="77" spans="1:31" ht="3" customHeight="1"/>
    <row r="78" spans="1:31" ht="12" customHeight="1">
      <c r="B78" s="54" t="s">
        <v>2693</v>
      </c>
      <c r="C78" s="177" t="s">
        <v>3237</v>
      </c>
      <c r="D78" s="165"/>
      <c r="E78" s="165"/>
      <c r="F78" s="165"/>
      <c r="G78" s="165"/>
      <c r="H78" s="165"/>
      <c r="I78" s="49"/>
      <c r="J78" s="49"/>
      <c r="K78" s="49"/>
      <c r="L78" s="654" t="s">
        <v>2693</v>
      </c>
      <c r="M78" s="1633" t="s">
        <v>4104</v>
      </c>
      <c r="N78" s="1634"/>
      <c r="O78" s="1634"/>
      <c r="P78" s="1642"/>
      <c r="Q78" s="210"/>
    </row>
    <row r="79" spans="1:31" ht="12" customHeight="1">
      <c r="B79" s="54" t="s">
        <v>2696</v>
      </c>
      <c r="C79" s="61" t="s">
        <v>2748</v>
      </c>
      <c r="D79" s="165"/>
      <c r="E79" s="165"/>
      <c r="F79" s="165"/>
      <c r="L79" s="654" t="s">
        <v>2696</v>
      </c>
      <c r="M79" s="1636" t="s">
        <v>4162</v>
      </c>
      <c r="N79" s="1637"/>
      <c r="O79" s="1637"/>
      <c r="P79" s="1643"/>
      <c r="Q79" s="210"/>
    </row>
    <row r="80" spans="1:31" ht="12" customHeight="1">
      <c r="B80" s="54" t="s">
        <v>1054</v>
      </c>
      <c r="C80" s="61" t="s">
        <v>3238</v>
      </c>
      <c r="D80" s="165"/>
      <c r="E80" s="165"/>
      <c r="F80" s="165"/>
      <c r="L80" s="654" t="s">
        <v>1054</v>
      </c>
      <c r="M80" s="1636" t="s">
        <v>4162</v>
      </c>
      <c r="N80" s="1637"/>
      <c r="O80" s="1637"/>
      <c r="P80" s="1643"/>
      <c r="Q80" s="321"/>
    </row>
    <row r="81" spans="1:31" ht="12" customHeight="1">
      <c r="B81" s="54" t="s">
        <v>2829</v>
      </c>
      <c r="C81" s="61" t="s">
        <v>3239</v>
      </c>
      <c r="D81" s="165"/>
      <c r="E81" s="165"/>
      <c r="F81" s="165"/>
      <c r="L81" s="654" t="s">
        <v>2829</v>
      </c>
      <c r="M81" s="1644">
        <v>0.19600000000000001</v>
      </c>
      <c r="N81" s="1640"/>
      <c r="O81" s="1640"/>
      <c r="P81" s="1645"/>
      <c r="Q81" s="210"/>
    </row>
    <row r="82" spans="1:31" ht="22.15" customHeight="1">
      <c r="B82" s="174" t="s">
        <v>2428</v>
      </c>
      <c r="C82" s="1047" t="s">
        <v>3633</v>
      </c>
      <c r="D82" s="1047"/>
      <c r="E82" s="1047"/>
      <c r="F82" s="1047"/>
      <c r="G82" s="1047"/>
      <c r="H82" s="1047"/>
      <c r="I82" s="1047"/>
      <c r="J82" s="1047"/>
      <c r="K82" s="1047"/>
      <c r="L82" s="1047"/>
      <c r="M82" s="1047"/>
      <c r="N82" s="1047"/>
      <c r="O82" s="1047"/>
      <c r="P82" s="1047"/>
      <c r="Q82" s="1047"/>
    </row>
    <row r="83" spans="1:31" ht="12" customHeight="1">
      <c r="B83" s="54"/>
      <c r="C83" s="61"/>
      <c r="D83" s="669" t="s">
        <v>3133</v>
      </c>
      <c r="E83" s="38" t="s">
        <v>797</v>
      </c>
      <c r="F83" s="38"/>
      <c r="H83" s="61"/>
      <c r="I83" s="669" t="s">
        <v>3133</v>
      </c>
      <c r="J83" s="38" t="s">
        <v>797</v>
      </c>
      <c r="K83" s="38"/>
      <c r="M83" s="61"/>
      <c r="N83" s="669" t="s">
        <v>3133</v>
      </c>
      <c r="O83" s="38" t="s">
        <v>797</v>
      </c>
      <c r="P83" s="38"/>
      <c r="Q83" s="654"/>
    </row>
    <row r="84" spans="1:31" ht="12" customHeight="1">
      <c r="B84" s="54"/>
      <c r="C84" s="61">
        <v>1</v>
      </c>
      <c r="D84" s="1646"/>
      <c r="E84" s="1647"/>
      <c r="F84" s="1647"/>
      <c r="G84" s="1647"/>
      <c r="H84" s="61">
        <v>3</v>
      </c>
      <c r="I84" s="1646"/>
      <c r="J84" s="1647"/>
      <c r="K84" s="1647"/>
      <c r="L84" s="1647"/>
      <c r="M84" s="61">
        <v>5</v>
      </c>
      <c r="N84" s="1646"/>
      <c r="O84" s="1647"/>
      <c r="P84" s="1647"/>
      <c r="Q84" s="1647"/>
    </row>
    <row r="85" spans="1:31" ht="12" customHeight="1">
      <c r="B85" s="54"/>
      <c r="C85" s="61">
        <v>2</v>
      </c>
      <c r="D85" s="1648"/>
      <c r="E85" s="1649"/>
      <c r="F85" s="1649"/>
      <c r="G85" s="1649"/>
      <c r="H85" s="61">
        <v>4</v>
      </c>
      <c r="I85" s="1648"/>
      <c r="J85" s="1649"/>
      <c r="K85" s="1649"/>
      <c r="L85" s="1649"/>
      <c r="M85" s="61">
        <v>6</v>
      </c>
      <c r="N85" s="1648"/>
      <c r="O85" s="1649"/>
      <c r="P85" s="1649"/>
      <c r="Q85" s="1649"/>
    </row>
    <row r="86" spans="1:31" ht="12" customHeight="1">
      <c r="B86" s="54" t="s">
        <v>2429</v>
      </c>
      <c r="C86" s="61" t="s">
        <v>0</v>
      </c>
      <c r="D86" s="165"/>
      <c r="E86" s="165"/>
      <c r="F86" s="165"/>
      <c r="G86" s="165"/>
      <c r="H86" s="165"/>
      <c r="I86" s="49"/>
      <c r="J86" s="49"/>
      <c r="K86" s="165"/>
      <c r="L86" s="803"/>
      <c r="M86" s="803"/>
      <c r="O86" s="654" t="s">
        <v>2429</v>
      </c>
      <c r="P86" s="1650" t="s">
        <v>4061</v>
      </c>
      <c r="Q86" s="321"/>
    </row>
    <row r="87" spans="1:31" ht="11.25" customHeight="1">
      <c r="B87" s="173" t="s">
        <v>2569</v>
      </c>
      <c r="D87" s="173"/>
      <c r="E87" s="173"/>
      <c r="F87" s="173"/>
      <c r="G87" s="173"/>
      <c r="H87" s="813"/>
      <c r="I87" s="162"/>
      <c r="J87" s="162"/>
      <c r="K87" s="162"/>
      <c r="L87" s="804"/>
      <c r="M87" s="804"/>
      <c r="N87" s="804"/>
      <c r="O87" s="804"/>
      <c r="P87" s="804"/>
      <c r="Q87" s="59"/>
    </row>
    <row r="88" spans="1:31" ht="22.9" customHeight="1">
      <c r="A88" s="1609" t="s">
        <v>4105</v>
      </c>
      <c r="B88" s="1610"/>
      <c r="C88" s="1610"/>
      <c r="D88" s="1610"/>
      <c r="E88" s="1610"/>
      <c r="F88" s="1610"/>
      <c r="G88" s="1610"/>
      <c r="H88" s="1610"/>
      <c r="I88" s="1610"/>
      <c r="J88" s="1610"/>
      <c r="K88" s="1610"/>
      <c r="L88" s="1610"/>
      <c r="M88" s="1610"/>
      <c r="N88" s="1610"/>
      <c r="O88" s="1610"/>
      <c r="P88" s="1610"/>
      <c r="Q88" s="1611"/>
      <c r="U88" s="168"/>
      <c r="V88" s="168"/>
      <c r="W88" s="168"/>
      <c r="X88" s="168"/>
      <c r="Y88" s="168"/>
      <c r="Z88" s="168"/>
      <c r="AA88" s="168"/>
      <c r="AB88" s="168"/>
      <c r="AC88" s="168"/>
      <c r="AD88" s="168"/>
      <c r="AE88" s="656"/>
    </row>
    <row r="89" spans="1:31" ht="11.25" customHeight="1">
      <c r="B89" s="169" t="s">
        <v>2570</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3487</v>
      </c>
      <c r="C91" s="810"/>
      <c r="D91" s="808"/>
      <c r="E91" s="808"/>
      <c r="F91" s="808"/>
      <c r="G91" s="808"/>
      <c r="H91" s="808"/>
      <c r="I91" s="808"/>
      <c r="J91" s="808"/>
      <c r="K91" s="808"/>
      <c r="L91" s="808"/>
      <c r="M91" s="808"/>
      <c r="O91" s="163" t="s">
        <v>2571</v>
      </c>
      <c r="P91" s="1045"/>
      <c r="Q91" s="1046"/>
    </row>
    <row r="92" spans="1:31" ht="3" customHeight="1"/>
    <row r="93" spans="1:31" ht="12" customHeight="1">
      <c r="B93" s="54" t="s">
        <v>2693</v>
      </c>
      <c r="C93" s="61" t="s">
        <v>628</v>
      </c>
      <c r="D93" s="61"/>
      <c r="E93" s="61"/>
      <c r="F93" s="61"/>
      <c r="G93" s="61"/>
      <c r="H93" s="61"/>
      <c r="I93" s="61"/>
      <c r="J93" s="61"/>
      <c r="K93" s="61"/>
      <c r="L93" s="61"/>
      <c r="M93" s="61"/>
      <c r="O93" s="654" t="s">
        <v>2693</v>
      </c>
      <c r="P93" s="1605" t="s">
        <v>4070</v>
      </c>
      <c r="Q93" s="210"/>
    </row>
    <row r="94" spans="1:31" ht="12" customHeight="1">
      <c r="B94" s="54" t="s">
        <v>2696</v>
      </c>
      <c r="C94" s="61" t="s">
        <v>1738</v>
      </c>
      <c r="D94" s="61"/>
      <c r="E94" s="61"/>
      <c r="F94" s="61"/>
      <c r="G94" s="61"/>
      <c r="H94" s="61"/>
      <c r="I94" s="61"/>
      <c r="J94" s="61"/>
      <c r="K94" s="61"/>
      <c r="L94" s="38"/>
      <c r="M94" s="38"/>
      <c r="O94" s="654" t="s">
        <v>2696</v>
      </c>
      <c r="P94" s="1605" t="s">
        <v>4070</v>
      </c>
      <c r="Q94" s="210"/>
    </row>
    <row r="95" spans="1:31" ht="12" customHeight="1">
      <c r="A95" s="164"/>
      <c r="B95" s="44"/>
      <c r="D95" s="47" t="s">
        <v>721</v>
      </c>
      <c r="E95" s="49"/>
      <c r="F95" s="49"/>
      <c r="G95" s="49"/>
      <c r="H95" s="49"/>
      <c r="I95" s="49"/>
      <c r="L95" s="78" t="s">
        <v>722</v>
      </c>
      <c r="M95" s="1651" t="s">
        <v>1369</v>
      </c>
      <c r="N95" s="1652"/>
      <c r="O95" s="1652"/>
      <c r="P95" s="1653"/>
      <c r="Q95" s="210"/>
    </row>
    <row r="96" spans="1:31" ht="22.9" customHeight="1">
      <c r="A96" s="176"/>
      <c r="B96" s="162"/>
      <c r="C96" s="183" t="s">
        <v>2430</v>
      </c>
      <c r="D96" s="1028" t="s">
        <v>591</v>
      </c>
      <c r="E96" s="1654"/>
      <c r="F96" s="1654"/>
      <c r="G96" s="1654"/>
      <c r="H96" s="1654"/>
      <c r="I96" s="1654"/>
      <c r="J96" s="1654"/>
      <c r="K96" s="1654"/>
      <c r="L96" s="1654"/>
      <c r="M96" s="1654"/>
      <c r="N96" s="1654"/>
      <c r="O96" s="183" t="s">
        <v>2430</v>
      </c>
      <c r="P96" s="1605"/>
      <c r="Q96" s="210"/>
    </row>
    <row r="97" spans="1:32" ht="12" customHeight="1">
      <c r="A97" s="176"/>
      <c r="B97" s="162"/>
      <c r="C97" s="78" t="s">
        <v>2431</v>
      </c>
      <c r="D97" s="61" t="s">
        <v>153</v>
      </c>
      <c r="E97" s="61"/>
      <c r="F97" s="61"/>
      <c r="G97" s="61"/>
      <c r="H97" s="61"/>
      <c r="I97" s="61"/>
      <c r="J97" s="61"/>
      <c r="K97" s="61"/>
      <c r="L97" s="61"/>
      <c r="M97" s="61"/>
      <c r="O97" s="78" t="s">
        <v>2431</v>
      </c>
      <c r="P97" s="1605"/>
      <c r="Q97" s="210"/>
    </row>
    <row r="98" spans="1:32" s="164" customFormat="1" ht="24.75" customHeight="1">
      <c r="A98" s="176"/>
      <c r="B98" s="592"/>
      <c r="C98" s="183" t="s">
        <v>2432</v>
      </c>
      <c r="D98" s="1047" t="s">
        <v>3582</v>
      </c>
      <c r="E98" s="1047"/>
      <c r="F98" s="1047"/>
      <c r="G98" s="1047"/>
      <c r="H98" s="1047"/>
      <c r="I98" s="1047"/>
      <c r="J98" s="1047"/>
      <c r="K98" s="1047"/>
      <c r="L98" s="1047"/>
      <c r="M98" s="1047"/>
      <c r="N98" s="1047"/>
      <c r="O98" s="183" t="s">
        <v>2432</v>
      </c>
      <c r="P98" s="1655"/>
      <c r="Q98" s="323"/>
      <c r="AE98" s="657"/>
      <c r="AF98" s="657"/>
    </row>
    <row r="99" spans="1:32" ht="12" customHeight="1">
      <c r="B99" s="54" t="s">
        <v>1054</v>
      </c>
      <c r="C99" s="61" t="s">
        <v>154</v>
      </c>
      <c r="D99" s="61"/>
      <c r="E99" s="61"/>
      <c r="F99" s="61"/>
      <c r="G99" s="61"/>
      <c r="H99" s="61"/>
      <c r="I99" s="61"/>
      <c r="J99" s="61"/>
      <c r="K99" s="61"/>
      <c r="L99" s="61"/>
      <c r="M99" s="61"/>
      <c r="O99" s="654" t="s">
        <v>1054</v>
      </c>
      <c r="P99" s="1605" t="s">
        <v>4070</v>
      </c>
      <c r="Q99" s="210"/>
    </row>
    <row r="100" spans="1:32" ht="12" customHeight="1">
      <c r="B100" s="54" t="s">
        <v>2829</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05" t="s">
        <v>4070</v>
      </c>
      <c r="Q101" s="210"/>
    </row>
    <row r="102" spans="1:32" ht="12" customHeight="1">
      <c r="B102" s="54"/>
      <c r="C102" s="78" t="s">
        <v>2431</v>
      </c>
      <c r="D102" s="61" t="s">
        <v>1873</v>
      </c>
      <c r="E102" s="61"/>
      <c r="F102" s="61"/>
      <c r="G102" s="61"/>
      <c r="H102" s="61"/>
      <c r="I102" s="61"/>
      <c r="J102" s="61"/>
      <c r="K102" s="61"/>
      <c r="L102" s="38"/>
      <c r="M102" s="38"/>
      <c r="O102" s="78" t="s">
        <v>2431</v>
      </c>
      <c r="P102" s="1605" t="s">
        <v>4070</v>
      </c>
      <c r="Q102" s="210"/>
    </row>
    <row r="103" spans="1:32" ht="12" customHeight="1">
      <c r="B103" s="54"/>
      <c r="C103" s="78" t="s">
        <v>2432</v>
      </c>
      <c r="D103" s="61" t="s">
        <v>1874</v>
      </c>
      <c r="E103" s="61"/>
      <c r="F103" s="61"/>
      <c r="G103" s="61"/>
      <c r="H103" s="61"/>
      <c r="I103" s="61"/>
      <c r="J103" s="61"/>
      <c r="K103" s="61"/>
      <c r="L103" s="38"/>
      <c r="M103" s="38"/>
      <c r="O103" s="78" t="s">
        <v>2432</v>
      </c>
      <c r="P103" s="1605" t="s">
        <v>4070</v>
      </c>
      <c r="Q103" s="210"/>
    </row>
    <row r="104" spans="1:32" ht="11.25" customHeight="1">
      <c r="B104" s="173" t="s">
        <v>2569</v>
      </c>
      <c r="D104" s="173"/>
      <c r="E104" s="173"/>
      <c r="F104" s="173"/>
      <c r="G104" s="173"/>
      <c r="H104" s="813"/>
      <c r="I104" s="162"/>
      <c r="J104" s="162"/>
      <c r="K104" s="162"/>
      <c r="L104" s="804"/>
      <c r="M104" s="804"/>
      <c r="N104" s="804"/>
      <c r="O104" s="804"/>
      <c r="P104" s="804"/>
      <c r="Q104" s="59"/>
    </row>
    <row r="105" spans="1:32" ht="13.15" customHeight="1">
      <c r="A105" s="1609" t="s">
        <v>4106</v>
      </c>
      <c r="B105" s="1610"/>
      <c r="C105" s="1610"/>
      <c r="D105" s="1610"/>
      <c r="E105" s="1610"/>
      <c r="F105" s="1610"/>
      <c r="G105" s="1610"/>
      <c r="H105" s="1610"/>
      <c r="I105" s="1610"/>
      <c r="J105" s="1610"/>
      <c r="K105" s="1610"/>
      <c r="L105" s="1610"/>
      <c r="M105" s="1610"/>
      <c r="N105" s="1610"/>
      <c r="O105" s="1610"/>
      <c r="P105" s="1610"/>
      <c r="Q105" s="1611"/>
      <c r="U105" s="168"/>
      <c r="V105" s="168"/>
      <c r="W105" s="168"/>
      <c r="X105" s="168"/>
      <c r="Y105" s="168"/>
      <c r="Z105" s="168"/>
      <c r="AA105" s="168"/>
      <c r="AB105" s="168"/>
      <c r="AC105" s="168"/>
      <c r="AD105" s="168"/>
      <c r="AE105" s="656"/>
    </row>
    <row r="106" spans="1:32" ht="11.25" customHeight="1">
      <c r="B106" s="169" t="s">
        <v>2570</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3488</v>
      </c>
      <c r="C109" s="813"/>
      <c r="D109" s="808"/>
      <c r="E109" s="808"/>
      <c r="F109" s="808"/>
      <c r="G109" s="808"/>
      <c r="H109" s="808"/>
      <c r="I109" s="808"/>
      <c r="J109" s="808"/>
      <c r="K109" s="808"/>
      <c r="L109" s="808"/>
      <c r="M109" s="808"/>
      <c r="O109" s="163" t="s">
        <v>2571</v>
      </c>
      <c r="P109" s="1045"/>
      <c r="Q109" s="1046"/>
    </row>
    <row r="110" spans="1:32" ht="6.6" customHeight="1"/>
    <row r="111" spans="1:32" ht="12" customHeight="1">
      <c r="B111" s="54" t="s">
        <v>2693</v>
      </c>
      <c r="C111" s="61" t="s">
        <v>3579</v>
      </c>
      <c r="D111" s="165"/>
      <c r="E111" s="165"/>
      <c r="F111" s="165"/>
      <c r="G111" s="165"/>
      <c r="H111" s="165"/>
      <c r="I111" s="49"/>
      <c r="J111" s="49"/>
      <c r="K111" s="49"/>
      <c r="L111" s="654" t="s">
        <v>2693</v>
      </c>
      <c r="M111" s="1656" t="s">
        <v>4130</v>
      </c>
      <c r="N111" s="1657"/>
      <c r="O111" s="1657"/>
      <c r="P111" s="1658"/>
      <c r="Q111" s="210"/>
    </row>
    <row r="112" spans="1:32" ht="12" customHeight="1">
      <c r="B112" s="54" t="s">
        <v>2696</v>
      </c>
      <c r="C112" s="61" t="s">
        <v>1997</v>
      </c>
      <c r="D112" s="165"/>
      <c r="E112" s="165"/>
      <c r="F112" s="165"/>
      <c r="G112" s="165"/>
      <c r="H112" s="165"/>
      <c r="I112" s="49"/>
      <c r="J112" s="49"/>
      <c r="K112" s="165"/>
      <c r="L112" s="165"/>
      <c r="M112" s="803"/>
      <c r="O112" s="654" t="s">
        <v>2696</v>
      </c>
      <c r="P112" s="1605" t="s">
        <v>4070</v>
      </c>
      <c r="Q112" s="321"/>
    </row>
    <row r="113" spans="2:17" ht="12" customHeight="1">
      <c r="B113" s="54" t="s">
        <v>1054</v>
      </c>
      <c r="C113" s="61" t="s">
        <v>165</v>
      </c>
      <c r="D113" s="165"/>
      <c r="E113" s="165"/>
      <c r="F113" s="165"/>
      <c r="G113" s="165"/>
      <c r="H113" s="165"/>
      <c r="I113" s="49"/>
      <c r="J113" s="49"/>
      <c r="K113" s="165"/>
      <c r="L113" s="803"/>
      <c r="M113" s="803"/>
      <c r="O113" s="654" t="s">
        <v>1054</v>
      </c>
      <c r="P113" s="1605" t="s">
        <v>4061</v>
      </c>
      <c r="Q113" s="210"/>
    </row>
    <row r="114" spans="2:17" ht="12" customHeight="1">
      <c r="B114" s="54"/>
      <c r="C114" s="77" t="s">
        <v>2430</v>
      </c>
      <c r="D114" s="61" t="s">
        <v>3580</v>
      </c>
      <c r="E114" s="165"/>
      <c r="F114" s="165"/>
      <c r="G114" s="165"/>
      <c r="H114" s="165"/>
      <c r="I114" s="49"/>
      <c r="J114" s="49"/>
      <c r="K114" s="165"/>
      <c r="L114" s="78" t="s">
        <v>2430</v>
      </c>
      <c r="M114" s="1659" t="s">
        <v>4163</v>
      </c>
      <c r="N114" s="1660"/>
      <c r="O114" s="1660"/>
      <c r="P114" s="1661"/>
      <c r="Q114" s="321"/>
    </row>
    <row r="115" spans="2:17" ht="12" customHeight="1">
      <c r="B115" s="171"/>
      <c r="C115" s="78" t="s">
        <v>2431</v>
      </c>
      <c r="D115" s="44" t="s">
        <v>3400</v>
      </c>
      <c r="E115" s="49"/>
      <c r="F115" s="49"/>
      <c r="G115" s="49"/>
      <c r="H115" s="61"/>
      <c r="I115" s="49"/>
      <c r="J115" s="49"/>
      <c r="K115" s="165"/>
      <c r="L115" s="803"/>
      <c r="M115" s="803"/>
      <c r="O115" s="654" t="s">
        <v>2431</v>
      </c>
      <c r="P115" s="1650">
        <v>69.38</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62" t="s">
        <v>4164</v>
      </c>
      <c r="E117" s="1663"/>
      <c r="F117" s="1663"/>
      <c r="G117" s="1663"/>
      <c r="H117" s="1663"/>
      <c r="I117" s="1663"/>
      <c r="J117" s="1663"/>
      <c r="K117" s="1663"/>
      <c r="L117" s="1663"/>
      <c r="M117" s="1663"/>
      <c r="N117" s="1663"/>
      <c r="O117" s="1663"/>
      <c r="P117" s="1663"/>
      <c r="Q117" s="1664"/>
    </row>
    <row r="118" spans="2:17" ht="12" customHeight="1">
      <c r="B118" s="54" t="s">
        <v>2829</v>
      </c>
      <c r="C118" s="61" t="s">
        <v>1685</v>
      </c>
      <c r="D118" s="165"/>
      <c r="E118" s="165"/>
      <c r="F118" s="165"/>
      <c r="G118" s="165"/>
      <c r="H118" s="165"/>
      <c r="I118" s="49"/>
      <c r="J118" s="49"/>
      <c r="K118" s="165"/>
      <c r="L118" s="803"/>
      <c r="M118" s="803"/>
      <c r="N118" s="803"/>
      <c r="O118" s="654" t="s">
        <v>2829</v>
      </c>
    </row>
    <row r="119" spans="2:17" ht="12" customHeight="1">
      <c r="B119" s="54"/>
      <c r="C119" s="78" t="s">
        <v>2430</v>
      </c>
      <c r="D119" s="61" t="s">
        <v>163</v>
      </c>
      <c r="E119" s="165"/>
      <c r="F119" s="165"/>
      <c r="G119" s="165"/>
      <c r="H119" s="165"/>
      <c r="I119" s="49"/>
      <c r="J119" s="49"/>
      <c r="K119" s="165"/>
      <c r="L119" s="803"/>
      <c r="M119" s="803"/>
      <c r="O119" s="78" t="s">
        <v>2430</v>
      </c>
      <c r="P119" s="1605" t="s">
        <v>4061</v>
      </c>
      <c r="Q119" s="210"/>
    </row>
    <row r="120" spans="2:17" ht="12" customHeight="1">
      <c r="B120" s="54"/>
      <c r="C120" s="78" t="s">
        <v>2431</v>
      </c>
      <c r="D120" s="61" t="s">
        <v>1686</v>
      </c>
      <c r="E120" s="165"/>
      <c r="F120" s="165"/>
      <c r="G120" s="165"/>
      <c r="H120" s="49"/>
      <c r="I120" s="49"/>
      <c r="J120" s="49"/>
      <c r="K120" s="165"/>
      <c r="L120" s="803"/>
      <c r="M120" s="803"/>
      <c r="O120" s="78" t="s">
        <v>2431</v>
      </c>
      <c r="P120" s="1650" t="s">
        <v>4070</v>
      </c>
      <c r="Q120" s="321"/>
    </row>
    <row r="121" spans="2:17" ht="12" customHeight="1">
      <c r="B121" s="54"/>
      <c r="C121" s="78"/>
      <c r="D121" s="61" t="s">
        <v>3463</v>
      </c>
      <c r="E121" s="608" t="s">
        <v>3200</v>
      </c>
      <c r="F121" s="61" t="s">
        <v>3464</v>
      </c>
      <c r="G121" s="49"/>
      <c r="H121" s="61"/>
      <c r="I121" s="49"/>
      <c r="J121" s="49"/>
      <c r="K121" s="165"/>
      <c r="L121" s="803"/>
      <c r="M121" s="803"/>
      <c r="O121" s="608" t="s">
        <v>3200</v>
      </c>
      <c r="P121" s="1665"/>
      <c r="Q121" s="385"/>
    </row>
    <row r="122" spans="2:17" ht="12" customHeight="1">
      <c r="B122" s="54"/>
      <c r="C122" s="78"/>
      <c r="E122" s="608" t="s">
        <v>3201</v>
      </c>
      <c r="F122" s="61" t="s">
        <v>3465</v>
      </c>
      <c r="G122" s="49"/>
      <c r="H122" s="61"/>
      <c r="I122" s="49"/>
      <c r="J122" s="49"/>
      <c r="K122" s="165"/>
      <c r="L122" s="803"/>
      <c r="M122" s="803"/>
      <c r="O122" s="608" t="s">
        <v>3201</v>
      </c>
      <c r="P122" s="1650"/>
      <c r="Q122" s="321"/>
    </row>
    <row r="123" spans="2:17" ht="12" customHeight="1">
      <c r="B123" s="54"/>
      <c r="C123" s="78"/>
      <c r="E123" s="608" t="s">
        <v>3202</v>
      </c>
      <c r="F123" s="61" t="s">
        <v>3466</v>
      </c>
      <c r="G123" s="49"/>
      <c r="H123" s="61"/>
      <c r="I123" s="49"/>
      <c r="J123" s="49"/>
      <c r="K123" s="165"/>
      <c r="L123" s="803"/>
      <c r="M123" s="803"/>
      <c r="O123" s="608" t="s">
        <v>3202</v>
      </c>
      <c r="P123" s="1650"/>
      <c r="Q123" s="321"/>
    </row>
    <row r="124" spans="2:17" ht="12" customHeight="1">
      <c r="B124" s="54"/>
      <c r="C124" s="78" t="s">
        <v>2432</v>
      </c>
      <c r="D124" s="61" t="s">
        <v>1687</v>
      </c>
      <c r="E124" s="165"/>
      <c r="F124" s="165"/>
      <c r="G124" s="165"/>
      <c r="H124" s="61"/>
      <c r="I124" s="49"/>
      <c r="J124" s="49"/>
      <c r="K124" s="165"/>
      <c r="L124" s="803"/>
      <c r="M124" s="803"/>
      <c r="O124" s="78" t="s">
        <v>2432</v>
      </c>
      <c r="P124" s="1605" t="s">
        <v>4061</v>
      </c>
      <c r="Q124" s="210"/>
    </row>
    <row r="125" spans="2:17" ht="12" customHeight="1">
      <c r="B125" s="54"/>
      <c r="C125" s="78"/>
      <c r="D125" s="61" t="s">
        <v>3463</v>
      </c>
      <c r="E125" s="608" t="s">
        <v>3200</v>
      </c>
      <c r="F125" s="61" t="s">
        <v>3467</v>
      </c>
      <c r="G125" s="49"/>
      <c r="H125" s="61"/>
      <c r="I125" s="49"/>
      <c r="J125" s="49"/>
      <c r="K125" s="165"/>
      <c r="L125" s="803"/>
      <c r="O125" s="608" t="s">
        <v>3200</v>
      </c>
      <c r="P125" s="1665">
        <v>7.4999999999999997E-2</v>
      </c>
      <c r="Q125" s="322"/>
    </row>
    <row r="126" spans="2:17" ht="12" customHeight="1">
      <c r="B126" s="54"/>
      <c r="C126" s="78"/>
      <c r="E126" s="608" t="s">
        <v>3201</v>
      </c>
      <c r="F126" s="61" t="s">
        <v>3468</v>
      </c>
      <c r="G126" s="49"/>
      <c r="H126" s="61"/>
      <c r="I126" s="49"/>
      <c r="J126" s="49"/>
      <c r="K126" s="165"/>
      <c r="L126" s="803"/>
      <c r="O126" s="608" t="s">
        <v>3201</v>
      </c>
      <c r="P126" s="1650" t="s">
        <v>4070</v>
      </c>
      <c r="Q126" s="321"/>
    </row>
    <row r="127" spans="2:17" ht="12" customHeight="1">
      <c r="B127" s="54"/>
      <c r="C127" s="78"/>
      <c r="E127" s="608" t="s">
        <v>3202</v>
      </c>
      <c r="F127" s="61" t="s">
        <v>3466</v>
      </c>
      <c r="G127" s="49"/>
      <c r="H127" s="61"/>
      <c r="I127" s="49"/>
      <c r="J127" s="49"/>
      <c r="K127" s="165"/>
      <c r="L127" s="803"/>
      <c r="O127" s="608" t="s">
        <v>3202</v>
      </c>
      <c r="P127" s="1650" t="s">
        <v>4061</v>
      </c>
      <c r="Q127" s="321"/>
    </row>
    <row r="128" spans="2:17" ht="12" customHeight="1">
      <c r="B128" s="44"/>
      <c r="C128" s="78" t="s">
        <v>3118</v>
      </c>
      <c r="D128" s="61" t="s">
        <v>3469</v>
      </c>
      <c r="E128" s="165"/>
      <c r="F128" s="165"/>
      <c r="G128" s="165"/>
      <c r="H128" s="165"/>
      <c r="I128" s="49"/>
      <c r="J128" s="49"/>
      <c r="K128" s="165"/>
      <c r="L128" s="803"/>
      <c r="M128" s="803"/>
      <c r="O128" s="78" t="s">
        <v>3118</v>
      </c>
      <c r="P128" s="1605" t="s">
        <v>4070</v>
      </c>
      <c r="Q128" s="210"/>
    </row>
    <row r="129" spans="1:31" ht="12" customHeight="1">
      <c r="B129" s="54" t="s">
        <v>2428</v>
      </c>
      <c r="C129" s="178" t="s">
        <v>3177</v>
      </c>
      <c r="D129" s="165"/>
      <c r="E129" s="165"/>
      <c r="F129" s="165"/>
      <c r="G129" s="165"/>
      <c r="H129" s="165"/>
      <c r="I129" s="49"/>
      <c r="J129" s="49"/>
      <c r="K129" s="165"/>
      <c r="L129" s="803"/>
      <c r="M129" s="803"/>
      <c r="N129" s="803"/>
      <c r="O129" s="803"/>
      <c r="P129" s="803"/>
      <c r="Q129" s="803"/>
    </row>
    <row r="130" spans="1:31" ht="12" customHeight="1">
      <c r="B130" s="54"/>
      <c r="C130" s="78" t="s">
        <v>2430</v>
      </c>
      <c r="D130" s="61" t="s">
        <v>3178</v>
      </c>
      <c r="E130" s="165"/>
      <c r="F130" s="1666" t="s">
        <v>4070</v>
      </c>
      <c r="G130" s="324"/>
      <c r="H130" s="78" t="s">
        <v>3118</v>
      </c>
      <c r="I130" s="61" t="s">
        <v>2012</v>
      </c>
      <c r="J130" s="1666" t="s">
        <v>4070</v>
      </c>
      <c r="K130" s="324"/>
      <c r="L130" s="654" t="s">
        <v>104</v>
      </c>
      <c r="M130" s="61" t="s">
        <v>2013</v>
      </c>
      <c r="O130" s="1666" t="s">
        <v>4070</v>
      </c>
      <c r="P130" s="324"/>
    </row>
    <row r="131" spans="1:31" ht="12" customHeight="1">
      <c r="B131" s="44"/>
      <c r="C131" s="78" t="s">
        <v>2431</v>
      </c>
      <c r="D131" s="61" t="s">
        <v>3275</v>
      </c>
      <c r="E131" s="165"/>
      <c r="F131" s="1667" t="s">
        <v>4070</v>
      </c>
      <c r="G131" s="473"/>
      <c r="H131" s="78" t="s">
        <v>2009</v>
      </c>
      <c r="I131" s="61" t="s">
        <v>3666</v>
      </c>
      <c r="J131" s="1667" t="s">
        <v>4070</v>
      </c>
      <c r="K131" s="473"/>
      <c r="L131" s="654" t="s">
        <v>678</v>
      </c>
      <c r="M131" s="64" t="s">
        <v>3471</v>
      </c>
      <c r="O131" s="1667" t="s">
        <v>4070</v>
      </c>
      <c r="P131" s="473"/>
    </row>
    <row r="132" spans="1:31" ht="12" customHeight="1">
      <c r="B132" s="44"/>
      <c r="C132" s="78" t="s">
        <v>2432</v>
      </c>
      <c r="D132" s="61" t="s">
        <v>3470</v>
      </c>
      <c r="E132" s="165"/>
      <c r="F132" s="1668" t="s">
        <v>4070</v>
      </c>
      <c r="G132" s="325"/>
      <c r="H132" s="78" t="s">
        <v>2010</v>
      </c>
      <c r="I132" s="61" t="s">
        <v>2011</v>
      </c>
      <c r="J132" s="1668" t="s">
        <v>4070</v>
      </c>
      <c r="K132" s="325"/>
      <c r="L132" s="654" t="s">
        <v>679</v>
      </c>
      <c r="M132" s="64" t="s">
        <v>3472</v>
      </c>
      <c r="O132" s="1668" t="s">
        <v>4070</v>
      </c>
      <c r="P132" s="325"/>
    </row>
    <row r="133" spans="1:31" ht="12" customHeight="1">
      <c r="B133" s="44"/>
      <c r="C133" s="654" t="s">
        <v>680</v>
      </c>
      <c r="D133" s="61" t="s">
        <v>3959</v>
      </c>
      <c r="E133" s="165"/>
      <c r="F133" s="165"/>
      <c r="G133" s="165"/>
      <c r="H133" s="165"/>
      <c r="J133" s="1659" t="s">
        <v>4107</v>
      </c>
      <c r="K133" s="1660"/>
      <c r="L133" s="1660"/>
      <c r="M133" s="1660"/>
      <c r="N133" s="1660"/>
      <c r="O133" s="1660"/>
      <c r="P133" s="1661"/>
      <c r="Q133" s="210"/>
    </row>
    <row r="134" spans="1:31" ht="12" customHeight="1">
      <c r="B134" s="54" t="s">
        <v>2429</v>
      </c>
      <c r="C134" s="61" t="s">
        <v>1718</v>
      </c>
      <c r="D134" s="165"/>
      <c r="E134" s="165"/>
      <c r="F134" s="165"/>
      <c r="G134" s="165"/>
      <c r="H134" s="165"/>
      <c r="I134" s="49"/>
      <c r="J134" s="49"/>
      <c r="K134" s="165"/>
      <c r="L134" s="165"/>
      <c r="M134" s="803"/>
      <c r="O134" s="654" t="s">
        <v>2429</v>
      </c>
      <c r="P134" s="1605" t="s">
        <v>1369</v>
      </c>
      <c r="Q134" s="210"/>
    </row>
    <row r="135" spans="1:31" ht="12" customHeight="1">
      <c r="A135" s="176"/>
      <c r="B135" s="49"/>
      <c r="C135" s="78" t="s">
        <v>2430</v>
      </c>
      <c r="D135" s="61" t="s">
        <v>908</v>
      </c>
      <c r="E135" s="165"/>
      <c r="F135" s="165"/>
      <c r="G135" s="165"/>
      <c r="H135" s="165"/>
      <c r="O135" s="78" t="s">
        <v>2430</v>
      </c>
      <c r="P135" s="1605" t="s">
        <v>4070</v>
      </c>
      <c r="Q135" s="210"/>
    </row>
    <row r="136" spans="1:31" ht="12" customHeight="1">
      <c r="A136" s="176"/>
      <c r="B136" s="162"/>
      <c r="C136" s="78" t="s">
        <v>2431</v>
      </c>
      <c r="D136" s="61" t="s">
        <v>625</v>
      </c>
      <c r="E136" s="61"/>
      <c r="F136" s="61"/>
      <c r="G136" s="61"/>
      <c r="H136" s="61"/>
      <c r="I136" s="49"/>
      <c r="J136" s="49"/>
      <c r="K136" s="61"/>
      <c r="L136" s="61"/>
      <c r="M136" s="61"/>
      <c r="O136" s="78" t="s">
        <v>2431</v>
      </c>
      <c r="P136" s="1605" t="s">
        <v>4070</v>
      </c>
      <c r="Q136" s="210"/>
    </row>
    <row r="137" spans="1:31" ht="12" customHeight="1">
      <c r="A137" s="176"/>
      <c r="B137" s="162"/>
      <c r="C137" s="78" t="s">
        <v>2432</v>
      </c>
      <c r="D137" s="61" t="s">
        <v>867</v>
      </c>
      <c r="E137" s="61"/>
      <c r="F137" s="61"/>
      <c r="G137" s="61"/>
      <c r="H137" s="61"/>
      <c r="I137" s="49"/>
      <c r="J137" s="49"/>
      <c r="K137" s="61"/>
      <c r="L137" s="61"/>
      <c r="M137" s="61"/>
      <c r="O137" s="78" t="s">
        <v>2432</v>
      </c>
      <c r="P137" s="1605" t="s">
        <v>4061</v>
      </c>
      <c r="Q137" s="210"/>
    </row>
    <row r="138" spans="1:31" ht="12" customHeight="1">
      <c r="B138" s="54" t="s">
        <v>2656</v>
      </c>
      <c r="C138" s="61" t="s">
        <v>2447</v>
      </c>
      <c r="D138" s="165"/>
      <c r="E138" s="165"/>
      <c r="F138" s="165"/>
      <c r="G138" s="165"/>
      <c r="H138" s="165"/>
      <c r="I138" s="49"/>
      <c r="J138" s="49"/>
      <c r="K138" s="165"/>
      <c r="L138" s="165"/>
      <c r="M138" s="803"/>
      <c r="O138" s="654" t="s">
        <v>2656</v>
      </c>
      <c r="P138" s="1605" t="s">
        <v>1369</v>
      </c>
      <c r="Q138" s="210"/>
    </row>
    <row r="139" spans="1:31" ht="4.9000000000000004" customHeight="1"/>
    <row r="140" spans="1:31" ht="11.25" customHeight="1">
      <c r="B140" s="173" t="s">
        <v>2569</v>
      </c>
      <c r="D140" s="173"/>
      <c r="E140" s="173"/>
      <c r="F140" s="173"/>
      <c r="G140" s="173"/>
      <c r="H140" s="813"/>
      <c r="I140" s="162"/>
      <c r="J140" s="162"/>
      <c r="K140" s="162"/>
      <c r="L140" s="804"/>
      <c r="M140" s="804"/>
      <c r="N140" s="804"/>
      <c r="O140" s="804"/>
      <c r="P140" s="804"/>
      <c r="Q140" s="59"/>
    </row>
    <row r="141" spans="1:31" ht="39" customHeight="1">
      <c r="A141" s="1609" t="s">
        <v>4144</v>
      </c>
      <c r="B141" s="1610"/>
      <c r="C141" s="1610"/>
      <c r="D141" s="1610"/>
      <c r="E141" s="1610"/>
      <c r="F141" s="1610"/>
      <c r="G141" s="1610"/>
      <c r="H141" s="1610"/>
      <c r="I141" s="1610"/>
      <c r="J141" s="1610"/>
      <c r="K141" s="1610"/>
      <c r="L141" s="1610"/>
      <c r="M141" s="1610"/>
      <c r="N141" s="1610"/>
      <c r="O141" s="1610"/>
      <c r="P141" s="1610"/>
      <c r="Q141" s="1611"/>
      <c r="R141" s="614" t="s">
        <v>1677</v>
      </c>
      <c r="S141" s="615"/>
      <c r="U141" s="168"/>
      <c r="V141" s="168"/>
      <c r="W141" s="168"/>
      <c r="X141" s="168"/>
      <c r="Y141" s="168"/>
      <c r="Z141" s="168"/>
      <c r="AA141" s="168"/>
      <c r="AB141" s="168"/>
      <c r="AC141" s="168"/>
      <c r="AD141" s="168"/>
      <c r="AE141" s="656"/>
    </row>
    <row r="142" spans="1:31" ht="11.25" customHeight="1">
      <c r="B142" s="169" t="s">
        <v>2570</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3489</v>
      </c>
      <c r="C145" s="810"/>
      <c r="D145" s="808"/>
      <c r="E145" s="808"/>
      <c r="F145" s="808"/>
      <c r="G145" s="808"/>
      <c r="H145" s="808"/>
      <c r="I145" s="808"/>
      <c r="J145" s="808"/>
      <c r="K145" s="808"/>
      <c r="O145" s="163" t="s">
        <v>2571</v>
      </c>
      <c r="P145" s="1045"/>
      <c r="Q145" s="1046"/>
    </row>
    <row r="146" spans="1:31" ht="12" customHeight="1">
      <c r="B146" s="54" t="s">
        <v>2693</v>
      </c>
      <c r="C146" s="61" t="s">
        <v>3631</v>
      </c>
      <c r="D146" s="61"/>
      <c r="E146" s="61"/>
      <c r="F146" s="61"/>
      <c r="G146" s="61"/>
      <c r="I146" s="61" t="s">
        <v>3630</v>
      </c>
      <c r="K146" s="1669">
        <v>41726</v>
      </c>
      <c r="L146" s="1670"/>
      <c r="N146" s="61"/>
      <c r="O146" s="654" t="s">
        <v>2693</v>
      </c>
      <c r="P146" s="1605" t="s">
        <v>4061</v>
      </c>
      <c r="Q146" s="210"/>
    </row>
    <row r="147" spans="1:31" ht="12" customHeight="1">
      <c r="A147" s="171"/>
      <c r="B147" s="54" t="s">
        <v>2696</v>
      </c>
      <c r="C147" s="172" t="s">
        <v>164</v>
      </c>
      <c r="D147" s="172"/>
      <c r="E147" s="172"/>
      <c r="F147" s="172"/>
      <c r="G147" s="172"/>
      <c r="H147" s="172"/>
      <c r="M147" s="654" t="s">
        <v>2696</v>
      </c>
      <c r="N147" s="1671" t="s">
        <v>4108</v>
      </c>
      <c r="O147" s="1672"/>
      <c r="P147" s="1077"/>
      <c r="Q147" s="1078"/>
    </row>
    <row r="148" spans="1:31" ht="12" customHeight="1">
      <c r="A148" s="171"/>
      <c r="B148" s="54" t="s">
        <v>1054</v>
      </c>
      <c r="C148" s="172" t="s">
        <v>868</v>
      </c>
      <c r="D148" s="172"/>
      <c r="E148" s="172"/>
      <c r="F148" s="172"/>
      <c r="G148" s="172"/>
      <c r="H148" s="172"/>
      <c r="J148" s="654" t="s">
        <v>1054</v>
      </c>
      <c r="K148" s="1673" t="s">
        <v>4078</v>
      </c>
      <c r="L148" s="1657"/>
      <c r="M148" s="1657"/>
      <c r="N148" s="1657"/>
      <c r="O148" s="1657"/>
      <c r="P148" s="1674"/>
      <c r="Q148" s="210"/>
    </row>
    <row r="149" spans="1:31" ht="12" customHeight="1">
      <c r="B149" s="173" t="s">
        <v>2569</v>
      </c>
      <c r="D149" s="173"/>
      <c r="E149" s="173"/>
      <c r="F149" s="173"/>
      <c r="G149" s="173"/>
      <c r="H149" s="813"/>
      <c r="I149" s="162"/>
      <c r="J149" s="162"/>
      <c r="K149" s="162"/>
      <c r="L149" s="804"/>
      <c r="M149" s="804"/>
      <c r="N149" s="804"/>
      <c r="O149" s="804"/>
      <c r="P149" s="804"/>
      <c r="Q149" s="59"/>
    </row>
    <row r="150" spans="1:31" ht="11.45" customHeight="1">
      <c r="A150" s="1609" t="s">
        <v>4131</v>
      </c>
      <c r="B150" s="1610"/>
      <c r="C150" s="1610"/>
      <c r="D150" s="1610"/>
      <c r="E150" s="1610"/>
      <c r="F150" s="1610"/>
      <c r="G150" s="1610"/>
      <c r="H150" s="1610"/>
      <c r="I150" s="1610"/>
      <c r="J150" s="1610"/>
      <c r="K150" s="1610"/>
      <c r="L150" s="1610"/>
      <c r="M150" s="1610"/>
      <c r="N150" s="1610"/>
      <c r="O150" s="1610"/>
      <c r="P150" s="1610"/>
      <c r="Q150" s="1611"/>
      <c r="U150" s="168"/>
      <c r="V150" s="168"/>
      <c r="W150" s="168"/>
      <c r="X150" s="168"/>
      <c r="Y150" s="168"/>
      <c r="Z150" s="168"/>
      <c r="AA150" s="168"/>
      <c r="AB150" s="168"/>
      <c r="AC150" s="168"/>
      <c r="AD150" s="168"/>
      <c r="AE150" s="656"/>
    </row>
    <row r="151" spans="1:31" ht="12" customHeight="1">
      <c r="B151" s="169" t="s">
        <v>2570</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3490</v>
      </c>
      <c r="C154" s="810"/>
      <c r="D154" s="808"/>
      <c r="E154" s="808"/>
      <c r="F154" s="808"/>
      <c r="G154" s="808"/>
      <c r="H154" s="808"/>
      <c r="I154" s="808"/>
      <c r="J154" s="808"/>
      <c r="K154" s="808"/>
      <c r="L154" s="808"/>
      <c r="M154" s="808"/>
      <c r="O154" s="163" t="s">
        <v>2571</v>
      </c>
      <c r="P154" s="1045"/>
      <c r="Q154" s="1046"/>
    </row>
    <row r="155" spans="1:31" ht="12" customHeight="1">
      <c r="B155" s="174" t="s">
        <v>2693</v>
      </c>
      <c r="C155" s="172" t="s">
        <v>102</v>
      </c>
      <c r="D155" s="172"/>
      <c r="E155" s="172"/>
      <c r="F155" s="172"/>
      <c r="G155" s="172"/>
      <c r="H155" s="172"/>
      <c r="I155" s="172"/>
      <c r="J155" s="172"/>
      <c r="K155" s="172"/>
      <c r="L155" s="179"/>
      <c r="M155" s="179"/>
      <c r="N155" s="179"/>
      <c r="O155" s="199" t="s">
        <v>2693</v>
      </c>
      <c r="P155" s="1605" t="s">
        <v>4061</v>
      </c>
      <c r="Q155" s="210"/>
    </row>
    <row r="156" spans="1:31" ht="22.15" customHeight="1">
      <c r="B156" s="174" t="s">
        <v>2696</v>
      </c>
      <c r="C156" s="1047" t="s">
        <v>3291</v>
      </c>
      <c r="D156" s="1047"/>
      <c r="E156" s="1047"/>
      <c r="F156" s="1047"/>
      <c r="G156" s="1047"/>
      <c r="H156" s="1047"/>
      <c r="I156" s="1047"/>
      <c r="J156" s="1047"/>
      <c r="K156" s="1047"/>
      <c r="L156" s="1047"/>
      <c r="M156" s="1047"/>
      <c r="N156" s="1047"/>
      <c r="O156" s="199" t="s">
        <v>2696</v>
      </c>
      <c r="P156" s="1605"/>
      <c r="Q156" s="210"/>
    </row>
    <row r="157" spans="1:31" ht="21.75" customHeight="1">
      <c r="B157" s="174" t="s">
        <v>1054</v>
      </c>
      <c r="C157" s="1047" t="s">
        <v>3473</v>
      </c>
      <c r="D157" s="1047"/>
      <c r="E157" s="1047"/>
      <c r="F157" s="1047"/>
      <c r="G157" s="1047"/>
      <c r="H157" s="1047"/>
      <c r="I157" s="1047"/>
      <c r="J157" s="1047"/>
      <c r="K157" s="1047"/>
      <c r="L157" s="1047"/>
      <c r="M157" s="1047"/>
      <c r="N157" s="1047"/>
      <c r="O157" s="199" t="s">
        <v>1054</v>
      </c>
      <c r="P157" s="1605"/>
      <c r="Q157" s="210"/>
    </row>
    <row r="158" spans="1:31" ht="12" customHeight="1">
      <c r="B158" s="173" t="s">
        <v>2569</v>
      </c>
      <c r="D158" s="173"/>
      <c r="E158" s="173"/>
      <c r="F158" s="173"/>
      <c r="G158" s="173"/>
      <c r="H158" s="813"/>
      <c r="I158" s="162"/>
      <c r="J158" s="162"/>
      <c r="K158" s="162"/>
      <c r="L158" s="804"/>
      <c r="M158" s="804"/>
      <c r="N158" s="804"/>
      <c r="O158" s="804"/>
      <c r="P158" s="804"/>
      <c r="Q158" s="59"/>
    </row>
    <row r="159" spans="1:31" ht="11.45" customHeight="1">
      <c r="A159" s="1609"/>
      <c r="B159" s="1610"/>
      <c r="C159" s="1610"/>
      <c r="D159" s="1610"/>
      <c r="E159" s="1610"/>
      <c r="F159" s="1610"/>
      <c r="G159" s="1610"/>
      <c r="H159" s="1610"/>
      <c r="I159" s="1610"/>
      <c r="J159" s="1610"/>
      <c r="K159" s="1610"/>
      <c r="L159" s="1610"/>
      <c r="M159" s="1610"/>
      <c r="N159" s="1610"/>
      <c r="O159" s="1610"/>
      <c r="P159" s="1610"/>
      <c r="Q159" s="1611"/>
      <c r="U159" s="168"/>
      <c r="V159" s="168"/>
      <c r="W159" s="168"/>
      <c r="X159" s="168"/>
      <c r="Y159" s="168"/>
      <c r="Z159" s="168"/>
      <c r="AA159" s="168"/>
      <c r="AB159" s="168"/>
      <c r="AC159" s="168"/>
      <c r="AD159" s="168"/>
      <c r="AE159" s="656"/>
    </row>
    <row r="160" spans="1:31" ht="12" customHeight="1">
      <c r="B160" s="169" t="s">
        <v>2570</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3491</v>
      </c>
      <c r="C163" s="1092"/>
      <c r="D163" s="1092"/>
      <c r="O163" s="163" t="s">
        <v>2571</v>
      </c>
      <c r="P163" s="1045"/>
      <c r="Q163" s="1046"/>
    </row>
    <row r="164" spans="1:32" ht="12" customHeight="1">
      <c r="B164" s="174" t="s">
        <v>2693</v>
      </c>
      <c r="C164" s="179" t="s">
        <v>600</v>
      </c>
      <c r="D164" s="179"/>
      <c r="E164" s="179"/>
      <c r="F164" s="179"/>
      <c r="G164" s="179"/>
      <c r="H164" s="179"/>
      <c r="I164" s="179"/>
      <c r="J164" s="179"/>
      <c r="K164" s="179"/>
      <c r="L164" s="179"/>
      <c r="M164" s="179"/>
      <c r="O164" s="199" t="s">
        <v>2693</v>
      </c>
      <c r="P164" s="1605" t="s">
        <v>4061</v>
      </c>
      <c r="Q164" s="210"/>
    </row>
    <row r="165" spans="1:32" ht="12" customHeight="1">
      <c r="B165" s="174" t="s">
        <v>2696</v>
      </c>
      <c r="C165" s="179" t="s">
        <v>3474</v>
      </c>
      <c r="D165" s="179"/>
      <c r="E165" s="179"/>
      <c r="F165" s="179"/>
      <c r="G165" s="179"/>
      <c r="H165" s="179"/>
      <c r="I165" s="179"/>
      <c r="J165" s="179"/>
      <c r="K165" s="179"/>
      <c r="L165" s="179"/>
      <c r="M165" s="179"/>
      <c r="O165" s="199" t="s">
        <v>2696</v>
      </c>
      <c r="P165" s="1605" t="s">
        <v>4061</v>
      </c>
      <c r="Q165" s="210"/>
    </row>
    <row r="166" spans="1:32" ht="12" customHeight="1">
      <c r="B166" s="174" t="s">
        <v>1054</v>
      </c>
      <c r="C166" s="179" t="s">
        <v>3475</v>
      </c>
      <c r="D166" s="179"/>
      <c r="E166" s="179"/>
      <c r="F166" s="179"/>
      <c r="G166" s="179"/>
      <c r="H166" s="179"/>
      <c r="I166" s="179"/>
      <c r="J166" s="179"/>
      <c r="K166" s="179"/>
      <c r="L166" s="179"/>
      <c r="M166" s="179"/>
      <c r="O166" s="199" t="s">
        <v>1054</v>
      </c>
      <c r="P166" s="1605" t="s">
        <v>4061</v>
      </c>
      <c r="Q166" s="210"/>
    </row>
    <row r="167" spans="1:32" ht="12" customHeight="1">
      <c r="B167" s="174"/>
      <c r="C167" s="179" t="s">
        <v>3463</v>
      </c>
      <c r="D167" s="179"/>
      <c r="E167" s="608" t="s">
        <v>2430</v>
      </c>
      <c r="F167" s="179" t="s">
        <v>3476</v>
      </c>
      <c r="G167" s="179"/>
      <c r="H167" s="179"/>
      <c r="I167" s="179"/>
      <c r="J167" s="179"/>
      <c r="K167" s="179"/>
      <c r="L167" s="179"/>
      <c r="M167" s="179"/>
      <c r="O167" s="608" t="s">
        <v>2430</v>
      </c>
      <c r="P167" s="1605" t="s">
        <v>4061</v>
      </c>
      <c r="Q167" s="210"/>
    </row>
    <row r="168" spans="1:32" ht="12" customHeight="1">
      <c r="B168" s="174"/>
      <c r="C168" s="179"/>
      <c r="D168" s="179"/>
      <c r="E168" s="608" t="s">
        <v>2431</v>
      </c>
      <c r="F168" s="179" t="s">
        <v>3477</v>
      </c>
      <c r="G168" s="179"/>
      <c r="H168" s="179"/>
      <c r="I168" s="179"/>
      <c r="J168" s="179"/>
      <c r="K168" s="179"/>
      <c r="L168" s="179"/>
      <c r="M168" s="179"/>
      <c r="O168" s="608" t="s">
        <v>2431</v>
      </c>
      <c r="P168" s="1605" t="s">
        <v>4061</v>
      </c>
      <c r="Q168" s="210"/>
    </row>
    <row r="169" spans="1:32" s="164" customFormat="1" ht="21.75" customHeight="1">
      <c r="B169" s="174"/>
      <c r="C169" s="179"/>
      <c r="D169" s="179"/>
      <c r="E169" s="199" t="s">
        <v>2432</v>
      </c>
      <c r="F169" s="1047" t="s">
        <v>3478</v>
      </c>
      <c r="G169" s="1047"/>
      <c r="H169" s="1047"/>
      <c r="I169" s="1047"/>
      <c r="J169" s="1047"/>
      <c r="K169" s="1047"/>
      <c r="L169" s="1047"/>
      <c r="M169" s="1047"/>
      <c r="N169" s="1047"/>
      <c r="O169" s="199" t="s">
        <v>2432</v>
      </c>
      <c r="P169" s="1655" t="s">
        <v>4061</v>
      </c>
      <c r="Q169" s="323"/>
      <c r="AE169" s="657"/>
      <c r="AF169" s="657"/>
    </row>
    <row r="170" spans="1:32" ht="12" customHeight="1">
      <c r="B170" s="174"/>
      <c r="C170" s="179"/>
      <c r="D170" s="179"/>
      <c r="E170" s="608" t="s">
        <v>3118</v>
      </c>
      <c r="F170" s="179" t="s">
        <v>3479</v>
      </c>
      <c r="G170" s="179"/>
      <c r="H170" s="179"/>
      <c r="I170" s="179"/>
      <c r="J170" s="179"/>
      <c r="K170" s="179"/>
      <c r="L170" s="179"/>
      <c r="M170" s="179"/>
      <c r="O170" s="608" t="s">
        <v>3118</v>
      </c>
      <c r="P170" s="1605" t="s">
        <v>4061</v>
      </c>
      <c r="Q170" s="210"/>
    </row>
    <row r="171" spans="1:32" s="164" customFormat="1" ht="21.75" customHeight="1">
      <c r="B171" s="174"/>
      <c r="C171" s="179"/>
      <c r="D171" s="179"/>
      <c r="E171" s="199" t="s">
        <v>2009</v>
      </c>
      <c r="F171" s="1047" t="s">
        <v>3480</v>
      </c>
      <c r="G171" s="1047"/>
      <c r="H171" s="1047"/>
      <c r="I171" s="1047"/>
      <c r="J171" s="1047"/>
      <c r="K171" s="1047"/>
      <c r="L171" s="1047"/>
      <c r="M171" s="1047"/>
      <c r="N171" s="1047"/>
      <c r="O171" s="199" t="s">
        <v>2009</v>
      </c>
      <c r="P171" s="1655"/>
      <c r="Q171" s="323"/>
      <c r="AE171" s="657"/>
      <c r="AF171" s="657"/>
    </row>
    <row r="172" spans="1:32" ht="21.75" customHeight="1">
      <c r="B172" s="174" t="s">
        <v>2829</v>
      </c>
      <c r="C172" s="1047" t="s">
        <v>3481</v>
      </c>
      <c r="D172" s="1047"/>
      <c r="E172" s="1047"/>
      <c r="F172" s="1047"/>
      <c r="G172" s="1047"/>
      <c r="H172" s="1047"/>
      <c r="I172" s="1047"/>
      <c r="J172" s="1047"/>
      <c r="K172" s="1047"/>
      <c r="L172" s="1047"/>
      <c r="M172" s="1047"/>
      <c r="N172" s="1047"/>
      <c r="O172" s="199" t="s">
        <v>2829</v>
      </c>
      <c r="P172" s="1605" t="s">
        <v>4061</v>
      </c>
      <c r="Q172" s="210"/>
    </row>
    <row r="173" spans="1:32" ht="12" customHeight="1">
      <c r="B173" s="174" t="s">
        <v>2428</v>
      </c>
      <c r="C173" s="179" t="s">
        <v>3134</v>
      </c>
      <c r="D173" s="179"/>
      <c r="E173" s="179"/>
      <c r="F173" s="179"/>
      <c r="G173" s="179"/>
      <c r="H173" s="179"/>
      <c r="I173" s="179"/>
      <c r="J173" s="179"/>
      <c r="K173" s="179"/>
      <c r="L173" s="179"/>
      <c r="M173" s="179"/>
      <c r="O173" s="199" t="s">
        <v>2428</v>
      </c>
      <c r="P173" s="1605" t="s">
        <v>4061</v>
      </c>
      <c r="Q173" s="210"/>
    </row>
    <row r="174" spans="1:32" ht="12" customHeight="1">
      <c r="B174" s="173" t="s">
        <v>2569</v>
      </c>
      <c r="D174" s="173"/>
      <c r="E174" s="173"/>
      <c r="F174" s="173"/>
      <c r="G174" s="173"/>
      <c r="H174" s="813"/>
      <c r="I174" s="162"/>
      <c r="J174" s="162"/>
      <c r="K174" s="162"/>
      <c r="L174" s="804"/>
      <c r="M174" s="804"/>
      <c r="N174" s="804"/>
      <c r="O174" s="804"/>
      <c r="P174" s="804"/>
      <c r="Q174" s="59"/>
    </row>
    <row r="175" spans="1:32" ht="24.75" customHeight="1">
      <c r="A175" s="1609" t="s">
        <v>4152</v>
      </c>
      <c r="B175" s="1610"/>
      <c r="C175" s="1610"/>
      <c r="D175" s="1610"/>
      <c r="E175" s="1610"/>
      <c r="F175" s="1610"/>
      <c r="G175" s="1610"/>
      <c r="H175" s="1610"/>
      <c r="I175" s="1610"/>
      <c r="J175" s="1610"/>
      <c r="K175" s="1610"/>
      <c r="L175" s="1610"/>
      <c r="M175" s="1610"/>
      <c r="N175" s="1610"/>
      <c r="O175" s="1610"/>
      <c r="P175" s="1610"/>
      <c r="Q175" s="1611"/>
      <c r="U175" s="168"/>
      <c r="V175" s="168"/>
      <c r="W175" s="168"/>
      <c r="X175" s="168"/>
      <c r="Y175" s="168"/>
      <c r="Z175" s="168"/>
      <c r="AA175" s="168"/>
      <c r="AB175" s="168"/>
      <c r="AC175" s="168"/>
      <c r="AD175" s="168"/>
      <c r="AE175" s="656"/>
    </row>
    <row r="176" spans="1:32" ht="12" customHeight="1">
      <c r="B176" s="169" t="s">
        <v>2570</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3492</v>
      </c>
      <c r="C179" s="810"/>
      <c r="D179" s="808"/>
      <c r="E179" s="180"/>
      <c r="F179" s="180"/>
      <c r="G179" s="808"/>
      <c r="J179" s="607"/>
      <c r="K179" s="750"/>
      <c r="L179" s="750"/>
      <c r="M179" s="750"/>
      <c r="N179" s="750"/>
      <c r="O179" s="163" t="s">
        <v>2571</v>
      </c>
      <c r="P179" s="1045"/>
      <c r="Q179" s="1046"/>
    </row>
    <row r="180" spans="1:31" ht="12" customHeight="1">
      <c r="A180" s="171"/>
      <c r="B180" s="54" t="s">
        <v>2693</v>
      </c>
      <c r="C180" s="1047" t="s">
        <v>103</v>
      </c>
      <c r="D180" s="1047"/>
      <c r="E180" s="1047"/>
      <c r="F180" s="1047"/>
      <c r="G180" s="1047"/>
      <c r="H180" s="78" t="s">
        <v>2430</v>
      </c>
      <c r="I180" s="61" t="s">
        <v>166</v>
      </c>
      <c r="K180" s="1633" t="s">
        <v>1369</v>
      </c>
      <c r="L180" s="1634"/>
      <c r="M180" s="1634"/>
      <c r="N180" s="1635"/>
      <c r="O180" s="78" t="s">
        <v>2430</v>
      </c>
      <c r="P180" s="1605" t="s">
        <v>4070</v>
      </c>
      <c r="Q180" s="210"/>
    </row>
    <row r="181" spans="1:31" ht="12" customHeight="1">
      <c r="A181" s="171"/>
      <c r="B181" s="162"/>
      <c r="C181" s="125"/>
      <c r="D181" s="125"/>
      <c r="E181" s="125"/>
      <c r="F181" s="125"/>
      <c r="H181" s="78" t="s">
        <v>2431</v>
      </c>
      <c r="I181" s="61" t="s">
        <v>2060</v>
      </c>
      <c r="K181" s="1639" t="s">
        <v>4109</v>
      </c>
      <c r="L181" s="1640"/>
      <c r="M181" s="1640"/>
      <c r="N181" s="1641"/>
      <c r="O181" s="78" t="s">
        <v>2431</v>
      </c>
      <c r="P181" s="1605" t="s">
        <v>4061</v>
      </c>
      <c r="Q181" s="210"/>
    </row>
    <row r="182" spans="1:31" ht="12" customHeight="1">
      <c r="B182" s="173" t="s">
        <v>2569</v>
      </c>
      <c r="D182" s="173"/>
      <c r="E182" s="173"/>
      <c r="F182" s="173"/>
      <c r="G182" s="173"/>
      <c r="J182" s="162"/>
      <c r="K182" s="162"/>
      <c r="L182" s="804"/>
      <c r="M182" s="804"/>
      <c r="N182" s="804"/>
      <c r="O182" s="804"/>
      <c r="P182" s="804"/>
      <c r="Q182" s="59"/>
    </row>
    <row r="183" spans="1:31" ht="11.45" customHeight="1">
      <c r="A183" s="1609" t="s">
        <v>4110</v>
      </c>
      <c r="B183" s="1610"/>
      <c r="C183" s="1610"/>
      <c r="D183" s="1610"/>
      <c r="E183" s="1610"/>
      <c r="F183" s="1610"/>
      <c r="G183" s="1610"/>
      <c r="H183" s="1610"/>
      <c r="I183" s="1610"/>
      <c r="J183" s="1610"/>
      <c r="K183" s="1610"/>
      <c r="L183" s="1610"/>
      <c r="M183" s="1610"/>
      <c r="N183" s="1610"/>
      <c r="O183" s="1610"/>
      <c r="P183" s="1610"/>
      <c r="Q183" s="1611"/>
      <c r="U183" s="168"/>
      <c r="V183" s="168"/>
      <c r="W183" s="168"/>
      <c r="X183" s="168"/>
      <c r="Y183" s="168"/>
      <c r="Z183" s="168"/>
      <c r="AA183" s="168"/>
      <c r="AB183" s="168"/>
      <c r="AC183" s="168"/>
      <c r="AD183" s="168"/>
      <c r="AE183" s="656"/>
    </row>
    <row r="184" spans="1:31" ht="12" customHeight="1">
      <c r="B184" s="169" t="s">
        <v>2570</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3493</v>
      </c>
      <c r="C187" s="5"/>
      <c r="D187" s="104"/>
      <c r="E187" s="104"/>
      <c r="F187" s="104"/>
      <c r="G187" s="808"/>
      <c r="H187" s="808"/>
      <c r="I187" s="808"/>
      <c r="J187" s="808"/>
      <c r="K187" s="808"/>
      <c r="L187" s="808"/>
      <c r="M187" s="808"/>
      <c r="O187" s="163" t="s">
        <v>2571</v>
      </c>
      <c r="P187" s="1045"/>
      <c r="Q187" s="1046"/>
    </row>
    <row r="188" spans="1:31" ht="4.1500000000000004" customHeight="1"/>
    <row r="189" spans="1:31" ht="11.45" customHeight="1">
      <c r="B189" s="174" t="s">
        <v>2693</v>
      </c>
      <c r="C189" s="536" t="s">
        <v>2430</v>
      </c>
      <c r="D189" s="535" t="s">
        <v>681</v>
      </c>
      <c r="E189" s="535"/>
      <c r="F189" s="535"/>
      <c r="G189" s="535"/>
      <c r="H189" s="535"/>
      <c r="I189" s="535"/>
      <c r="J189" s="535"/>
      <c r="K189" s="535"/>
      <c r="L189" s="535"/>
      <c r="M189" s="535"/>
      <c r="N189" s="535"/>
      <c r="O189" s="199" t="s">
        <v>1938</v>
      </c>
      <c r="P189" s="1605" t="s">
        <v>4070</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05"/>
      <c r="Q190" s="210"/>
    </row>
    <row r="191" spans="1:31" ht="11.45" customHeight="1">
      <c r="A191" s="171"/>
      <c r="B191" s="174" t="s">
        <v>2696</v>
      </c>
      <c r="C191" s="1047" t="s">
        <v>2552</v>
      </c>
      <c r="D191" s="1047"/>
      <c r="E191" s="1047"/>
      <c r="F191" s="1047"/>
      <c r="G191" s="1047"/>
      <c r="H191" s="78" t="s">
        <v>2430</v>
      </c>
      <c r="I191" s="61" t="s">
        <v>815</v>
      </c>
      <c r="K191" s="1633" t="s">
        <v>4111</v>
      </c>
      <c r="L191" s="1634"/>
      <c r="M191" s="1634"/>
      <c r="N191" s="1635"/>
      <c r="O191" s="78" t="s">
        <v>1891</v>
      </c>
      <c r="P191" s="1605" t="s">
        <v>4061</v>
      </c>
      <c r="Q191" s="210"/>
    </row>
    <row r="192" spans="1:31" ht="11.45" customHeight="1">
      <c r="A192" s="171"/>
      <c r="B192" s="814"/>
      <c r="C192" s="1047"/>
      <c r="D192" s="1047"/>
      <c r="E192" s="1047"/>
      <c r="F192" s="1047"/>
      <c r="G192" s="1047"/>
      <c r="H192" s="78" t="s">
        <v>2431</v>
      </c>
      <c r="I192" s="61" t="s">
        <v>122</v>
      </c>
      <c r="K192" s="1639" t="s">
        <v>4111</v>
      </c>
      <c r="L192" s="1640"/>
      <c r="M192" s="1640"/>
      <c r="N192" s="1641"/>
      <c r="O192" s="78" t="s">
        <v>2431</v>
      </c>
      <c r="P192" s="1605" t="s">
        <v>4061</v>
      </c>
      <c r="Q192" s="210"/>
    </row>
    <row r="193" spans="1:32" ht="11.25" customHeight="1">
      <c r="B193" s="173" t="s">
        <v>2569</v>
      </c>
      <c r="D193" s="173"/>
      <c r="E193" s="173"/>
      <c r="F193" s="173"/>
      <c r="G193" s="173"/>
      <c r="H193" s="813"/>
      <c r="I193" s="162"/>
      <c r="J193" s="162"/>
      <c r="K193" s="162"/>
      <c r="L193" s="804"/>
      <c r="M193" s="804"/>
      <c r="N193" s="804"/>
      <c r="O193" s="804"/>
      <c r="P193" s="804"/>
      <c r="Q193" s="59"/>
    </row>
    <row r="194" spans="1:32" ht="11.45" customHeight="1">
      <c r="A194" s="1609" t="s">
        <v>4112</v>
      </c>
      <c r="B194" s="1610"/>
      <c r="C194" s="1610"/>
      <c r="D194" s="1610"/>
      <c r="E194" s="1610"/>
      <c r="F194" s="1610"/>
      <c r="G194" s="1610"/>
      <c r="H194" s="1610"/>
      <c r="I194" s="1610"/>
      <c r="J194" s="1610"/>
      <c r="K194" s="1610"/>
      <c r="L194" s="1610"/>
      <c r="M194" s="1610"/>
      <c r="N194" s="1610"/>
      <c r="O194" s="1610"/>
      <c r="P194" s="1610"/>
      <c r="Q194" s="1611"/>
      <c r="U194" s="168"/>
      <c r="V194" s="168"/>
      <c r="W194" s="168"/>
      <c r="X194" s="168"/>
      <c r="Y194" s="168"/>
      <c r="Z194" s="168"/>
      <c r="AA194" s="168"/>
      <c r="AB194" s="168"/>
      <c r="AC194" s="168"/>
      <c r="AD194" s="168"/>
      <c r="AE194" s="656"/>
    </row>
    <row r="195" spans="1:32" ht="11.25" customHeight="1">
      <c r="B195" s="169" t="s">
        <v>2570</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3494</v>
      </c>
      <c r="C198" s="5"/>
      <c r="D198" s="104"/>
      <c r="E198" s="104"/>
      <c r="F198" s="104"/>
      <c r="G198" s="104"/>
      <c r="H198" s="808"/>
      <c r="I198" s="808"/>
      <c r="J198" s="808"/>
      <c r="K198" s="808"/>
      <c r="L198" s="808"/>
      <c r="M198" s="808"/>
      <c r="O198" s="163" t="s">
        <v>2571</v>
      </c>
      <c r="P198" s="1045"/>
      <c r="Q198" s="1046"/>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605" t="s">
        <v>4061</v>
      </c>
      <c r="Q200" s="210"/>
    </row>
    <row r="201" spans="1:32" ht="11.45" customHeight="1">
      <c r="B201" s="54" t="s">
        <v>2696</v>
      </c>
      <c r="C201" s="61" t="s">
        <v>156</v>
      </c>
      <c r="D201" s="61"/>
      <c r="E201" s="61"/>
      <c r="F201" s="61"/>
      <c r="G201" s="61"/>
      <c r="H201" s="61"/>
      <c r="I201" s="49"/>
      <c r="J201" s="49"/>
      <c r="K201" s="49"/>
      <c r="L201" s="172"/>
      <c r="M201" s="172"/>
      <c r="O201" s="199" t="s">
        <v>2696</v>
      </c>
      <c r="P201" s="1605" t="s">
        <v>4061</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05" t="s">
        <v>4070</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605" t="s">
        <v>4061</v>
      </c>
      <c r="Q203" s="210"/>
      <c r="AE203" s="658"/>
      <c r="AF203" s="658"/>
    </row>
    <row r="204" spans="1:32" ht="11.25" customHeight="1">
      <c r="B204" s="173" t="s">
        <v>2569</v>
      </c>
      <c r="D204" s="173"/>
      <c r="E204" s="173"/>
      <c r="F204" s="173"/>
      <c r="G204" s="173"/>
      <c r="H204" s="813"/>
      <c r="I204" s="162"/>
      <c r="J204" s="162"/>
      <c r="K204" s="162"/>
      <c r="L204" s="804"/>
      <c r="M204" s="804"/>
      <c r="N204" s="804"/>
      <c r="O204" s="804"/>
      <c r="P204" s="804"/>
      <c r="Q204" s="59"/>
    </row>
    <row r="205" spans="1:32" ht="13.15" customHeight="1">
      <c r="A205" s="1609"/>
      <c r="B205" s="1610"/>
      <c r="C205" s="1610"/>
      <c r="D205" s="1610"/>
      <c r="E205" s="1610"/>
      <c r="F205" s="1610"/>
      <c r="G205" s="1610"/>
      <c r="H205" s="1610"/>
      <c r="I205" s="1610"/>
      <c r="J205" s="1610"/>
      <c r="K205" s="1610"/>
      <c r="L205" s="1610"/>
      <c r="M205" s="1610"/>
      <c r="N205" s="1610"/>
      <c r="O205" s="1610"/>
      <c r="P205" s="1610"/>
      <c r="Q205" s="1611"/>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3495</v>
      </c>
      <c r="C210" s="136"/>
      <c r="D210" s="808"/>
      <c r="E210" s="808"/>
      <c r="F210" s="808"/>
      <c r="G210" s="808"/>
      <c r="H210" s="808"/>
      <c r="I210" s="808"/>
      <c r="J210" s="808"/>
      <c r="K210" s="808"/>
      <c r="L210" s="808"/>
      <c r="M210" s="808"/>
      <c r="O210" s="163" t="s">
        <v>2571</v>
      </c>
      <c r="P210" s="1045"/>
      <c r="Q210" s="1046"/>
    </row>
    <row r="211" spans="1:32" s="31" customFormat="1" ht="11.45" customHeight="1">
      <c r="B211" s="177" t="s">
        <v>1608</v>
      </c>
      <c r="N211" s="148"/>
      <c r="P211" s="1605" t="s">
        <v>4070</v>
      </c>
      <c r="Q211" s="210"/>
      <c r="AE211" s="142"/>
      <c r="AF211" s="142"/>
    </row>
    <row r="212" spans="1:32" ht="12" customHeight="1">
      <c r="B212" s="54" t="s">
        <v>2693</v>
      </c>
      <c r="C212" s="104" t="s">
        <v>1816</v>
      </c>
      <c r="D212" s="49"/>
      <c r="E212" s="49"/>
      <c r="F212" s="49"/>
      <c r="G212" s="49"/>
      <c r="H212" s="49"/>
      <c r="I212" s="49"/>
      <c r="J212" s="49"/>
      <c r="K212" s="49"/>
      <c r="L212" s="49"/>
      <c r="M212" s="49"/>
    </row>
    <row r="213" spans="1:32" ht="11.45" customHeight="1">
      <c r="B213" s="54"/>
      <c r="C213" s="78" t="s">
        <v>2430</v>
      </c>
      <c r="D213" s="61" t="s">
        <v>2640</v>
      </c>
      <c r="E213" s="61"/>
      <c r="F213" s="61"/>
      <c r="G213" s="61"/>
      <c r="H213" s="61"/>
      <c r="I213" s="49"/>
      <c r="K213" s="78" t="s">
        <v>1938</v>
      </c>
      <c r="L213" s="1673" t="s">
        <v>4113</v>
      </c>
      <c r="M213" s="1674"/>
      <c r="Q213" s="210"/>
    </row>
    <row r="214" spans="1:32" ht="11.45" customHeight="1">
      <c r="B214" s="54"/>
      <c r="C214" s="78" t="s">
        <v>2431</v>
      </c>
      <c r="D214" s="38" t="s">
        <v>3671</v>
      </c>
      <c r="E214" s="38"/>
      <c r="F214" s="38"/>
      <c r="G214" s="38"/>
      <c r="H214" s="38"/>
      <c r="I214" s="49"/>
      <c r="K214" s="78" t="s">
        <v>1939</v>
      </c>
      <c r="L214" s="1675" t="s">
        <v>4114</v>
      </c>
      <c r="M214" s="1676"/>
      <c r="N214" s="1677" t="s">
        <v>3672</v>
      </c>
      <c r="O214" s="1678"/>
      <c r="P214" s="1679"/>
      <c r="Q214" s="210"/>
    </row>
    <row r="215" spans="1:32" ht="11.45" customHeight="1">
      <c r="B215" s="54"/>
      <c r="C215" s="78" t="s">
        <v>2432</v>
      </c>
      <c r="D215" s="38" t="s">
        <v>726</v>
      </c>
      <c r="E215" s="38"/>
      <c r="F215" s="38"/>
      <c r="G215" s="38"/>
      <c r="H215" s="38"/>
      <c r="I215" s="49"/>
      <c r="K215" s="78" t="s">
        <v>1940</v>
      </c>
      <c r="L215" s="1673" t="s">
        <v>4115</v>
      </c>
      <c r="M215" s="1657"/>
      <c r="N215" s="1680"/>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3293</v>
      </c>
      <c r="D217" s="61"/>
      <c r="E217" s="61"/>
      <c r="F217" s="61"/>
      <c r="G217" s="61"/>
      <c r="H217" s="61"/>
      <c r="I217" s="61"/>
      <c r="J217" s="61"/>
      <c r="K217" s="49"/>
      <c r="L217" s="49"/>
      <c r="M217" s="49"/>
      <c r="N217" s="49"/>
      <c r="O217" s="654" t="s">
        <v>2696</v>
      </c>
      <c r="P217" s="1605" t="s">
        <v>4103</v>
      </c>
      <c r="Q217" s="210"/>
    </row>
    <row r="218" spans="1:32" ht="10.9" customHeight="1">
      <c r="B218" s="54"/>
      <c r="C218" s="61" t="s">
        <v>3292</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3673</v>
      </c>
      <c r="M219" s="49"/>
      <c r="N219" s="49"/>
      <c r="O219" s="381"/>
      <c r="P219" s="383" t="s">
        <v>1162</v>
      </c>
      <c r="Q219" s="382" t="s">
        <v>1163</v>
      </c>
    </row>
    <row r="220" spans="1:32" s="50" customFormat="1" ht="11.45" customHeight="1">
      <c r="A220" s="115"/>
      <c r="B220" s="60"/>
      <c r="C220" s="78" t="s">
        <v>2430</v>
      </c>
      <c r="D220" s="1681" t="s">
        <v>4116</v>
      </c>
      <c r="E220" s="1682"/>
      <c r="F220" s="1682"/>
      <c r="G220" s="1682"/>
      <c r="H220" s="1683"/>
      <c r="I220" s="384"/>
      <c r="J220" s="267"/>
      <c r="K220" s="78" t="s">
        <v>2432</v>
      </c>
      <c r="L220" s="1681"/>
      <c r="M220" s="1682"/>
      <c r="N220" s="1682"/>
      <c r="O220" s="1683"/>
      <c r="P220" s="324"/>
      <c r="Q220" s="267"/>
      <c r="AE220" s="63"/>
      <c r="AF220" s="63"/>
    </row>
    <row r="221" spans="1:32" s="50" customFormat="1" ht="11.45" customHeight="1">
      <c r="A221" s="115"/>
      <c r="B221" s="60"/>
      <c r="C221" s="78" t="s">
        <v>2431</v>
      </c>
      <c r="D221" s="1684" t="s">
        <v>4132</v>
      </c>
      <c r="E221" s="1685"/>
      <c r="F221" s="1685"/>
      <c r="G221" s="1685"/>
      <c r="H221" s="1686"/>
      <c r="I221" s="541"/>
      <c r="J221" s="268"/>
      <c r="K221" s="78" t="s">
        <v>3118</v>
      </c>
      <c r="L221" s="1684"/>
      <c r="M221" s="1685"/>
      <c r="N221" s="1685"/>
      <c r="O221" s="1686"/>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05" t="s">
        <v>4103</v>
      </c>
      <c r="Q223" s="210"/>
    </row>
    <row r="224" spans="1:32" ht="11.45" customHeight="1">
      <c r="B224" s="54"/>
      <c r="C224" s="78" t="s">
        <v>2430</v>
      </c>
      <c r="D224" s="61" t="s">
        <v>167</v>
      </c>
      <c r="E224" s="61"/>
      <c r="F224" s="61"/>
      <c r="G224" s="61"/>
      <c r="H224" s="61"/>
      <c r="I224" s="49"/>
      <c r="J224" s="40"/>
      <c r="K224" s="49"/>
      <c r="L224" s="40"/>
      <c r="M224" s="40"/>
      <c r="O224" s="78" t="s">
        <v>2430</v>
      </c>
      <c r="P224" s="1605" t="s">
        <v>4061</v>
      </c>
      <c r="Q224" s="210"/>
    </row>
    <row r="225" spans="1:31" ht="11.45" customHeight="1">
      <c r="C225" s="78" t="s">
        <v>2431</v>
      </c>
      <c r="D225" s="38" t="s">
        <v>2341</v>
      </c>
      <c r="E225" s="38"/>
      <c r="F225" s="38"/>
      <c r="G225" s="38"/>
      <c r="H225" s="38"/>
      <c r="I225" s="49"/>
      <c r="J225" s="40"/>
      <c r="K225" s="49"/>
      <c r="L225" s="40"/>
      <c r="M225" s="40"/>
      <c r="O225" s="78" t="s">
        <v>2431</v>
      </c>
      <c r="P225" s="1605" t="s">
        <v>4061</v>
      </c>
      <c r="Q225" s="210"/>
    </row>
    <row r="226" spans="1:31" ht="11.45" customHeight="1">
      <c r="C226" s="78" t="s">
        <v>2432</v>
      </c>
      <c r="D226" s="38" t="s">
        <v>1963</v>
      </c>
      <c r="E226" s="38"/>
      <c r="F226" s="38"/>
      <c r="G226" s="38"/>
      <c r="H226" s="38"/>
      <c r="I226" s="49"/>
      <c r="J226" s="40"/>
      <c r="K226" s="49"/>
      <c r="L226" s="40"/>
      <c r="M226" s="40"/>
      <c r="O226" s="78" t="s">
        <v>2432</v>
      </c>
      <c r="P226" s="1605" t="s">
        <v>4061</v>
      </c>
      <c r="Q226" s="210"/>
    </row>
    <row r="227" spans="1:31" ht="11.45" customHeight="1">
      <c r="B227" s="54"/>
      <c r="C227" s="78" t="s">
        <v>3118</v>
      </c>
      <c r="D227" s="38" t="s">
        <v>168</v>
      </c>
      <c r="E227" s="38"/>
      <c r="F227" s="38"/>
      <c r="G227" s="38"/>
      <c r="H227" s="38"/>
      <c r="I227" s="49"/>
      <c r="J227" s="40"/>
      <c r="K227" s="49"/>
      <c r="L227" s="40"/>
      <c r="M227" s="40"/>
      <c r="O227" s="78" t="s">
        <v>3118</v>
      </c>
      <c r="P227" s="1605" t="s">
        <v>4061</v>
      </c>
      <c r="Q227" s="210"/>
    </row>
    <row r="228" spans="1:31" ht="11.45" customHeight="1">
      <c r="B228" s="54"/>
      <c r="C228" s="78" t="s">
        <v>2009</v>
      </c>
      <c r="D228" s="61" t="s">
        <v>1164</v>
      </c>
      <c r="E228" s="61"/>
      <c r="F228" s="61"/>
      <c r="G228" s="61"/>
      <c r="H228" s="61"/>
      <c r="I228" s="49"/>
      <c r="J228" s="40"/>
      <c r="K228" s="49"/>
      <c r="L228" s="40"/>
      <c r="M228" s="40"/>
      <c r="O228" s="78" t="s">
        <v>1165</v>
      </c>
      <c r="P228" s="1605" t="s">
        <v>4070</v>
      </c>
      <c r="Q228" s="210"/>
    </row>
    <row r="229" spans="1:31" ht="11.45" customHeight="1">
      <c r="B229" s="54"/>
      <c r="C229" s="78"/>
      <c r="D229" s="61" t="s">
        <v>1941</v>
      </c>
      <c r="E229" s="61"/>
      <c r="F229" s="61"/>
      <c r="G229" s="61"/>
      <c r="H229" s="61"/>
      <c r="I229" s="49"/>
      <c r="J229" s="40"/>
      <c r="K229" s="49"/>
      <c r="L229" s="40"/>
      <c r="M229" s="40"/>
      <c r="O229" s="78" t="s">
        <v>1166</v>
      </c>
      <c r="P229" s="1605" t="s">
        <v>4061</v>
      </c>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3548</v>
      </c>
      <c r="D231" s="61"/>
      <c r="E231" s="61"/>
      <c r="F231" s="61"/>
      <c r="G231" s="61"/>
      <c r="H231" s="61"/>
      <c r="I231" s="61"/>
      <c r="J231" s="61"/>
      <c r="K231" s="49"/>
      <c r="L231" s="61"/>
      <c r="M231" s="61"/>
      <c r="O231" s="654" t="s">
        <v>2829</v>
      </c>
      <c r="P231" s="1605" t="s">
        <v>4103</v>
      </c>
      <c r="Q231" s="210"/>
    </row>
    <row r="232" spans="1:31" ht="11.45" customHeight="1">
      <c r="B232" s="54"/>
      <c r="C232" s="78" t="s">
        <v>2430</v>
      </c>
      <c r="D232" s="47" t="s">
        <v>1678</v>
      </c>
      <c r="E232" s="49"/>
      <c r="F232" s="49"/>
      <c r="G232" s="47"/>
      <c r="H232" s="38"/>
      <c r="I232" s="49"/>
      <c r="J232" s="38"/>
      <c r="K232" s="49"/>
      <c r="L232" s="38"/>
      <c r="M232" s="38"/>
      <c r="O232" s="78" t="s">
        <v>2430</v>
      </c>
      <c r="P232" s="1605" t="s">
        <v>4061</v>
      </c>
      <c r="Q232" s="210"/>
    </row>
    <row r="233" spans="1:31" ht="11.45" customHeight="1">
      <c r="B233" s="54"/>
      <c r="C233" s="78" t="s">
        <v>2431</v>
      </c>
      <c r="D233" s="47" t="s">
        <v>160</v>
      </c>
      <c r="E233" s="49"/>
      <c r="F233" s="49"/>
      <c r="G233" s="38"/>
      <c r="H233" s="38"/>
      <c r="I233" s="49"/>
      <c r="J233" s="38"/>
      <c r="K233" s="49"/>
      <c r="L233" s="38"/>
      <c r="M233" s="38"/>
      <c r="O233" s="78" t="s">
        <v>2431</v>
      </c>
      <c r="P233" s="1605" t="s">
        <v>4061</v>
      </c>
      <c r="Q233" s="210"/>
    </row>
    <row r="234" spans="1:31" ht="11.45" customHeight="1">
      <c r="B234" s="54"/>
      <c r="C234" s="78" t="s">
        <v>2432</v>
      </c>
      <c r="D234" s="38" t="s">
        <v>2319</v>
      </c>
      <c r="E234" s="49"/>
      <c r="F234" s="49"/>
      <c r="G234" s="38"/>
      <c r="H234" s="38"/>
      <c r="I234" s="49"/>
      <c r="J234" s="38"/>
      <c r="K234" s="49"/>
      <c r="L234" s="38"/>
      <c r="M234" s="38"/>
      <c r="O234" s="78" t="s">
        <v>3124</v>
      </c>
      <c r="P234" s="1605" t="s">
        <v>4061</v>
      </c>
      <c r="Q234" s="210"/>
    </row>
    <row r="235" spans="1:31" ht="11.45" customHeight="1">
      <c r="B235" s="44"/>
      <c r="C235" s="49"/>
      <c r="D235" s="38" t="s">
        <v>1719</v>
      </c>
      <c r="E235" s="49"/>
      <c r="F235" s="49"/>
      <c r="G235" s="38"/>
      <c r="H235" s="38"/>
      <c r="I235" s="49"/>
      <c r="J235" s="38"/>
      <c r="K235" s="49"/>
      <c r="L235" s="38"/>
      <c r="M235" s="38"/>
      <c r="O235" s="78" t="s">
        <v>3125</v>
      </c>
      <c r="P235" s="1605"/>
      <c r="Q235" s="210"/>
    </row>
    <row r="236" spans="1:31" ht="11.25" customHeight="1">
      <c r="B236" s="173" t="s">
        <v>2569</v>
      </c>
      <c r="D236" s="173"/>
      <c r="E236" s="173"/>
      <c r="F236" s="173"/>
      <c r="G236" s="173"/>
      <c r="H236" s="813"/>
      <c r="I236" s="162"/>
      <c r="J236" s="162"/>
      <c r="K236" s="162"/>
      <c r="L236" s="804"/>
      <c r="M236" s="804"/>
      <c r="N236" s="804"/>
      <c r="O236" s="804"/>
      <c r="P236" s="804"/>
      <c r="Q236" s="59"/>
    </row>
    <row r="237" spans="1:31" ht="11.45" customHeight="1">
      <c r="A237" s="1609"/>
      <c r="B237" s="1610"/>
      <c r="C237" s="1610"/>
      <c r="D237" s="1610"/>
      <c r="E237" s="1610"/>
      <c r="F237" s="1610"/>
      <c r="G237" s="1610"/>
      <c r="H237" s="1610"/>
      <c r="I237" s="1610"/>
      <c r="J237" s="1610"/>
      <c r="K237" s="1610"/>
      <c r="L237" s="1610"/>
      <c r="M237" s="1610"/>
      <c r="N237" s="1610"/>
      <c r="O237" s="1610"/>
      <c r="P237" s="1610"/>
      <c r="Q237" s="1611"/>
      <c r="R237" s="614" t="s">
        <v>1677</v>
      </c>
      <c r="S237" s="615"/>
      <c r="U237" s="168"/>
      <c r="V237" s="168"/>
      <c r="W237" s="168"/>
      <c r="X237" s="168"/>
      <c r="Y237" s="168"/>
      <c r="Z237" s="168"/>
      <c r="AA237" s="168"/>
      <c r="AB237" s="168"/>
      <c r="AC237" s="168"/>
      <c r="AD237" s="168"/>
      <c r="AE237" s="656"/>
    </row>
    <row r="238" spans="1:31" ht="11.25" customHeight="1">
      <c r="B238" s="169" t="s">
        <v>2570</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3496</v>
      </c>
      <c r="C241" s="5"/>
      <c r="D241" s="104"/>
      <c r="E241" s="104"/>
      <c r="F241" s="104"/>
      <c r="G241" s="104"/>
      <c r="H241" s="808"/>
      <c r="I241" s="808"/>
      <c r="J241" s="808"/>
      <c r="K241" s="808"/>
      <c r="L241" s="808"/>
      <c r="M241" s="808"/>
      <c r="O241" s="163" t="s">
        <v>2571</v>
      </c>
      <c r="P241" s="1045"/>
      <c r="Q241" s="1046"/>
    </row>
    <row r="242" spans="1:32" ht="4.9000000000000004" customHeight="1"/>
    <row r="243" spans="1:32" ht="11.45" customHeight="1">
      <c r="B243" s="54" t="s">
        <v>2693</v>
      </c>
      <c r="C243" s="61" t="s">
        <v>1693</v>
      </c>
      <c r="D243" s="49"/>
      <c r="E243" s="61"/>
      <c r="F243" s="61"/>
      <c r="G243" s="61"/>
      <c r="H243" s="61"/>
      <c r="I243" s="49"/>
      <c r="J243" s="49"/>
      <c r="K243" s="49"/>
      <c r="L243" s="654" t="s">
        <v>2693</v>
      </c>
      <c r="M243" s="1659" t="s">
        <v>2466</v>
      </c>
      <c r="N243" s="1660"/>
      <c r="O243" s="1661"/>
      <c r="P243" s="1079" t="s">
        <v>2466</v>
      </c>
      <c r="Q243" s="1080"/>
    </row>
    <row r="244" spans="1:32" ht="11.45" customHeight="1">
      <c r="B244" s="54" t="s">
        <v>2696</v>
      </c>
      <c r="C244" s="61" t="s">
        <v>1666</v>
      </c>
      <c r="D244" s="61"/>
      <c r="E244" s="61"/>
      <c r="F244" s="61"/>
      <c r="G244" s="61"/>
      <c r="H244" s="61"/>
      <c r="I244" s="49"/>
      <c r="J244" s="49"/>
      <c r="K244" s="49"/>
      <c r="L244" s="654" t="s">
        <v>2696</v>
      </c>
      <c r="M244" s="1687"/>
      <c r="N244" s="1688"/>
      <c r="O244" s="1689"/>
      <c r="P244" s="1099"/>
      <c r="Q244" s="1100"/>
    </row>
    <row r="245" spans="1:32" s="181" customFormat="1" ht="11.45" customHeight="1">
      <c r="B245" s="54" t="s">
        <v>1054</v>
      </c>
      <c r="C245" s="61" t="s">
        <v>2654</v>
      </c>
      <c r="D245" s="61"/>
      <c r="E245" s="61"/>
      <c r="F245" s="61"/>
      <c r="G245" s="61"/>
      <c r="H245" s="61"/>
      <c r="I245" s="115"/>
      <c r="J245" s="115"/>
      <c r="K245" s="115"/>
      <c r="L245" s="654" t="s">
        <v>1054</v>
      </c>
      <c r="M245" s="1659"/>
      <c r="N245" s="1660"/>
      <c r="O245" s="1661"/>
      <c r="P245" s="1079"/>
      <c r="Q245" s="1080"/>
      <c r="AE245" s="658"/>
      <c r="AF245" s="658"/>
    </row>
    <row r="246" spans="1:32" s="181" customFormat="1" ht="11.45" customHeight="1">
      <c r="B246" s="54" t="s">
        <v>2829</v>
      </c>
      <c r="C246" s="61" t="s">
        <v>3339</v>
      </c>
      <c r="D246" s="61"/>
      <c r="E246" s="61"/>
      <c r="F246" s="61"/>
      <c r="G246" s="61"/>
      <c r="H246" s="61"/>
      <c r="I246" s="115"/>
      <c r="J246" s="115"/>
      <c r="K246" s="115"/>
      <c r="L246" s="115"/>
      <c r="M246" s="115"/>
      <c r="O246" s="654" t="s">
        <v>2829</v>
      </c>
      <c r="P246" s="1605"/>
      <c r="Q246" s="210"/>
      <c r="AE246" s="658"/>
      <c r="AF246" s="658"/>
    </row>
    <row r="247" spans="1:32" s="181" customFormat="1" ht="22.15" customHeight="1">
      <c r="B247" s="174" t="s">
        <v>2428</v>
      </c>
      <c r="C247" s="1047" t="s">
        <v>3758</v>
      </c>
      <c r="D247" s="1047"/>
      <c r="E247" s="1047"/>
      <c r="F247" s="1047"/>
      <c r="G247" s="1047"/>
      <c r="H247" s="1047"/>
      <c r="I247" s="1047"/>
      <c r="J247" s="1047"/>
      <c r="K247" s="1047"/>
      <c r="L247" s="1047"/>
      <c r="M247" s="1047"/>
      <c r="N247" s="1047"/>
      <c r="O247" s="199" t="s">
        <v>2428</v>
      </c>
      <c r="P247" s="1605"/>
      <c r="Q247" s="210"/>
      <c r="AE247" s="658"/>
      <c r="AF247" s="658"/>
    </row>
    <row r="248" spans="1:32" ht="11.25" customHeight="1">
      <c r="B248" s="173" t="s">
        <v>2569</v>
      </c>
      <c r="D248" s="173"/>
      <c r="E248" s="173"/>
      <c r="F248" s="173"/>
      <c r="G248" s="173"/>
      <c r="H248" s="813"/>
      <c r="I248" s="162"/>
      <c r="J248" s="162"/>
      <c r="K248" s="162"/>
      <c r="L248" s="804"/>
      <c r="M248" s="804"/>
      <c r="N248" s="804"/>
      <c r="O248" s="804"/>
      <c r="P248" s="804"/>
      <c r="Q248" s="59"/>
    </row>
    <row r="249" spans="1:32" ht="13.15" customHeight="1">
      <c r="A249" s="1609" t="s">
        <v>4133</v>
      </c>
      <c r="B249" s="1610"/>
      <c r="C249" s="1610"/>
      <c r="D249" s="1610"/>
      <c r="E249" s="1610"/>
      <c r="F249" s="1610"/>
      <c r="G249" s="1610"/>
      <c r="H249" s="1610"/>
      <c r="I249" s="1610"/>
      <c r="J249" s="1610"/>
      <c r="K249" s="1610"/>
      <c r="L249" s="1610"/>
      <c r="M249" s="1610"/>
      <c r="N249" s="1610"/>
      <c r="O249" s="1610"/>
      <c r="P249" s="1610"/>
      <c r="Q249" s="1611"/>
      <c r="R249" s="614" t="s">
        <v>1677</v>
      </c>
      <c r="S249" s="615"/>
      <c r="U249" s="168"/>
      <c r="V249" s="168"/>
      <c r="W249" s="168"/>
      <c r="X249" s="168"/>
      <c r="Y249" s="168"/>
      <c r="Z249" s="168"/>
      <c r="AA249" s="168"/>
      <c r="AB249" s="168"/>
      <c r="AC249" s="168"/>
      <c r="AD249" s="168"/>
      <c r="AE249" s="656"/>
    </row>
    <row r="250" spans="1:32" ht="10.9" customHeight="1">
      <c r="B250" s="169" t="s">
        <v>2570</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3497</v>
      </c>
      <c r="C253" s="5"/>
      <c r="D253" s="104"/>
      <c r="E253" s="104"/>
      <c r="F253" s="104"/>
      <c r="G253" s="104"/>
      <c r="H253" s="808"/>
      <c r="I253" s="808"/>
      <c r="J253" s="808"/>
      <c r="K253" s="808"/>
      <c r="L253" s="808"/>
      <c r="M253" s="808"/>
      <c r="O253" s="163" t="s">
        <v>2571</v>
      </c>
      <c r="P253" s="1045"/>
      <c r="Q253" s="1046"/>
    </row>
    <row r="254" spans="1:32" ht="3" customHeight="1"/>
    <row r="255" spans="1:32" s="550" customFormat="1" ht="11.25" customHeight="1">
      <c r="B255" s="174" t="s">
        <v>2693</v>
      </c>
      <c r="C255" s="1047" t="s">
        <v>3530</v>
      </c>
      <c r="D255" s="1047"/>
      <c r="E255" s="1047"/>
      <c r="F255" s="1047"/>
      <c r="G255" s="1047"/>
      <c r="H255" s="1047"/>
      <c r="I255" s="1047"/>
      <c r="J255" s="1047"/>
      <c r="K255" s="1047"/>
      <c r="L255" s="1047"/>
      <c r="M255" s="1047"/>
      <c r="N255" s="1047"/>
      <c r="O255" s="199" t="s">
        <v>2693</v>
      </c>
      <c r="P255" s="1655" t="s">
        <v>4061</v>
      </c>
      <c r="Q255" s="323"/>
      <c r="AE255" s="659"/>
      <c r="AF255" s="659"/>
    </row>
    <row r="256" spans="1:32" s="181" customFormat="1" ht="11.45" customHeight="1">
      <c r="B256" s="54" t="s">
        <v>2696</v>
      </c>
      <c r="C256" s="61" t="s">
        <v>1843</v>
      </c>
      <c r="D256" s="61"/>
      <c r="E256" s="61"/>
      <c r="F256" s="61"/>
      <c r="G256" s="61"/>
      <c r="H256" s="61"/>
      <c r="I256" s="61"/>
      <c r="J256" s="61"/>
      <c r="K256" s="61"/>
      <c r="L256" s="61"/>
      <c r="M256" s="61"/>
      <c r="O256" s="654" t="s">
        <v>2696</v>
      </c>
      <c r="P256" s="1605" t="s">
        <v>4061</v>
      </c>
      <c r="Q256" s="210"/>
      <c r="AE256" s="658"/>
      <c r="AF256" s="658"/>
    </row>
    <row r="257" spans="1:32" ht="11.25" customHeight="1">
      <c r="B257" s="173" t="s">
        <v>2569</v>
      </c>
      <c r="D257" s="173"/>
      <c r="E257" s="173"/>
      <c r="F257" s="173"/>
      <c r="G257" s="173"/>
      <c r="H257" s="813"/>
      <c r="I257" s="162"/>
      <c r="J257" s="162"/>
      <c r="K257" s="162"/>
      <c r="L257" s="804"/>
      <c r="M257" s="804"/>
      <c r="N257" s="804"/>
      <c r="O257" s="804"/>
      <c r="P257" s="804"/>
      <c r="Q257" s="59"/>
    </row>
    <row r="258" spans="1:32" ht="13.15" customHeight="1">
      <c r="A258" s="1609"/>
      <c r="B258" s="1610"/>
      <c r="C258" s="1610"/>
      <c r="D258" s="1610"/>
      <c r="E258" s="1610"/>
      <c r="F258" s="1610"/>
      <c r="G258" s="1610"/>
      <c r="H258" s="1610"/>
      <c r="I258" s="1610"/>
      <c r="J258" s="1610"/>
      <c r="K258" s="1610"/>
      <c r="L258" s="1610"/>
      <c r="M258" s="1610"/>
      <c r="N258" s="1610"/>
      <c r="O258" s="1610"/>
      <c r="P258" s="1610"/>
      <c r="Q258" s="1611"/>
      <c r="R258" s="614" t="s">
        <v>1677</v>
      </c>
      <c r="S258" s="615"/>
      <c r="U258" s="168"/>
      <c r="V258" s="168"/>
      <c r="W258" s="168"/>
      <c r="X258" s="168"/>
      <c r="Y258" s="168"/>
      <c r="Z258" s="168"/>
      <c r="AA258" s="168"/>
      <c r="AB258" s="168"/>
      <c r="AC258" s="168"/>
      <c r="AD258" s="168"/>
      <c r="AE258" s="656"/>
    </row>
    <row r="259" spans="1:32" ht="11.25" customHeight="1">
      <c r="B259" s="169" t="s">
        <v>2570</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3498</v>
      </c>
      <c r="C262" s="810"/>
      <c r="D262" s="808"/>
      <c r="E262" s="808"/>
      <c r="F262" s="808"/>
      <c r="G262" s="808"/>
      <c r="H262" s="808"/>
      <c r="I262" s="808"/>
      <c r="J262" s="808"/>
      <c r="K262" s="808"/>
      <c r="L262" s="808"/>
      <c r="M262" s="808"/>
      <c r="O262" s="163" t="s">
        <v>2571</v>
      </c>
      <c r="P262" s="1045"/>
      <c r="Q262" s="1046"/>
    </row>
    <row r="263" spans="1:32" ht="3" customHeight="1"/>
    <row r="264" spans="1:32" s="550" customFormat="1" ht="24" customHeight="1">
      <c r="B264" s="174" t="s">
        <v>2693</v>
      </c>
      <c r="C264" s="1043" t="s">
        <v>3565</v>
      </c>
      <c r="D264" s="931"/>
      <c r="E264" s="931"/>
      <c r="F264" s="931"/>
      <c r="G264" s="931"/>
      <c r="H264" s="931"/>
      <c r="I264" s="931"/>
      <c r="J264" s="931"/>
      <c r="K264" s="931"/>
      <c r="L264" s="931"/>
      <c r="M264" s="931"/>
      <c r="N264" s="931"/>
      <c r="O264" s="199" t="s">
        <v>2693</v>
      </c>
      <c r="P264" s="1605" t="s">
        <v>4103</v>
      </c>
      <c r="Q264" s="210"/>
      <c r="AE264" s="659"/>
      <c r="AF264" s="659"/>
    </row>
    <row r="265" spans="1:32" s="550" customFormat="1" ht="24" customHeight="1">
      <c r="B265" s="174" t="s">
        <v>2696</v>
      </c>
      <c r="C265" s="1043" t="s">
        <v>3566</v>
      </c>
      <c r="D265" s="931"/>
      <c r="E265" s="931"/>
      <c r="F265" s="931"/>
      <c r="G265" s="931"/>
      <c r="H265" s="931"/>
      <c r="I265" s="931"/>
      <c r="J265" s="931"/>
      <c r="K265" s="931"/>
      <c r="L265" s="931"/>
      <c r="M265" s="931"/>
      <c r="N265" s="931"/>
      <c r="O265" s="199" t="s">
        <v>2696</v>
      </c>
      <c r="P265" s="1605" t="s">
        <v>4103</v>
      </c>
      <c r="Q265" s="210"/>
      <c r="AE265" s="659"/>
      <c r="AF265" s="659"/>
    </row>
    <row r="266" spans="1:32" ht="11.25" customHeight="1">
      <c r="B266" s="173" t="s">
        <v>2569</v>
      </c>
      <c r="D266" s="173"/>
      <c r="E266" s="173"/>
      <c r="F266" s="173"/>
      <c r="G266" s="173"/>
      <c r="H266" s="813"/>
      <c r="I266" s="162"/>
      <c r="J266" s="162"/>
      <c r="K266" s="162"/>
      <c r="L266" s="804"/>
      <c r="M266" s="804"/>
      <c r="N266" s="804"/>
      <c r="O266" s="804"/>
      <c r="P266" s="804"/>
      <c r="Q266" s="59"/>
    </row>
    <row r="267" spans="1:32" ht="13.15" customHeight="1">
      <c r="A267" s="1609"/>
      <c r="B267" s="1610"/>
      <c r="C267" s="1610"/>
      <c r="D267" s="1610"/>
      <c r="E267" s="1610"/>
      <c r="F267" s="1610"/>
      <c r="G267" s="1610"/>
      <c r="H267" s="1610"/>
      <c r="I267" s="1610"/>
      <c r="J267" s="1610"/>
      <c r="K267" s="1610"/>
      <c r="L267" s="1610"/>
      <c r="M267" s="1610"/>
      <c r="N267" s="1610"/>
      <c r="O267" s="1610"/>
      <c r="P267" s="1610"/>
      <c r="Q267" s="1611"/>
      <c r="R267" s="614" t="s">
        <v>1677</v>
      </c>
      <c r="S267" s="615"/>
      <c r="U267" s="168"/>
      <c r="V267" s="168"/>
      <c r="W267" s="168"/>
      <c r="X267" s="168"/>
      <c r="Y267" s="168"/>
      <c r="Z267" s="168"/>
      <c r="AA267" s="168"/>
      <c r="AB267" s="168"/>
      <c r="AC267" s="168"/>
      <c r="AD267" s="168"/>
      <c r="AE267" s="656"/>
    </row>
    <row r="268" spans="1:32" ht="11.25" customHeight="1">
      <c r="B268" s="169" t="s">
        <v>2570</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3499</v>
      </c>
      <c r="C271" s="182"/>
      <c r="D271" s="809"/>
      <c r="E271" s="808"/>
      <c r="F271" s="808"/>
      <c r="G271" s="808"/>
      <c r="H271" s="808"/>
      <c r="I271" s="808"/>
      <c r="J271" s="808"/>
      <c r="K271" s="808"/>
      <c r="L271" s="808"/>
      <c r="M271" s="808"/>
      <c r="O271" s="163" t="s">
        <v>2571</v>
      </c>
      <c r="P271" s="1045"/>
      <c r="Q271" s="1046"/>
    </row>
    <row r="272" spans="1:32" s="181" customFormat="1" ht="46.5" customHeight="1">
      <c r="B272" s="174" t="s">
        <v>2693</v>
      </c>
      <c r="C272" s="183" t="s">
        <v>2430</v>
      </c>
      <c r="D272" s="1043" t="s">
        <v>3674</v>
      </c>
      <c r="E272" s="1043"/>
      <c r="F272" s="1043"/>
      <c r="G272" s="1043"/>
      <c r="H272" s="1043"/>
      <c r="I272" s="1043"/>
      <c r="J272" s="1043"/>
      <c r="K272" s="1043"/>
      <c r="L272" s="1043"/>
      <c r="M272" s="1043"/>
      <c r="N272" s="1043"/>
      <c r="O272" s="199" t="s">
        <v>3677</v>
      </c>
      <c r="P272" s="1655" t="s">
        <v>4061</v>
      </c>
      <c r="Q272" s="210"/>
      <c r="AE272" s="658"/>
      <c r="AF272" s="658"/>
    </row>
    <row r="273" spans="1:256 1523:1523" s="115" customFormat="1" ht="12.75" customHeight="1">
      <c r="B273" s="54"/>
      <c r="C273" s="78" t="s">
        <v>2431</v>
      </c>
      <c r="D273" s="1044" t="s">
        <v>3632</v>
      </c>
      <c r="E273" s="1044"/>
      <c r="F273" s="1044"/>
      <c r="G273" s="1044"/>
      <c r="H273" s="1044"/>
      <c r="I273" s="1044"/>
      <c r="J273" s="1044"/>
      <c r="K273" s="1044"/>
      <c r="L273" s="1044"/>
      <c r="M273" s="1044"/>
      <c r="N273" s="1044"/>
      <c r="O273" s="78" t="s">
        <v>2431</v>
      </c>
      <c r="P273" s="1605" t="s">
        <v>4061</v>
      </c>
      <c r="Q273" s="210"/>
      <c r="AE273" s="660"/>
      <c r="AF273" s="660"/>
    </row>
    <row r="274" spans="1:256 1523:1523" s="115" customFormat="1" ht="22.5" customHeight="1">
      <c r="B274" s="174" t="s">
        <v>2696</v>
      </c>
      <c r="C274" s="183" t="s">
        <v>2430</v>
      </c>
      <c r="D274" s="1043" t="s">
        <v>3675</v>
      </c>
      <c r="E274" s="1043"/>
      <c r="F274" s="1043"/>
      <c r="G274" s="1043"/>
      <c r="H274" s="1043"/>
      <c r="I274" s="1043"/>
      <c r="J274" s="1043"/>
      <c r="K274" s="1043"/>
      <c r="L274" s="1043"/>
      <c r="M274" s="1043"/>
      <c r="N274" s="1043"/>
      <c r="O274" s="654" t="s">
        <v>3678</v>
      </c>
      <c r="P274" s="1605" t="s">
        <v>4061</v>
      </c>
      <c r="Q274" s="210"/>
      <c r="AE274" s="660"/>
      <c r="AF274" s="660"/>
    </row>
    <row r="275" spans="1:256 1523:1523" s="115" customFormat="1" ht="12" customHeight="1">
      <c r="B275" s="174"/>
      <c r="C275" s="183" t="s">
        <v>2431</v>
      </c>
      <c r="D275" s="1043" t="s">
        <v>3676</v>
      </c>
      <c r="E275" s="1043"/>
      <c r="F275" s="1043"/>
      <c r="G275" s="1043"/>
      <c r="H275" s="1043"/>
      <c r="I275" s="1043"/>
      <c r="J275" s="1043"/>
      <c r="K275" s="1043"/>
      <c r="L275" s="1043"/>
      <c r="M275" s="1043"/>
      <c r="N275" s="1043"/>
      <c r="O275" s="78" t="s">
        <v>2431</v>
      </c>
      <c r="P275" s="1690" t="s">
        <v>4061</v>
      </c>
      <c r="Q275" s="679"/>
      <c r="AE275" s="660"/>
      <c r="AF275" s="660"/>
    </row>
    <row r="276" spans="1:256 1523:1523" s="550" customFormat="1" ht="35.25" customHeight="1">
      <c r="B276" s="174" t="s">
        <v>1054</v>
      </c>
      <c r="C276" s="183"/>
      <c r="D276" s="1043" t="s">
        <v>3679</v>
      </c>
      <c r="E276" s="1043"/>
      <c r="F276" s="1043"/>
      <c r="G276" s="1043"/>
      <c r="H276" s="1043"/>
      <c r="I276" s="1043"/>
      <c r="J276" s="1043"/>
      <c r="K276" s="1043"/>
      <c r="L276" s="1043"/>
      <c r="M276" s="1043"/>
      <c r="N276" s="1043"/>
      <c r="O276" s="199" t="s">
        <v>1054</v>
      </c>
      <c r="P276" s="1655" t="s">
        <v>4061</v>
      </c>
      <c r="Q276" s="323"/>
      <c r="AE276" s="659"/>
      <c r="AF276" s="659"/>
    </row>
    <row r="277" spans="1:256 1523:1523" ht="11.25" customHeight="1">
      <c r="B277" s="173" t="s">
        <v>2569</v>
      </c>
      <c r="D277" s="173"/>
      <c r="E277" s="173"/>
      <c r="F277" s="173"/>
      <c r="G277" s="173"/>
      <c r="H277" s="813"/>
      <c r="I277" s="162"/>
      <c r="J277" s="162"/>
      <c r="K277" s="162"/>
      <c r="L277" s="804"/>
      <c r="M277" s="804"/>
      <c r="N277" s="804"/>
      <c r="O277" s="804"/>
      <c r="P277" s="804"/>
      <c r="Q277" s="59"/>
    </row>
    <row r="278" spans="1:256 1523:1523" ht="11.45" customHeight="1">
      <c r="A278" s="1609"/>
      <c r="B278" s="1610"/>
      <c r="C278" s="1610"/>
      <c r="D278" s="1610"/>
      <c r="E278" s="1610"/>
      <c r="F278" s="1610"/>
      <c r="G278" s="1610"/>
      <c r="H278" s="1610"/>
      <c r="I278" s="1610"/>
      <c r="J278" s="1610"/>
      <c r="K278" s="1610"/>
      <c r="L278" s="1610"/>
      <c r="M278" s="1610"/>
      <c r="N278" s="1610"/>
      <c r="O278" s="1610"/>
      <c r="P278" s="1610"/>
      <c r="Q278" s="1611"/>
      <c r="R278" s="614" t="s">
        <v>1677</v>
      </c>
      <c r="S278" s="615"/>
      <c r="U278" s="168"/>
      <c r="V278" s="168"/>
      <c r="W278" s="168"/>
      <c r="X278" s="168"/>
      <c r="Y278" s="168"/>
      <c r="Z278" s="168"/>
      <c r="AA278" s="168"/>
      <c r="AB278" s="168"/>
      <c r="AC278" s="168"/>
      <c r="AD278" s="168"/>
      <c r="AE278" s="656"/>
    </row>
    <row r="279" spans="1:256 1523:1523" ht="11.25" customHeight="1">
      <c r="B279" s="169" t="s">
        <v>2570</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3500</v>
      </c>
      <c r="C281" s="11"/>
      <c r="D281" s="11"/>
      <c r="E281" s="11"/>
      <c r="F281" s="11"/>
      <c r="G281" s="11"/>
      <c r="H281" s="808"/>
      <c r="I281" s="808"/>
      <c r="J281" s="808"/>
      <c r="K281" s="808"/>
      <c r="L281" s="808"/>
      <c r="M281" s="808"/>
      <c r="O281" s="163" t="s">
        <v>2571</v>
      </c>
      <c r="P281" s="1101"/>
      <c r="Q281" s="1102"/>
    </row>
    <row r="282" spans="1:256 1523:1523" ht="11.45" customHeight="1">
      <c r="B282" s="177" t="s">
        <v>2978</v>
      </c>
      <c r="P282" s="1605" t="s">
        <v>4070</v>
      </c>
      <c r="Q282" s="210"/>
    </row>
    <row r="283" spans="1:256 1523:1523" ht="12" customHeight="1">
      <c r="B283" s="179" t="s">
        <v>2931</v>
      </c>
      <c r="C283" s="179"/>
      <c r="D283" s="179"/>
      <c r="E283" s="179"/>
      <c r="F283" s="179"/>
      <c r="G283" s="179"/>
      <c r="H283" s="179"/>
      <c r="I283" s="179"/>
      <c r="J283" s="179"/>
      <c r="K283" s="179"/>
      <c r="L283" s="179"/>
      <c r="P283" s="1605" t="s">
        <v>4061</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43" t="s">
        <v>3581</v>
      </c>
      <c r="D285" s="1043"/>
      <c r="E285" s="1043"/>
      <c r="F285" s="1043"/>
      <c r="G285" s="1043"/>
      <c r="H285" s="1043"/>
      <c r="I285" s="1043"/>
      <c r="J285" s="1043"/>
      <c r="K285" s="1043"/>
      <c r="L285" s="1043"/>
      <c r="M285" s="1043"/>
      <c r="N285" s="1043"/>
      <c r="O285" s="199" t="s">
        <v>2693</v>
      </c>
      <c r="P285" s="1655" t="s">
        <v>4061</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2696</v>
      </c>
      <c r="C287" s="1110" t="s">
        <v>587</v>
      </c>
      <c r="D287" s="1110"/>
      <c r="E287" s="1110"/>
      <c r="F287" s="1110"/>
      <c r="G287" s="1110"/>
      <c r="H287" s="1110"/>
      <c r="I287" s="1110"/>
      <c r="J287" s="1110"/>
      <c r="K287" s="1110"/>
      <c r="L287" s="1110"/>
      <c r="M287" s="1110"/>
      <c r="O287" s="199" t="s">
        <v>2696</v>
      </c>
      <c r="P287" s="804"/>
      <c r="Q287" s="59"/>
    </row>
    <row r="288" spans="1:256 1523:1523" ht="23.25" customHeight="1">
      <c r="A288" s="176"/>
      <c r="C288" s="269" t="s">
        <v>2430</v>
      </c>
      <c r="D288" s="270" t="s">
        <v>1541</v>
      </c>
      <c r="E288" s="164"/>
      <c r="F288" s="164"/>
      <c r="G288" s="1691" t="s">
        <v>1888</v>
      </c>
      <c r="H288" s="1692"/>
      <c r="I288" s="1692"/>
      <c r="J288" s="1692"/>
      <c r="K288" s="1692"/>
      <c r="L288" s="1692"/>
      <c r="M288" s="1692"/>
      <c r="N288" s="1693"/>
      <c r="O288" s="273" t="s">
        <v>2430</v>
      </c>
      <c r="P288" s="1655" t="s">
        <v>4061</v>
      </c>
      <c r="Q288" s="323"/>
      <c r="BFO288" s="181" t="s">
        <v>3680</v>
      </c>
    </row>
    <row r="289" spans="1:256" ht="23.25" customHeight="1">
      <c r="A289" s="176"/>
      <c r="C289" s="269" t="s">
        <v>2431</v>
      </c>
      <c r="D289" s="1047" t="s">
        <v>1542</v>
      </c>
      <c r="E289" s="1094"/>
      <c r="F289" s="1095"/>
      <c r="G289" s="1684" t="s">
        <v>3483</v>
      </c>
      <c r="H289" s="1694"/>
      <c r="I289" s="1694"/>
      <c r="J289" s="1694"/>
      <c r="K289" s="1694"/>
      <c r="L289" s="1694"/>
      <c r="M289" s="1694"/>
      <c r="N289" s="1695"/>
      <c r="O289" s="273" t="s">
        <v>2431</v>
      </c>
      <c r="P289" s="1655" t="s">
        <v>4061</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3520</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81"/>
      <c r="E292" s="1682"/>
      <c r="F292" s="1682"/>
      <c r="G292" s="1682"/>
      <c r="H292" s="1682"/>
      <c r="I292" s="1682"/>
      <c r="J292" s="1682"/>
      <c r="K292" s="1682"/>
      <c r="L292" s="1682"/>
      <c r="M292" s="1682"/>
      <c r="N292" s="1683"/>
      <c r="O292" s="273" t="s">
        <v>2430</v>
      </c>
      <c r="P292" s="1655"/>
      <c r="Q292" s="323"/>
      <c r="AE292" s="657"/>
      <c r="AF292" s="657"/>
    </row>
    <row r="293" spans="1:256" s="164" customFormat="1" ht="11.25" customHeight="1">
      <c r="A293" s="176"/>
      <c r="C293" s="269" t="s">
        <v>2431</v>
      </c>
      <c r="D293" s="1684"/>
      <c r="E293" s="1685"/>
      <c r="F293" s="1685"/>
      <c r="G293" s="1685"/>
      <c r="H293" s="1685"/>
      <c r="I293" s="1685"/>
      <c r="J293" s="1685"/>
      <c r="K293" s="1685"/>
      <c r="L293" s="1685"/>
      <c r="M293" s="1685"/>
      <c r="N293" s="1686"/>
      <c r="O293" s="273" t="s">
        <v>2431</v>
      </c>
      <c r="P293" s="1655"/>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2569</v>
      </c>
      <c r="D295" s="173"/>
      <c r="E295" s="173"/>
      <c r="F295" s="173"/>
      <c r="G295" s="173"/>
      <c r="H295" s="813"/>
      <c r="I295" s="162"/>
      <c r="J295" s="162"/>
      <c r="K295" s="162"/>
      <c r="L295" s="804"/>
      <c r="M295" s="804"/>
      <c r="N295" s="804"/>
      <c r="O295" s="804"/>
      <c r="P295" s="804"/>
      <c r="Q295" s="59"/>
    </row>
    <row r="296" spans="1:256" ht="11.45" customHeight="1">
      <c r="A296" s="1609"/>
      <c r="B296" s="1610"/>
      <c r="C296" s="1610"/>
      <c r="D296" s="1610"/>
      <c r="E296" s="1610"/>
      <c r="F296" s="1610"/>
      <c r="G296" s="1610"/>
      <c r="H296" s="1610"/>
      <c r="I296" s="1610"/>
      <c r="J296" s="1610"/>
      <c r="K296" s="1610"/>
      <c r="L296" s="1610"/>
      <c r="M296" s="1610"/>
      <c r="N296" s="1610"/>
      <c r="O296" s="1610"/>
      <c r="P296" s="1610"/>
      <c r="Q296" s="1611"/>
      <c r="R296" s="655" t="s">
        <v>1677</v>
      </c>
      <c r="S296" s="150"/>
      <c r="U296" s="168"/>
      <c r="V296" s="168"/>
      <c r="W296" s="168"/>
      <c r="X296" s="168"/>
      <c r="Y296" s="168"/>
      <c r="Z296" s="168"/>
      <c r="AA296" s="168"/>
      <c r="AB296" s="168"/>
      <c r="AC296" s="168"/>
      <c r="AD296" s="168"/>
      <c r="AE296" s="656"/>
    </row>
    <row r="297" spans="1:256" ht="11.25" customHeight="1">
      <c r="B297" s="169" t="s">
        <v>2570</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3501</v>
      </c>
      <c r="C300" s="810"/>
      <c r="D300" s="808"/>
      <c r="E300" s="808"/>
      <c r="F300" s="808"/>
      <c r="G300" s="808"/>
      <c r="H300" s="808"/>
      <c r="O300" s="163" t="s">
        <v>2571</v>
      </c>
      <c r="P300" s="1045"/>
      <c r="Q300" s="1046"/>
    </row>
    <row r="301" spans="1:256" ht="3" customHeight="1"/>
    <row r="302" spans="1:256" ht="11.45" customHeight="1">
      <c r="B302" s="177" t="s">
        <v>3081</v>
      </c>
      <c r="P302" s="1605" t="s">
        <v>4061</v>
      </c>
      <c r="Q302" s="210"/>
    </row>
    <row r="303" spans="1:256" ht="11.45" customHeight="1">
      <c r="B303" s="177" t="s">
        <v>3082</v>
      </c>
      <c r="P303" s="1605" t="s">
        <v>4070</v>
      </c>
      <c r="Q303" s="210"/>
    </row>
    <row r="304" spans="1:256" ht="11.45" customHeight="1">
      <c r="B304" s="177" t="s">
        <v>774</v>
      </c>
      <c r="L304" s="1696" t="s">
        <v>4134</v>
      </c>
      <c r="M304" s="1697"/>
      <c r="N304" s="1697"/>
      <c r="O304" s="1698"/>
    </row>
    <row r="305" spans="1:31" ht="11.45" customHeight="1">
      <c r="B305" s="542" t="s">
        <v>3083</v>
      </c>
      <c r="L305" s="1096"/>
      <c r="M305" s="1097"/>
      <c r="N305" s="1097"/>
      <c r="O305" s="1098"/>
    </row>
    <row r="306" spans="1:31" ht="11.25" customHeight="1">
      <c r="B306" s="173" t="s">
        <v>2569</v>
      </c>
      <c r="D306" s="173"/>
      <c r="E306" s="173"/>
      <c r="F306" s="173"/>
      <c r="G306" s="173"/>
      <c r="H306" s="813"/>
      <c r="I306" s="162"/>
      <c r="J306" s="162"/>
      <c r="K306" s="162"/>
      <c r="L306" s="804"/>
      <c r="M306" s="804"/>
      <c r="N306" s="804"/>
      <c r="O306" s="804"/>
      <c r="P306" s="804"/>
      <c r="Q306" s="59"/>
    </row>
    <row r="307" spans="1:31" ht="13.15" customHeight="1">
      <c r="A307" s="1609"/>
      <c r="B307" s="1610"/>
      <c r="C307" s="1610"/>
      <c r="D307" s="1610"/>
      <c r="E307" s="1610"/>
      <c r="F307" s="1610"/>
      <c r="G307" s="1610"/>
      <c r="H307" s="1610"/>
      <c r="I307" s="1610"/>
      <c r="J307" s="1610"/>
      <c r="K307" s="1610"/>
      <c r="L307" s="1610"/>
      <c r="M307" s="1610"/>
      <c r="N307" s="1610"/>
      <c r="O307" s="1610"/>
      <c r="P307" s="1610"/>
      <c r="Q307" s="1611"/>
      <c r="R307" s="614" t="s">
        <v>1677</v>
      </c>
      <c r="S307" s="615"/>
      <c r="U307" s="168"/>
      <c r="V307" s="168"/>
      <c r="W307" s="168"/>
      <c r="X307" s="168"/>
      <c r="Y307" s="168"/>
      <c r="Z307" s="168"/>
      <c r="AA307" s="168"/>
      <c r="AB307" s="168"/>
      <c r="AC307" s="168"/>
      <c r="AD307" s="168"/>
      <c r="AE307" s="656"/>
    </row>
    <row r="308" spans="1:31" ht="11.25" customHeight="1">
      <c r="B308" s="169" t="s">
        <v>2570</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3502</v>
      </c>
      <c r="C311" s="5"/>
      <c r="D311" s="104"/>
      <c r="E311" s="808"/>
      <c r="F311" s="808"/>
      <c r="G311" s="808"/>
      <c r="H311" s="808"/>
      <c r="I311" s="808"/>
      <c r="J311" s="808"/>
      <c r="K311" s="808"/>
      <c r="L311" s="808"/>
      <c r="M311" s="808"/>
      <c r="O311" s="163" t="s">
        <v>2571</v>
      </c>
      <c r="P311" s="1045"/>
      <c r="Q311" s="1046"/>
    </row>
    <row r="312" spans="1:31" ht="3" customHeight="1"/>
    <row r="313" spans="1:31" ht="22.15" customHeight="1">
      <c r="B313" s="174" t="s">
        <v>2693</v>
      </c>
      <c r="C313" s="1047" t="s">
        <v>3759</v>
      </c>
      <c r="D313" s="1047"/>
      <c r="E313" s="1047"/>
      <c r="F313" s="1047"/>
      <c r="G313" s="1047"/>
      <c r="H313" s="1047"/>
      <c r="I313" s="1047"/>
      <c r="J313" s="1047"/>
      <c r="K313" s="1047"/>
      <c r="L313" s="1047"/>
      <c r="M313" s="1047"/>
      <c r="N313" s="1047"/>
      <c r="O313" s="199" t="s">
        <v>2693</v>
      </c>
      <c r="P313" s="1605" t="s">
        <v>4070</v>
      </c>
      <c r="Q313" s="210"/>
    </row>
    <row r="314" spans="1:31" ht="11.45" customHeight="1">
      <c r="B314" s="174" t="s">
        <v>2696</v>
      </c>
      <c r="C314" s="1047" t="s">
        <v>3760</v>
      </c>
      <c r="D314" s="1047"/>
      <c r="E314" s="1047"/>
      <c r="F314" s="1047"/>
      <c r="G314" s="1047"/>
      <c r="H314" s="1047"/>
      <c r="I314" s="1047"/>
      <c r="J314" s="1047"/>
      <c r="K314" s="1047"/>
      <c r="L314" s="1047"/>
      <c r="M314" s="1047"/>
      <c r="N314" s="1047"/>
      <c r="O314" s="199" t="s">
        <v>2696</v>
      </c>
      <c r="P314" s="1605" t="s">
        <v>4070</v>
      </c>
      <c r="Q314" s="210"/>
    </row>
    <row r="315" spans="1:31" ht="11.45" customHeight="1">
      <c r="B315" s="174" t="s">
        <v>1054</v>
      </c>
      <c r="C315" s="179" t="s">
        <v>3521</v>
      </c>
      <c r="D315" s="179"/>
      <c r="E315" s="179"/>
      <c r="F315" s="179"/>
      <c r="G315" s="179"/>
      <c r="H315" s="179"/>
      <c r="I315" s="179"/>
      <c r="J315" s="179"/>
      <c r="K315" s="179"/>
      <c r="L315" s="179"/>
      <c r="M315" s="179"/>
      <c r="O315" s="199" t="s">
        <v>1054</v>
      </c>
      <c r="P315" s="1605" t="s">
        <v>4070</v>
      </c>
      <c r="Q315" s="210"/>
    </row>
    <row r="316" spans="1:31">
      <c r="B316" s="174" t="s">
        <v>2829</v>
      </c>
      <c r="C316" s="1047" t="s">
        <v>3955</v>
      </c>
      <c r="D316" s="1047"/>
      <c r="E316" s="1047"/>
      <c r="F316" s="1047"/>
      <c r="G316" s="1047"/>
      <c r="H316" s="1047"/>
      <c r="I316" s="1047"/>
      <c r="J316" s="1047"/>
      <c r="K316" s="1047"/>
      <c r="L316" s="1047"/>
      <c r="M316" s="1047"/>
      <c r="N316" s="1047"/>
      <c r="O316" s="199" t="s">
        <v>2829</v>
      </c>
      <c r="P316" s="1605" t="s">
        <v>4070</v>
      </c>
      <c r="Q316" s="210"/>
    </row>
    <row r="317" spans="1:31" ht="11.25" customHeight="1">
      <c r="B317" s="173" t="s">
        <v>2569</v>
      </c>
      <c r="D317" s="173"/>
      <c r="E317" s="173"/>
      <c r="F317" s="173"/>
      <c r="G317" s="173"/>
      <c r="H317" s="813"/>
      <c r="I317" s="162"/>
      <c r="J317" s="162"/>
      <c r="K317" s="162"/>
      <c r="L317" s="804"/>
      <c r="M317" s="804"/>
      <c r="N317" s="804"/>
      <c r="O317" s="804"/>
      <c r="P317" s="804"/>
      <c r="Q317" s="59"/>
    </row>
    <row r="318" spans="1:31" ht="11.45" customHeight="1">
      <c r="A318" s="1609" t="s">
        <v>4153</v>
      </c>
      <c r="B318" s="1610"/>
      <c r="C318" s="1610"/>
      <c r="D318" s="1610"/>
      <c r="E318" s="1610"/>
      <c r="F318" s="1610"/>
      <c r="G318" s="1610"/>
      <c r="H318" s="1610"/>
      <c r="I318" s="1610"/>
      <c r="J318" s="1610"/>
      <c r="K318" s="1610"/>
      <c r="L318" s="1610"/>
      <c r="M318" s="1610"/>
      <c r="N318" s="1610"/>
      <c r="O318" s="1610"/>
      <c r="P318" s="1610"/>
      <c r="Q318" s="1611"/>
      <c r="U318" s="168"/>
      <c r="V318" s="168"/>
      <c r="W318" s="168"/>
      <c r="X318" s="168"/>
      <c r="Y318" s="168"/>
      <c r="Z318" s="168"/>
      <c r="AA318" s="168"/>
      <c r="AB318" s="168"/>
      <c r="AC318" s="168"/>
      <c r="AD318" s="168"/>
      <c r="AE318" s="656"/>
    </row>
    <row r="319" spans="1:31" ht="11.25" customHeight="1">
      <c r="B319" s="169" t="s">
        <v>2570</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3555</v>
      </c>
      <c r="C322" s="5"/>
      <c r="D322" s="5"/>
      <c r="E322" s="5"/>
      <c r="F322" s="5"/>
      <c r="G322" s="5"/>
      <c r="H322" s="808"/>
      <c r="I322" s="808"/>
      <c r="J322" s="808"/>
      <c r="K322" s="808"/>
      <c r="L322" s="808"/>
      <c r="M322" s="808"/>
      <c r="O322" s="163" t="s">
        <v>2571</v>
      </c>
      <c r="P322" s="1045"/>
      <c r="Q322" s="1046"/>
    </row>
    <row r="323" spans="1:32" ht="12" customHeight="1">
      <c r="B323" s="54" t="s">
        <v>2693</v>
      </c>
      <c r="C323" s="143" t="s">
        <v>3550</v>
      </c>
      <c r="D323" s="814"/>
      <c r="E323" s="814"/>
      <c r="F323" s="814"/>
      <c r="G323" s="814"/>
      <c r="H323" s="814"/>
      <c r="I323" s="49"/>
      <c r="J323" s="654" t="s">
        <v>2693</v>
      </c>
      <c r="K323" s="1673" t="s">
        <v>1369</v>
      </c>
      <c r="L323" s="1657"/>
      <c r="M323" s="1657"/>
      <c r="N323" s="1657"/>
      <c r="O323" s="1657"/>
      <c r="P323" s="1674"/>
      <c r="Q323" s="210"/>
    </row>
    <row r="324" spans="1:32" ht="22.5" customHeight="1">
      <c r="B324" s="174" t="s">
        <v>2696</v>
      </c>
      <c r="C324" s="1028" t="s">
        <v>3549</v>
      </c>
      <c r="D324" s="1028"/>
      <c r="E324" s="1028"/>
      <c r="F324" s="1028"/>
      <c r="G324" s="1028"/>
      <c r="H324" s="1028"/>
      <c r="I324" s="1028"/>
      <c r="J324" s="1028"/>
      <c r="K324" s="1028"/>
      <c r="L324" s="1028"/>
      <c r="M324" s="1028"/>
      <c r="N324" s="1028"/>
      <c r="O324" s="199" t="s">
        <v>2696</v>
      </c>
      <c r="P324" s="1655"/>
      <c r="Q324" s="210"/>
    </row>
    <row r="325" spans="1:32" ht="11.45" customHeight="1">
      <c r="B325" s="54" t="s">
        <v>1054</v>
      </c>
      <c r="C325" s="61" t="s">
        <v>3551</v>
      </c>
      <c r="D325" s="61"/>
      <c r="E325" s="61"/>
      <c r="F325" s="61"/>
      <c r="G325" s="61"/>
      <c r="H325" s="61"/>
      <c r="I325" s="61"/>
      <c r="J325" s="61"/>
      <c r="K325" s="61"/>
      <c r="L325" s="38"/>
      <c r="M325" s="38"/>
      <c r="O325" s="654" t="s">
        <v>1054</v>
      </c>
      <c r="P325" s="1605"/>
      <c r="Q325" s="210"/>
    </row>
    <row r="326" spans="1:32" ht="11.45" customHeight="1">
      <c r="B326" s="54" t="s">
        <v>2829</v>
      </c>
      <c r="C326" s="61" t="s">
        <v>3552</v>
      </c>
      <c r="D326" s="61"/>
      <c r="E326" s="61"/>
      <c r="F326" s="61"/>
      <c r="G326" s="61"/>
      <c r="H326" s="61"/>
      <c r="I326" s="61"/>
      <c r="J326" s="61"/>
      <c r="K326" s="61"/>
      <c r="L326" s="61"/>
      <c r="M326" s="61"/>
      <c r="O326" s="654" t="s">
        <v>2829</v>
      </c>
      <c r="P326" s="1605"/>
      <c r="Q326" s="210"/>
    </row>
    <row r="327" spans="1:32" s="164" customFormat="1" ht="11.45" customHeight="1">
      <c r="B327" s="174" t="s">
        <v>2428</v>
      </c>
      <c r="C327" s="1047" t="s">
        <v>3557</v>
      </c>
      <c r="D327" s="1047"/>
      <c r="E327" s="1047"/>
      <c r="F327" s="1047"/>
      <c r="G327" s="1047"/>
      <c r="H327" s="1047"/>
      <c r="I327" s="1047"/>
      <c r="J327" s="1047"/>
      <c r="K327" s="1047"/>
      <c r="L327" s="1047"/>
      <c r="M327" s="1047"/>
      <c r="N327" s="1047"/>
      <c r="O327" s="199" t="s">
        <v>2428</v>
      </c>
      <c r="P327" s="1655"/>
      <c r="Q327" s="323"/>
      <c r="AE327" s="657"/>
      <c r="AF327" s="657"/>
    </row>
    <row r="328" spans="1:32" s="164" customFormat="1" ht="11.45" customHeight="1">
      <c r="B328" s="174" t="s">
        <v>2429</v>
      </c>
      <c r="C328" s="1047" t="s">
        <v>3567</v>
      </c>
      <c r="D328" s="1047"/>
      <c r="E328" s="1047"/>
      <c r="F328" s="1047"/>
      <c r="G328" s="1047"/>
      <c r="H328" s="1047"/>
      <c r="I328" s="1047"/>
      <c r="J328" s="1047"/>
      <c r="K328" s="1047"/>
      <c r="L328" s="1047"/>
      <c r="M328" s="1047"/>
      <c r="N328" s="1047"/>
      <c r="O328" s="199" t="s">
        <v>2429</v>
      </c>
      <c r="P328" s="1655"/>
      <c r="Q328" s="323"/>
      <c r="AE328" s="657"/>
      <c r="AF328" s="657"/>
    </row>
    <row r="329" spans="1:32" ht="11.45" customHeight="1">
      <c r="B329" s="54" t="s">
        <v>2656</v>
      </c>
      <c r="C329" s="61" t="s">
        <v>3553</v>
      </c>
      <c r="D329" s="61"/>
      <c r="E329" s="61"/>
      <c r="F329" s="61"/>
      <c r="G329" s="61"/>
      <c r="H329" s="61"/>
      <c r="I329" s="61"/>
      <c r="J329" s="61"/>
      <c r="K329" s="61"/>
      <c r="L329" s="61"/>
      <c r="M329" s="61"/>
      <c r="O329" s="654" t="s">
        <v>2656</v>
      </c>
      <c r="P329" s="1605"/>
      <c r="Q329" s="210"/>
    </row>
    <row r="330" spans="1:32" ht="11.25" customHeight="1">
      <c r="B330" s="173" t="s">
        <v>2569</v>
      </c>
      <c r="D330" s="173"/>
      <c r="E330" s="173"/>
      <c r="F330" s="173"/>
      <c r="G330" s="173"/>
      <c r="H330" s="813"/>
      <c r="I330" s="162"/>
      <c r="J330" s="162"/>
      <c r="K330" s="162"/>
      <c r="L330" s="804"/>
      <c r="M330" s="804"/>
      <c r="N330" s="804"/>
      <c r="O330" s="804"/>
      <c r="P330" s="804"/>
      <c r="Q330" s="59"/>
    </row>
    <row r="331" spans="1:32" ht="11.45" customHeight="1">
      <c r="A331" s="1609" t="s">
        <v>4117</v>
      </c>
      <c r="B331" s="1610"/>
      <c r="C331" s="1610"/>
      <c r="D331" s="1610"/>
      <c r="E331" s="1610"/>
      <c r="F331" s="1610"/>
      <c r="G331" s="1610"/>
      <c r="H331" s="1610"/>
      <c r="I331" s="1610"/>
      <c r="J331" s="1610"/>
      <c r="K331" s="1610"/>
      <c r="L331" s="1610"/>
      <c r="M331" s="1610"/>
      <c r="N331" s="1610"/>
      <c r="O331" s="1610"/>
      <c r="P331" s="1610"/>
      <c r="Q331" s="1611"/>
      <c r="U331" s="168"/>
      <c r="V331" s="168"/>
      <c r="W331" s="168"/>
      <c r="X331" s="168"/>
      <c r="Y331" s="168"/>
      <c r="Z331" s="168"/>
      <c r="AA331" s="168"/>
      <c r="AB331" s="168"/>
      <c r="AC331" s="168"/>
      <c r="AD331" s="168"/>
      <c r="AE331" s="656"/>
    </row>
    <row r="332" spans="1:32" ht="11.25" customHeight="1">
      <c r="B332" s="169" t="s">
        <v>2570</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3577</v>
      </c>
      <c r="C335" s="5"/>
      <c r="D335" s="5"/>
      <c r="E335" s="5"/>
      <c r="F335" s="5"/>
      <c r="G335" s="5"/>
      <c r="H335" s="808"/>
      <c r="I335" s="808"/>
      <c r="J335" s="808"/>
      <c r="O335" s="163" t="s">
        <v>2571</v>
      </c>
      <c r="P335" s="1045"/>
      <c r="Q335" s="1046"/>
    </row>
    <row r="336" spans="1:32" ht="13.9" customHeight="1">
      <c r="A336" s="810"/>
      <c r="B336" s="131" t="s">
        <v>3507</v>
      </c>
      <c r="C336" s="5"/>
      <c r="D336" s="5"/>
      <c r="E336" s="5"/>
      <c r="F336" s="5"/>
      <c r="G336" s="5"/>
      <c r="H336" s="808"/>
      <c r="I336" s="808"/>
      <c r="J336" s="808"/>
      <c r="S336" s="691" t="s">
        <v>3737</v>
      </c>
    </row>
    <row r="337" spans="2:32" ht="11.45" customHeight="1">
      <c r="B337" s="136" t="s">
        <v>2693</v>
      </c>
      <c r="C337" s="542" t="s">
        <v>3509</v>
      </c>
      <c r="D337" s="64"/>
      <c r="E337" s="814"/>
      <c r="F337" s="814"/>
      <c r="G337" s="814"/>
      <c r="H337" s="814"/>
      <c r="I337" s="49"/>
      <c r="O337" s="654" t="s">
        <v>2693</v>
      </c>
      <c r="S337" s="693" t="str">
        <f>IF(OR(P338="Yes",P339="Yes",P340="Yes",P341="Yes",P342="Yes",P343="Yes",P344="Yes"), "Yes","")</f>
        <v/>
      </c>
    </row>
    <row r="338" spans="2:32" s="164" customFormat="1" ht="11.25" customHeight="1">
      <c r="B338" s="183" t="s">
        <v>2430</v>
      </c>
      <c r="C338" s="1074" t="s">
        <v>3743</v>
      </c>
      <c r="D338" s="1074"/>
      <c r="E338" s="1074"/>
      <c r="F338" s="1074"/>
      <c r="G338" s="1074"/>
      <c r="H338" s="1074"/>
      <c r="I338" s="1074"/>
      <c r="J338" s="1074"/>
      <c r="K338" s="1074"/>
      <c r="L338" s="1074"/>
      <c r="M338" s="1074"/>
      <c r="N338" s="1074"/>
      <c r="O338" s="183" t="s">
        <v>2430</v>
      </c>
      <c r="P338" s="1655"/>
      <c r="Q338" s="323"/>
      <c r="AE338" s="657"/>
      <c r="AF338" s="657"/>
    </row>
    <row r="339" spans="2:32" s="164" customFormat="1" ht="21.75" customHeight="1">
      <c r="B339" s="183" t="s">
        <v>2431</v>
      </c>
      <c r="C339" s="1074" t="s">
        <v>3508</v>
      </c>
      <c r="D339" s="1074"/>
      <c r="E339" s="1074"/>
      <c r="F339" s="1074"/>
      <c r="G339" s="1074"/>
      <c r="H339" s="1074"/>
      <c r="I339" s="1074"/>
      <c r="J339" s="1074"/>
      <c r="K339" s="1074"/>
      <c r="L339" s="1074"/>
      <c r="M339" s="1074"/>
      <c r="N339" s="1074"/>
      <c r="O339" s="183" t="s">
        <v>2431</v>
      </c>
      <c r="P339" s="1655"/>
      <c r="Q339" s="323"/>
      <c r="AE339" s="657"/>
      <c r="AF339" s="657"/>
    </row>
    <row r="340" spans="2:32" s="164" customFormat="1" ht="21.75" customHeight="1">
      <c r="B340" s="183" t="s">
        <v>2432</v>
      </c>
      <c r="C340" s="1043" t="s">
        <v>3732</v>
      </c>
      <c r="D340" s="1043"/>
      <c r="E340" s="1043"/>
      <c r="F340" s="1043"/>
      <c r="G340" s="1043"/>
      <c r="H340" s="1043"/>
      <c r="I340" s="1043"/>
      <c r="J340" s="1043"/>
      <c r="K340" s="1043"/>
      <c r="L340" s="1043"/>
      <c r="M340" s="1043"/>
      <c r="N340" s="1043"/>
      <c r="O340" s="183" t="s">
        <v>2432</v>
      </c>
      <c r="P340" s="1655"/>
      <c r="Q340" s="323"/>
      <c r="AE340" s="657"/>
      <c r="AF340" s="657"/>
    </row>
    <row r="341" spans="2:32" s="164" customFormat="1" ht="21.75" customHeight="1">
      <c r="B341" s="183" t="s">
        <v>3118</v>
      </c>
      <c r="C341" s="1043" t="s">
        <v>3733</v>
      </c>
      <c r="D341" s="1043"/>
      <c r="E341" s="1043"/>
      <c r="F341" s="1043"/>
      <c r="G341" s="1043"/>
      <c r="H341" s="1043"/>
      <c r="I341" s="1043"/>
      <c r="J341" s="1043"/>
      <c r="K341" s="1043"/>
      <c r="L341" s="1043"/>
      <c r="M341" s="1043"/>
      <c r="N341" s="1043"/>
      <c r="O341" s="183" t="s">
        <v>3118</v>
      </c>
      <c r="P341" s="1655"/>
      <c r="Q341" s="323"/>
      <c r="AE341" s="657"/>
      <c r="AF341" s="657"/>
    </row>
    <row r="342" spans="2:32" s="164" customFormat="1" ht="33.75" customHeight="1">
      <c r="B342" s="183" t="s">
        <v>2009</v>
      </c>
      <c r="C342" s="1043" t="s">
        <v>3734</v>
      </c>
      <c r="D342" s="1043"/>
      <c r="E342" s="1043"/>
      <c r="F342" s="1043"/>
      <c r="G342" s="1043"/>
      <c r="H342" s="1043"/>
      <c r="I342" s="1043"/>
      <c r="J342" s="1043"/>
      <c r="K342" s="1043"/>
      <c r="L342" s="1043"/>
      <c r="M342" s="1043"/>
      <c r="N342" s="1043"/>
      <c r="O342" s="183" t="s">
        <v>2009</v>
      </c>
      <c r="P342" s="1655"/>
      <c r="Q342" s="323"/>
      <c r="AE342" s="657"/>
      <c r="AF342" s="657"/>
    </row>
    <row r="343" spans="2:32" s="164" customFormat="1" ht="21.75" customHeight="1">
      <c r="B343" s="199" t="s">
        <v>2010</v>
      </c>
      <c r="C343" s="1043" t="s">
        <v>3735</v>
      </c>
      <c r="D343" s="1043"/>
      <c r="E343" s="1043"/>
      <c r="F343" s="1043"/>
      <c r="G343" s="1043"/>
      <c r="H343" s="1043"/>
      <c r="I343" s="1043"/>
      <c r="J343" s="1043"/>
      <c r="K343" s="1043"/>
      <c r="L343" s="1043"/>
      <c r="M343" s="1043"/>
      <c r="N343" s="1043"/>
      <c r="O343" s="199" t="s">
        <v>2010</v>
      </c>
      <c r="P343" s="1655"/>
      <c r="Q343" s="323"/>
      <c r="AE343" s="657"/>
      <c r="AF343" s="657"/>
    </row>
    <row r="344" spans="2:32" s="164" customFormat="1" ht="21.75" customHeight="1">
      <c r="B344" s="199" t="s">
        <v>104</v>
      </c>
      <c r="C344" s="1043" t="s">
        <v>3736</v>
      </c>
      <c r="D344" s="1043"/>
      <c r="E344" s="1043"/>
      <c r="F344" s="1043"/>
      <c r="G344" s="1043"/>
      <c r="H344" s="1043"/>
      <c r="I344" s="1043"/>
      <c r="J344" s="1043"/>
      <c r="K344" s="1043"/>
      <c r="L344" s="1043"/>
      <c r="M344" s="1043"/>
      <c r="N344" s="1043"/>
      <c r="O344" s="199" t="s">
        <v>104</v>
      </c>
      <c r="P344" s="1655"/>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3510</v>
      </c>
      <c r="D346" s="165"/>
      <c r="E346" s="165"/>
      <c r="F346" s="165"/>
      <c r="G346" s="165"/>
      <c r="H346" s="165"/>
      <c r="I346" s="165"/>
      <c r="J346" s="165"/>
      <c r="K346" s="165"/>
      <c r="L346" s="165"/>
      <c r="M346" s="165"/>
      <c r="N346" s="165"/>
      <c r="O346" s="654" t="s">
        <v>2696</v>
      </c>
      <c r="P346" s="607"/>
      <c r="Q346" s="607"/>
    </row>
    <row r="347" spans="2:32" ht="11.25" customHeight="1">
      <c r="B347" s="78" t="s">
        <v>2430</v>
      </c>
      <c r="C347" s="580" t="s">
        <v>3511</v>
      </c>
      <c r="E347" s="580"/>
      <c r="F347" s="580"/>
      <c r="G347" s="580"/>
      <c r="H347" s="580"/>
      <c r="I347" s="580"/>
      <c r="J347" s="580"/>
      <c r="K347" s="580"/>
      <c r="L347" s="580"/>
      <c r="M347" s="580"/>
      <c r="N347" s="609"/>
      <c r="P347" s="78" t="s">
        <v>2430</v>
      </c>
      <c r="Q347" s="210"/>
    </row>
    <row r="348" spans="2:32" ht="11.25" customHeight="1">
      <c r="B348" s="78" t="s">
        <v>2431</v>
      </c>
      <c r="C348" s="166" t="s">
        <v>3512</v>
      </c>
      <c r="E348" s="166"/>
      <c r="F348" s="166"/>
      <c r="G348" s="166"/>
      <c r="H348" s="166"/>
      <c r="I348" s="44"/>
      <c r="J348" s="609"/>
      <c r="K348" s="609"/>
      <c r="L348" s="609"/>
      <c r="M348" s="609"/>
      <c r="N348" s="609"/>
      <c r="P348" s="78" t="s">
        <v>2431</v>
      </c>
      <c r="Q348" s="210"/>
    </row>
    <row r="349" spans="2:32" ht="11.25" customHeight="1">
      <c r="B349" s="78" t="s">
        <v>2432</v>
      </c>
      <c r="C349" s="61" t="s">
        <v>3655</v>
      </c>
      <c r="E349" s="61"/>
      <c r="F349" s="61"/>
      <c r="G349" s="61"/>
      <c r="H349" s="61"/>
      <c r="I349" s="61"/>
      <c r="J349" s="61"/>
      <c r="K349" s="61"/>
      <c r="L349" s="38"/>
      <c r="M349" s="38"/>
      <c r="N349" s="609"/>
      <c r="P349" s="78" t="s">
        <v>2432</v>
      </c>
      <c r="Q349" s="210"/>
    </row>
    <row r="350" spans="2:32" ht="11.25" customHeight="1">
      <c r="B350" s="78" t="s">
        <v>3118</v>
      </c>
      <c r="C350" s="61" t="s">
        <v>3513</v>
      </c>
      <c r="E350" s="61"/>
      <c r="F350" s="61"/>
      <c r="G350" s="61"/>
      <c r="H350" s="61"/>
      <c r="I350" s="61"/>
      <c r="J350" s="61"/>
      <c r="K350" s="61"/>
      <c r="L350" s="61"/>
      <c r="M350" s="61"/>
      <c r="N350" s="61"/>
      <c r="P350" s="78" t="s">
        <v>3118</v>
      </c>
      <c r="Q350" s="210"/>
    </row>
    <row r="351" spans="2:32" ht="11.25" customHeight="1">
      <c r="B351" s="78" t="s">
        <v>2009</v>
      </c>
      <c r="C351" s="61" t="s">
        <v>3514</v>
      </c>
      <c r="E351" s="61"/>
      <c r="F351" s="61"/>
      <c r="G351" s="61"/>
      <c r="H351" s="61"/>
      <c r="I351" s="61"/>
      <c r="J351" s="61"/>
      <c r="K351" s="61"/>
      <c r="L351" s="61"/>
      <c r="M351" s="61"/>
      <c r="N351" s="61"/>
      <c r="P351" s="78" t="s">
        <v>2009</v>
      </c>
      <c r="Q351" s="210"/>
    </row>
    <row r="352" spans="2:32" ht="11.25" customHeight="1">
      <c r="B352" s="654" t="s">
        <v>2010</v>
      </c>
      <c r="C352" s="172" t="s">
        <v>3656</v>
      </c>
      <c r="E352" s="172"/>
      <c r="F352" s="172"/>
      <c r="G352" s="172"/>
      <c r="H352" s="172"/>
      <c r="I352" s="172"/>
      <c r="J352" s="172"/>
      <c r="K352" s="172"/>
      <c r="L352" s="172"/>
      <c r="M352" s="172"/>
      <c r="N352" s="172"/>
      <c r="P352" s="654" t="s">
        <v>2010</v>
      </c>
      <c r="Q352" s="210"/>
    </row>
    <row r="353" spans="1:31" ht="11.25" customHeight="1">
      <c r="B353" s="654" t="s">
        <v>104</v>
      </c>
      <c r="C353" s="61" t="s">
        <v>3515</v>
      </c>
      <c r="E353" s="61"/>
      <c r="F353" s="61"/>
      <c r="G353" s="61"/>
      <c r="H353" s="61"/>
      <c r="I353" s="61"/>
      <c r="J353" s="61"/>
      <c r="K353" s="61"/>
      <c r="L353" s="61"/>
      <c r="M353" s="61"/>
      <c r="N353" s="61"/>
      <c r="P353" s="654" t="s">
        <v>104</v>
      </c>
      <c r="Q353" s="210"/>
    </row>
    <row r="354" spans="1:31" ht="11.25" customHeight="1">
      <c r="B354" s="654" t="s">
        <v>678</v>
      </c>
      <c r="C354" s="580" t="s">
        <v>3516</v>
      </c>
      <c r="E354" s="580"/>
      <c r="F354" s="580"/>
      <c r="G354" s="580"/>
      <c r="H354" s="580"/>
      <c r="I354" s="580"/>
      <c r="J354" s="580"/>
      <c r="K354" s="580"/>
      <c r="L354" s="580"/>
      <c r="M354" s="580"/>
      <c r="N354" s="609"/>
      <c r="P354" s="654" t="s">
        <v>678</v>
      </c>
      <c r="Q354" s="210"/>
    </row>
    <row r="355" spans="1:31" ht="11.25" customHeight="1">
      <c r="B355" s="173" t="s">
        <v>2569</v>
      </c>
      <c r="D355" s="173"/>
      <c r="E355" s="173"/>
      <c r="F355" s="173"/>
      <c r="G355" s="173"/>
      <c r="H355" s="813"/>
      <c r="I355" s="162"/>
      <c r="J355" s="162"/>
      <c r="K355" s="162"/>
      <c r="L355" s="804"/>
      <c r="M355" s="804"/>
      <c r="N355" s="804"/>
      <c r="O355" s="804"/>
      <c r="P355" s="804"/>
      <c r="Q355" s="59"/>
    </row>
    <row r="356" spans="1:31" ht="11.45" customHeight="1">
      <c r="A356" s="1609" t="s">
        <v>4118</v>
      </c>
      <c r="B356" s="1610"/>
      <c r="C356" s="1610"/>
      <c r="D356" s="1610"/>
      <c r="E356" s="1610"/>
      <c r="F356" s="1610"/>
      <c r="G356" s="1610"/>
      <c r="H356" s="1610"/>
      <c r="I356" s="1610"/>
      <c r="J356" s="1610"/>
      <c r="K356" s="1610"/>
      <c r="L356" s="1610"/>
      <c r="M356" s="1610"/>
      <c r="N356" s="1610"/>
      <c r="O356" s="1610"/>
      <c r="P356" s="1610"/>
      <c r="Q356" s="1611"/>
      <c r="U356" s="168"/>
      <c r="V356" s="168"/>
      <c r="W356" s="168"/>
      <c r="X356" s="168"/>
      <c r="Y356" s="168"/>
      <c r="Z356" s="168"/>
      <c r="AA356" s="168"/>
      <c r="AB356" s="168"/>
      <c r="AC356" s="168"/>
      <c r="AD356" s="168"/>
      <c r="AE356" s="656"/>
    </row>
    <row r="357" spans="1:31" ht="11.25" customHeight="1">
      <c r="B357" s="169" t="s">
        <v>2570</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3568</v>
      </c>
      <c r="C360" s="5"/>
      <c r="D360" s="5"/>
      <c r="E360" s="5"/>
      <c r="F360" s="5"/>
      <c r="G360" s="5"/>
      <c r="H360" s="808"/>
      <c r="I360" s="808"/>
      <c r="J360" s="808"/>
      <c r="O360" s="163" t="s">
        <v>2571</v>
      </c>
      <c r="P360" s="1045"/>
      <c r="Q360" s="1046"/>
    </row>
    <row r="361" spans="1:31" ht="11.45" customHeight="1">
      <c r="B361" s="54" t="s">
        <v>2693</v>
      </c>
      <c r="C361" s="143" t="s">
        <v>1438</v>
      </c>
      <c r="E361" s="1659" t="s">
        <v>1369</v>
      </c>
      <c r="F361" s="1660"/>
      <c r="G361" s="1660"/>
      <c r="H361" s="1660"/>
      <c r="I361" s="1661"/>
      <c r="J361" s="1107" t="s">
        <v>3519</v>
      </c>
      <c r="K361" s="1108"/>
      <c r="L361" s="1109"/>
      <c r="M361" s="1659"/>
      <c r="N361" s="1660"/>
      <c r="O361" s="1660"/>
      <c r="P361" s="1660"/>
      <c r="Q361" s="1661"/>
    </row>
    <row r="362" spans="1:31" ht="11.45" customHeight="1">
      <c r="B362" s="54" t="s">
        <v>2696</v>
      </c>
      <c r="C362" s="61" t="s">
        <v>2433</v>
      </c>
      <c r="D362" s="61"/>
      <c r="E362" s="61"/>
      <c r="F362" s="61"/>
      <c r="G362" s="61"/>
      <c r="H362" s="61"/>
      <c r="I362" s="61"/>
      <c r="J362" s="61"/>
      <c r="K362" s="61"/>
      <c r="L362" s="38"/>
      <c r="M362" s="38"/>
      <c r="O362" s="654" t="s">
        <v>2696</v>
      </c>
      <c r="P362" s="1605"/>
      <c r="Q362" s="210"/>
    </row>
    <row r="363" spans="1:31" ht="22.5" customHeight="1">
      <c r="B363" s="174" t="s">
        <v>1054</v>
      </c>
      <c r="C363" s="1028" t="s">
        <v>3682</v>
      </c>
      <c r="D363" s="1028"/>
      <c r="E363" s="1028"/>
      <c r="F363" s="1028"/>
      <c r="G363" s="1028"/>
      <c r="H363" s="1028"/>
      <c r="I363" s="1028"/>
      <c r="J363" s="1028"/>
      <c r="K363" s="1028"/>
      <c r="L363" s="1028"/>
      <c r="M363" s="1028"/>
      <c r="N363" s="1028"/>
      <c r="O363" s="654" t="s">
        <v>1054</v>
      </c>
      <c r="P363" s="1605"/>
      <c r="Q363" s="210"/>
    </row>
    <row r="364" spans="1:31" ht="11.45" customHeight="1">
      <c r="B364" s="54" t="s">
        <v>2829</v>
      </c>
      <c r="C364" s="61" t="s">
        <v>3554</v>
      </c>
      <c r="D364" s="61"/>
      <c r="E364" s="61"/>
      <c r="F364" s="61"/>
      <c r="G364" s="61"/>
      <c r="H364" s="61"/>
      <c r="I364" s="61"/>
      <c r="J364" s="61"/>
      <c r="K364" s="61"/>
      <c r="L364" s="61"/>
      <c r="M364" s="61"/>
      <c r="O364" s="654" t="s">
        <v>2829</v>
      </c>
      <c r="P364" s="1605"/>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605"/>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55"/>
      <c r="Q366" s="210"/>
    </row>
    <row r="367" spans="1:31" ht="11.45" customHeight="1">
      <c r="B367" s="54" t="s">
        <v>2656</v>
      </c>
      <c r="C367" s="38" t="s">
        <v>723</v>
      </c>
      <c r="D367" s="185"/>
      <c r="E367" s="185"/>
      <c r="F367" s="185"/>
      <c r="G367" s="185"/>
      <c r="H367" s="185"/>
      <c r="I367" s="185"/>
      <c r="J367" s="185"/>
      <c r="K367" s="185"/>
      <c r="L367" s="185"/>
      <c r="M367" s="185"/>
      <c r="O367" s="654" t="s">
        <v>2656</v>
      </c>
      <c r="P367" s="1605"/>
      <c r="Q367" s="210"/>
    </row>
    <row r="368" spans="1:31" ht="11.25" customHeight="1">
      <c r="B368" s="173" t="s">
        <v>2569</v>
      </c>
      <c r="D368" s="173"/>
      <c r="E368" s="173"/>
      <c r="F368" s="173"/>
      <c r="G368" s="173"/>
      <c r="H368" s="813"/>
      <c r="I368" s="162"/>
      <c r="J368" s="162"/>
      <c r="K368" s="162"/>
      <c r="L368" s="804"/>
      <c r="M368" s="804"/>
      <c r="N368" s="804"/>
      <c r="O368" s="804"/>
      <c r="P368" s="804"/>
      <c r="Q368" s="59"/>
    </row>
    <row r="369" spans="1:32" ht="11.45" customHeight="1">
      <c r="A369" s="1609"/>
      <c r="B369" s="1610"/>
      <c r="C369" s="1610"/>
      <c r="D369" s="1610"/>
      <c r="E369" s="1610"/>
      <c r="F369" s="1610"/>
      <c r="G369" s="1610"/>
      <c r="H369" s="1610"/>
      <c r="I369" s="1610"/>
      <c r="J369" s="1610"/>
      <c r="K369" s="1610"/>
      <c r="L369" s="1610"/>
      <c r="M369" s="1610"/>
      <c r="N369" s="1610"/>
      <c r="O369" s="1610"/>
      <c r="P369" s="1610"/>
      <c r="Q369" s="1611"/>
      <c r="U369" s="168"/>
      <c r="V369" s="168"/>
      <c r="W369" s="168"/>
      <c r="X369" s="168"/>
      <c r="Y369" s="168"/>
      <c r="Z369" s="168"/>
      <c r="AA369" s="168"/>
      <c r="AB369" s="168"/>
      <c r="AC369" s="168"/>
      <c r="AD369" s="168"/>
      <c r="AE369" s="656"/>
    </row>
    <row r="370" spans="1:32" ht="11.25" customHeight="1">
      <c r="B370" s="169" t="s">
        <v>2570</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3517</v>
      </c>
      <c r="C373" s="5"/>
      <c r="D373" s="104"/>
      <c r="E373" s="808"/>
      <c r="F373" s="808"/>
      <c r="G373" s="808"/>
      <c r="H373" s="808"/>
      <c r="I373" s="808"/>
      <c r="J373" s="808"/>
      <c r="K373" s="808"/>
      <c r="L373" s="808"/>
      <c r="M373" s="808"/>
      <c r="O373" s="163" t="s">
        <v>2571</v>
      </c>
      <c r="P373" s="1045"/>
      <c r="Q373" s="1046"/>
    </row>
    <row r="374" spans="1:32" s="1" customFormat="1" ht="23.45" customHeight="1">
      <c r="B374" s="174" t="s">
        <v>2693</v>
      </c>
      <c r="C374" s="1047" t="s">
        <v>162</v>
      </c>
      <c r="D374" s="1047"/>
      <c r="E374" s="1047"/>
      <c r="F374" s="1047"/>
      <c r="G374" s="1047"/>
      <c r="H374" s="1047"/>
      <c r="I374" s="1047"/>
      <c r="J374" s="1047"/>
      <c r="K374" s="1047"/>
      <c r="L374" s="1047"/>
      <c r="M374" s="199" t="s">
        <v>2693</v>
      </c>
      <c r="N374" s="1699" t="s">
        <v>2466</v>
      </c>
      <c r="O374" s="1700"/>
      <c r="P374" s="1112" t="s">
        <v>2466</v>
      </c>
      <c r="Q374" s="1113"/>
      <c r="AE374" s="6"/>
      <c r="AF374" s="6"/>
    </row>
    <row r="375" spans="1:32" s="1" customFormat="1" ht="12" customHeight="1">
      <c r="B375" s="54" t="s">
        <v>2696</v>
      </c>
      <c r="C375" s="140" t="s">
        <v>1</v>
      </c>
      <c r="D375" s="185"/>
      <c r="E375" s="185"/>
      <c r="G375" s="654" t="s">
        <v>2696</v>
      </c>
      <c r="H375" s="1662"/>
      <c r="I375" s="1663"/>
      <c r="J375" s="1663"/>
      <c r="K375" s="1663"/>
      <c r="L375" s="1663"/>
      <c r="M375" s="1663"/>
      <c r="N375" s="1663"/>
      <c r="O375" s="1663"/>
      <c r="P375" s="1664"/>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05"/>
      <c r="Q376" s="210"/>
      <c r="AE376" s="6"/>
      <c r="AF376" s="6"/>
    </row>
    <row r="377" spans="1:32" ht="11.25" customHeight="1">
      <c r="B377" s="173" t="s">
        <v>2569</v>
      </c>
      <c r="D377" s="173"/>
      <c r="E377" s="173"/>
      <c r="F377" s="173"/>
      <c r="G377" s="173"/>
      <c r="H377" s="813"/>
      <c r="I377" s="162"/>
      <c r="J377" s="162"/>
      <c r="K377" s="162"/>
      <c r="L377" s="804"/>
      <c r="M377" s="804"/>
      <c r="N377" s="804"/>
      <c r="O377" s="804"/>
      <c r="P377" s="804"/>
      <c r="Q377" s="59"/>
    </row>
    <row r="378" spans="1:32" ht="11.45" customHeight="1">
      <c r="A378" s="1609" t="s">
        <v>4119</v>
      </c>
      <c r="B378" s="1610"/>
      <c r="C378" s="1610"/>
      <c r="D378" s="1610"/>
      <c r="E378" s="1610"/>
      <c r="F378" s="1610"/>
      <c r="G378" s="1610"/>
      <c r="H378" s="1610"/>
      <c r="I378" s="1610"/>
      <c r="J378" s="1610"/>
      <c r="K378" s="1610"/>
      <c r="L378" s="1610"/>
      <c r="M378" s="1610"/>
      <c r="N378" s="1610"/>
      <c r="O378" s="1610"/>
      <c r="P378" s="1610"/>
      <c r="Q378" s="1611"/>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3503</v>
      </c>
      <c r="C383" s="5"/>
      <c r="D383" s="5"/>
      <c r="E383" s="808"/>
      <c r="G383" s="172" t="s">
        <v>890</v>
      </c>
      <c r="H383" s="808"/>
      <c r="I383" s="808"/>
      <c r="J383" s="808"/>
      <c r="K383" s="808"/>
      <c r="L383" s="808"/>
      <c r="M383" s="808"/>
      <c r="O383" s="163" t="s">
        <v>2571</v>
      </c>
      <c r="P383" s="1045"/>
      <c r="Q383" s="1075"/>
    </row>
    <row r="384" spans="1:32" ht="12" customHeight="1">
      <c r="A384" s="176"/>
      <c r="B384" s="54" t="s">
        <v>2693</v>
      </c>
      <c r="C384" s="61" t="s">
        <v>3522</v>
      </c>
      <c r="D384" s="607"/>
      <c r="E384" s="607"/>
      <c r="H384" s="172"/>
      <c r="O384" s="654" t="s">
        <v>2693</v>
      </c>
      <c r="P384" s="1605" t="s">
        <v>4070</v>
      </c>
      <c r="Q384" s="210"/>
    </row>
    <row r="385" spans="1:31" ht="12" customHeight="1">
      <c r="A385" s="176"/>
      <c r="B385" s="54" t="s">
        <v>2696</v>
      </c>
      <c r="C385" s="61" t="s">
        <v>3523</v>
      </c>
      <c r="D385" s="607"/>
      <c r="E385" s="607"/>
      <c r="O385" s="654" t="s">
        <v>2696</v>
      </c>
      <c r="P385" s="1605" t="s">
        <v>4070</v>
      </c>
      <c r="Q385" s="210"/>
    </row>
    <row r="386" spans="1:31" ht="12" customHeight="1">
      <c r="A386" s="176"/>
      <c r="B386" s="54" t="s">
        <v>1054</v>
      </c>
      <c r="C386" s="61" t="s">
        <v>3569</v>
      </c>
      <c r="D386" s="607"/>
      <c r="E386" s="607"/>
      <c r="O386" s="654" t="s">
        <v>1054</v>
      </c>
      <c r="P386" s="1605" t="s">
        <v>4070</v>
      </c>
      <c r="Q386" s="210"/>
    </row>
    <row r="387" spans="1:31" ht="12" customHeight="1">
      <c r="A387" s="176"/>
      <c r="B387" s="54" t="s">
        <v>2829</v>
      </c>
      <c r="C387" s="61" t="s">
        <v>3518</v>
      </c>
      <c r="E387" s="172"/>
      <c r="O387" s="654" t="s">
        <v>2829</v>
      </c>
      <c r="P387" s="1605" t="s">
        <v>4070</v>
      </c>
      <c r="Q387" s="210"/>
    </row>
    <row r="388" spans="1:31" ht="12" customHeight="1">
      <c r="B388" s="54" t="s">
        <v>2428</v>
      </c>
      <c r="C388" s="61" t="s">
        <v>2793</v>
      </c>
      <c r="E388" s="172"/>
      <c r="G388" s="654" t="s">
        <v>2428</v>
      </c>
      <c r="H388" s="1701" t="s">
        <v>1369</v>
      </c>
      <c r="I388" s="1702"/>
      <c r="J388" s="1702"/>
      <c r="K388" s="1702"/>
      <c r="L388" s="1702"/>
      <c r="M388" s="1702"/>
      <c r="N388" s="1702"/>
      <c r="O388" s="1703"/>
      <c r="P388" s="1605"/>
      <c r="Q388" s="210"/>
    </row>
    <row r="389" spans="1:31" ht="11.25" customHeight="1">
      <c r="B389" s="173" t="s">
        <v>2569</v>
      </c>
      <c r="D389" s="173"/>
      <c r="E389" s="173"/>
      <c r="F389" s="173"/>
      <c r="G389" s="173"/>
      <c r="H389" s="813"/>
      <c r="I389" s="162"/>
      <c r="J389" s="162"/>
      <c r="K389" s="162"/>
      <c r="L389" s="804"/>
      <c r="M389" s="804"/>
      <c r="N389" s="804"/>
      <c r="O389" s="804"/>
      <c r="P389" s="804"/>
      <c r="Q389" s="59"/>
    </row>
    <row r="390" spans="1:31" ht="11.45" customHeight="1">
      <c r="A390" s="1609"/>
      <c r="B390" s="1610"/>
      <c r="C390" s="1610"/>
      <c r="D390" s="1610"/>
      <c r="E390" s="1610"/>
      <c r="F390" s="1610"/>
      <c r="G390" s="1610"/>
      <c r="H390" s="1610"/>
      <c r="I390" s="1610"/>
      <c r="J390" s="1610"/>
      <c r="K390" s="1610"/>
      <c r="L390" s="1610"/>
      <c r="M390" s="1610"/>
      <c r="N390" s="1610"/>
      <c r="O390" s="1610"/>
      <c r="P390" s="1610"/>
      <c r="Q390" s="1611"/>
      <c r="U390" s="168"/>
      <c r="V390" s="168"/>
      <c r="W390" s="168"/>
      <c r="X390" s="168"/>
      <c r="Y390" s="168"/>
      <c r="Z390" s="168"/>
      <c r="AA390" s="168"/>
      <c r="AB390" s="168"/>
      <c r="AC390" s="168"/>
      <c r="AD390" s="168"/>
      <c r="AE390" s="656"/>
    </row>
    <row r="391" spans="1:31" ht="11.25" customHeight="1">
      <c r="B391" s="169" t="s">
        <v>2570</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3504</v>
      </c>
      <c r="C394" s="5"/>
      <c r="D394" s="5"/>
      <c r="E394" s="5"/>
      <c r="F394" s="5"/>
      <c r="G394" s="5"/>
      <c r="H394" s="808"/>
      <c r="I394" s="808"/>
      <c r="J394" s="808"/>
      <c r="K394" s="808"/>
      <c r="L394" s="808"/>
      <c r="M394" s="808"/>
      <c r="O394" s="163" t="s">
        <v>2571</v>
      </c>
      <c r="P394" s="1045"/>
      <c r="Q394" s="1075"/>
    </row>
    <row r="395" spans="1:31" ht="12" customHeight="1">
      <c r="A395" s="49"/>
      <c r="B395" s="54" t="s">
        <v>2693</v>
      </c>
      <c r="C395" s="47" t="s">
        <v>1057</v>
      </c>
      <c r="D395" s="49"/>
      <c r="E395" s="49"/>
      <c r="F395" s="49"/>
      <c r="G395" s="49"/>
      <c r="H395" s="49"/>
      <c r="I395" s="49"/>
      <c r="J395" s="49"/>
      <c r="K395" s="49"/>
      <c r="L395" s="49"/>
      <c r="M395" s="49"/>
      <c r="N395" s="49"/>
      <c r="O395" s="654" t="s">
        <v>2693</v>
      </c>
      <c r="P395" s="1605" t="s">
        <v>4070</v>
      </c>
      <c r="Q395" s="210"/>
    </row>
    <row r="396" spans="1:31" ht="12" customHeight="1">
      <c r="A396" s="49"/>
      <c r="B396" s="54" t="s">
        <v>2696</v>
      </c>
      <c r="C396" s="47" t="s">
        <v>2920</v>
      </c>
      <c r="D396" s="49"/>
      <c r="E396" s="49"/>
      <c r="F396" s="49"/>
      <c r="G396" s="49"/>
      <c r="H396" s="49"/>
      <c r="I396" s="49"/>
      <c r="J396" s="49"/>
      <c r="K396" s="49"/>
      <c r="L396" s="49"/>
      <c r="M396" s="49"/>
      <c r="N396" s="49"/>
      <c r="O396" s="654" t="s">
        <v>1891</v>
      </c>
      <c r="P396" s="1605" t="s">
        <v>4070</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2921</v>
      </c>
      <c r="D398" s="61"/>
      <c r="E398" s="61"/>
      <c r="F398" s="61"/>
      <c r="G398" s="61"/>
      <c r="H398" s="61"/>
      <c r="I398" s="61"/>
      <c r="J398" s="61"/>
      <c r="K398" s="61"/>
      <c r="L398" s="61"/>
      <c r="M398" s="61"/>
      <c r="N398" s="49"/>
      <c r="O398" s="654" t="s">
        <v>2431</v>
      </c>
      <c r="P398" s="1605" t="s">
        <v>4070</v>
      </c>
      <c r="Q398" s="210"/>
    </row>
    <row r="399" spans="1:31" ht="12" customHeight="1">
      <c r="A399" s="49"/>
      <c r="B399" s="54" t="s">
        <v>1054</v>
      </c>
      <c r="C399" s="1028" t="s">
        <v>2919</v>
      </c>
      <c r="D399" s="1028"/>
      <c r="E399" s="1028"/>
      <c r="F399" s="1028"/>
      <c r="G399" s="1028"/>
      <c r="H399" s="1028"/>
      <c r="I399" s="1028"/>
      <c r="J399" s="1028"/>
      <c r="K399" s="1028"/>
      <c r="L399" s="1028"/>
      <c r="M399" s="1028"/>
      <c r="N399" s="1028"/>
      <c r="O399" s="654" t="s">
        <v>1054</v>
      </c>
      <c r="P399" s="1605"/>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2922</v>
      </c>
      <c r="D401" s="44"/>
      <c r="E401" s="49"/>
      <c r="F401" s="38"/>
      <c r="G401" s="1550"/>
      <c r="H401" s="757" t="s">
        <v>266</v>
      </c>
      <c r="J401" s="166" t="s">
        <v>2925</v>
      </c>
      <c r="K401" s="38"/>
      <c r="N401" s="1550"/>
      <c r="O401" s="757" t="s">
        <v>266</v>
      </c>
    </row>
    <row r="402" spans="1:32" ht="12" customHeight="1">
      <c r="A402" s="49"/>
      <c r="B402" s="54"/>
      <c r="C402" s="166" t="s">
        <v>2923</v>
      </c>
      <c r="D402" s="44"/>
      <c r="E402" s="49"/>
      <c r="F402" s="38"/>
      <c r="G402" s="1556"/>
      <c r="H402" s="758"/>
      <c r="J402" s="166" t="s">
        <v>2926</v>
      </c>
      <c r="K402" s="38"/>
      <c r="N402" s="1562"/>
      <c r="O402" s="759"/>
    </row>
    <row r="403" spans="1:32" ht="12" customHeight="1">
      <c r="A403" s="49"/>
      <c r="B403" s="54"/>
      <c r="C403" s="166" t="s">
        <v>2924</v>
      </c>
      <c r="D403" s="44"/>
      <c r="E403" s="49"/>
      <c r="F403" s="38"/>
      <c r="G403" s="1562"/>
      <c r="H403" s="759" t="s">
        <v>266</v>
      </c>
      <c r="K403" s="38"/>
      <c r="L403" s="38"/>
      <c r="M403" s="38"/>
      <c r="N403" s="49"/>
      <c r="O403" s="654"/>
    </row>
    <row r="404" spans="1:32" ht="12" customHeight="1">
      <c r="A404" s="49"/>
      <c r="B404" s="54" t="s">
        <v>2428</v>
      </c>
      <c r="C404" s="38" t="s">
        <v>3140</v>
      </c>
      <c r="D404" s="38"/>
      <c r="E404" s="38"/>
      <c r="F404" s="38"/>
      <c r="G404" s="38"/>
      <c r="J404" s="49"/>
      <c r="K404" s="38"/>
      <c r="L404" s="38"/>
      <c r="M404" s="38"/>
      <c r="N404" s="49"/>
      <c r="O404" s="654"/>
      <c r="P404" s="654"/>
      <c r="Q404" s="654"/>
    </row>
    <row r="405" spans="1:32" ht="12" customHeight="1">
      <c r="A405" s="49"/>
      <c r="B405" s="54"/>
      <c r="C405" s="578" t="s">
        <v>2927</v>
      </c>
      <c r="D405" s="38"/>
      <c r="E405" s="38"/>
      <c r="F405" s="38"/>
      <c r="G405" s="1666"/>
      <c r="H405" s="324"/>
      <c r="J405" s="578" t="s">
        <v>1597</v>
      </c>
      <c r="K405" s="38"/>
      <c r="N405" s="1690"/>
      <c r="O405" s="679"/>
    </row>
    <row r="406" spans="1:32" ht="12" customHeight="1">
      <c r="A406" s="49"/>
      <c r="B406" s="54"/>
      <c r="C406" s="578" t="s">
        <v>1596</v>
      </c>
      <c r="D406" s="38"/>
      <c r="E406" s="38"/>
      <c r="F406" s="38"/>
      <c r="G406" s="1668"/>
      <c r="H406" s="325"/>
      <c r="J406" s="578" t="s">
        <v>2979</v>
      </c>
      <c r="N406" s="1704"/>
      <c r="O406" s="1705"/>
      <c r="P406" s="1705"/>
      <c r="Q406" s="1706"/>
    </row>
    <row r="407" spans="1:32" ht="12" customHeight="1">
      <c r="B407" s="173" t="s">
        <v>2569</v>
      </c>
      <c r="D407" s="173"/>
      <c r="E407" s="173"/>
      <c r="F407" s="173"/>
      <c r="G407" s="173"/>
      <c r="H407" s="813"/>
      <c r="I407" s="162"/>
      <c r="J407" s="162"/>
      <c r="K407" s="162"/>
      <c r="P407" s="804"/>
      <c r="Q407" s="59"/>
    </row>
    <row r="408" spans="1:32" ht="12" customHeight="1">
      <c r="A408" s="1609" t="s">
        <v>4145</v>
      </c>
      <c r="B408" s="1610"/>
      <c r="C408" s="1610"/>
      <c r="D408" s="1610"/>
      <c r="E408" s="1610"/>
      <c r="F408" s="1610"/>
      <c r="G408" s="1610"/>
      <c r="H408" s="1610"/>
      <c r="I408" s="1610"/>
      <c r="J408" s="1610"/>
      <c r="K408" s="1610"/>
      <c r="L408" s="1610"/>
      <c r="M408" s="1610"/>
      <c r="N408" s="1610"/>
      <c r="O408" s="1610"/>
      <c r="P408" s="1610"/>
      <c r="Q408" s="1611"/>
      <c r="U408" s="168"/>
      <c r="V408" s="168"/>
      <c r="W408" s="168"/>
      <c r="X408" s="168"/>
      <c r="Y408" s="168"/>
      <c r="Z408" s="168"/>
      <c r="AA408" s="168"/>
      <c r="AB408" s="168"/>
      <c r="AC408" s="168"/>
      <c r="AD408" s="168"/>
      <c r="AE408" s="656"/>
    </row>
    <row r="409" spans="1:32" ht="12" customHeight="1">
      <c r="B409" s="169" t="s">
        <v>2570</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3505</v>
      </c>
      <c r="C412" s="5"/>
      <c r="D412" s="104"/>
      <c r="E412" s="808"/>
      <c r="F412" s="808"/>
      <c r="G412" s="808"/>
      <c r="H412" s="808"/>
      <c r="O412" s="163" t="s">
        <v>2571</v>
      </c>
      <c r="P412" s="1045"/>
      <c r="Q412" s="1046"/>
    </row>
    <row r="413" spans="1:32" s="164" customFormat="1" ht="21.75" customHeight="1">
      <c r="B413" s="174" t="s">
        <v>2693</v>
      </c>
      <c r="C413" s="1093" t="s">
        <v>3558</v>
      </c>
      <c r="D413" s="1093"/>
      <c r="E413" s="1093"/>
      <c r="F413" s="1093"/>
      <c r="G413" s="1093"/>
      <c r="H413" s="1093"/>
      <c r="I413" s="1093"/>
      <c r="J413" s="1093"/>
      <c r="K413" s="1093"/>
      <c r="L413" s="1093"/>
      <c r="M413" s="1093"/>
      <c r="N413" s="1093"/>
      <c r="O413" s="199" t="s">
        <v>2693</v>
      </c>
      <c r="P413" s="1655" t="s">
        <v>4103</v>
      </c>
      <c r="Q413" s="323"/>
      <c r="AE413" s="657"/>
      <c r="AF413" s="657"/>
    </row>
    <row r="414" spans="1:32" s="164" customFormat="1" ht="21.75" customHeight="1">
      <c r="B414" s="174" t="s">
        <v>2696</v>
      </c>
      <c r="C414" s="1093" t="s">
        <v>3559</v>
      </c>
      <c r="D414" s="1093"/>
      <c r="E414" s="1093"/>
      <c r="F414" s="1093"/>
      <c r="G414" s="1093"/>
      <c r="H414" s="1093"/>
      <c r="I414" s="1093"/>
      <c r="J414" s="1093"/>
      <c r="K414" s="1093"/>
      <c r="L414" s="1093"/>
      <c r="M414" s="1093"/>
      <c r="N414" s="1093"/>
      <c r="O414" s="199" t="s">
        <v>2696</v>
      </c>
      <c r="P414" s="1655" t="s">
        <v>4103</v>
      </c>
      <c r="Q414" s="323"/>
      <c r="AE414" s="657"/>
      <c r="AF414" s="657"/>
    </row>
    <row r="415" spans="1:32" s="164" customFormat="1" ht="21.75" customHeight="1">
      <c r="B415" s="174" t="s">
        <v>1054</v>
      </c>
      <c r="C415" s="1093" t="s">
        <v>3560</v>
      </c>
      <c r="D415" s="1093"/>
      <c r="E415" s="1093"/>
      <c r="F415" s="1093"/>
      <c r="G415" s="1093"/>
      <c r="H415" s="1093"/>
      <c r="I415" s="1093"/>
      <c r="J415" s="1093"/>
      <c r="K415" s="1093"/>
      <c r="L415" s="1093"/>
      <c r="M415" s="1093"/>
      <c r="N415" s="1093"/>
      <c r="O415" s="199" t="s">
        <v>1054</v>
      </c>
      <c r="P415" s="1655" t="s">
        <v>4103</v>
      </c>
      <c r="Q415" s="323"/>
      <c r="AE415" s="657"/>
      <c r="AF415" s="657"/>
    </row>
    <row r="416" spans="1:32" s="164" customFormat="1" ht="33.75" customHeight="1">
      <c r="B416" s="174" t="s">
        <v>2829</v>
      </c>
      <c r="C416" s="1093" t="s">
        <v>3561</v>
      </c>
      <c r="D416" s="1093"/>
      <c r="E416" s="1093"/>
      <c r="F416" s="1093"/>
      <c r="G416" s="1093"/>
      <c r="H416" s="1093"/>
      <c r="I416" s="1093"/>
      <c r="J416" s="1093"/>
      <c r="K416" s="1093"/>
      <c r="L416" s="1093"/>
      <c r="M416" s="1093"/>
      <c r="N416" s="1093"/>
      <c r="O416" s="199" t="s">
        <v>2829</v>
      </c>
      <c r="P416" s="1655" t="s">
        <v>4103</v>
      </c>
      <c r="Q416" s="323"/>
      <c r="AE416" s="657"/>
      <c r="AF416" s="657"/>
    </row>
    <row r="417" spans="1:32" s="164" customFormat="1" ht="34.5" customHeight="1">
      <c r="B417" s="174" t="s">
        <v>2428</v>
      </c>
      <c r="C417" s="1093" t="s">
        <v>3562</v>
      </c>
      <c r="D417" s="1093"/>
      <c r="E417" s="1093"/>
      <c r="F417" s="1093"/>
      <c r="G417" s="1093"/>
      <c r="H417" s="1093"/>
      <c r="I417" s="1093"/>
      <c r="J417" s="1093"/>
      <c r="K417" s="1093"/>
      <c r="L417" s="1093"/>
      <c r="M417" s="1093"/>
      <c r="N417" s="1093"/>
      <c r="O417" s="199" t="s">
        <v>2428</v>
      </c>
      <c r="P417" s="1655" t="s">
        <v>4103</v>
      </c>
      <c r="Q417" s="323"/>
      <c r="AE417" s="657"/>
      <c r="AF417" s="657"/>
    </row>
    <row r="418" spans="1:32" s="164" customFormat="1" ht="21.75" customHeight="1">
      <c r="B418" s="174" t="s">
        <v>2429</v>
      </c>
      <c r="C418" s="1093" t="s">
        <v>3563</v>
      </c>
      <c r="D418" s="1093"/>
      <c r="E418" s="1093"/>
      <c r="F418" s="1093"/>
      <c r="G418" s="1093"/>
      <c r="H418" s="1093"/>
      <c r="I418" s="1093"/>
      <c r="J418" s="1093"/>
      <c r="K418" s="1093"/>
      <c r="L418" s="1093"/>
      <c r="M418" s="1093"/>
      <c r="N418" s="1093"/>
      <c r="O418" s="199" t="s">
        <v>2429</v>
      </c>
      <c r="P418" s="1655" t="s">
        <v>4103</v>
      </c>
      <c r="Q418" s="323"/>
      <c r="AE418" s="657"/>
      <c r="AF418" s="657"/>
    </row>
    <row r="419" spans="1:32" ht="11.25" customHeight="1">
      <c r="B419" s="173" t="s">
        <v>2569</v>
      </c>
      <c r="D419" s="173"/>
      <c r="E419" s="173"/>
      <c r="F419" s="173"/>
      <c r="G419" s="173"/>
      <c r="H419" s="813"/>
      <c r="I419" s="162"/>
      <c r="J419" s="162"/>
      <c r="K419" s="162"/>
      <c r="L419" s="804"/>
      <c r="M419" s="804"/>
      <c r="N419" s="804"/>
      <c r="O419" s="804"/>
      <c r="P419" s="804"/>
      <c r="Q419" s="59"/>
    </row>
    <row r="420" spans="1:32" ht="11.45" customHeight="1">
      <c r="A420" s="1609"/>
      <c r="B420" s="1610"/>
      <c r="C420" s="1610"/>
      <c r="D420" s="1610"/>
      <c r="E420" s="1610"/>
      <c r="F420" s="1610"/>
      <c r="G420" s="1610"/>
      <c r="H420" s="1610"/>
      <c r="I420" s="1610"/>
      <c r="J420" s="1610"/>
      <c r="K420" s="1610"/>
      <c r="L420" s="1610"/>
      <c r="M420" s="1610"/>
      <c r="N420" s="1610"/>
      <c r="O420" s="1610"/>
      <c r="P420" s="1610"/>
      <c r="Q420" s="1611"/>
      <c r="R420" s="614" t="s">
        <v>1677</v>
      </c>
      <c r="S420" s="615"/>
      <c r="U420" s="168"/>
      <c r="V420" s="168"/>
      <c r="W420" s="168"/>
      <c r="X420" s="168"/>
      <c r="Y420" s="168"/>
      <c r="Z420" s="168"/>
      <c r="AA420" s="168"/>
      <c r="AB420" s="168"/>
      <c r="AC420" s="168"/>
      <c r="AD420" s="168"/>
      <c r="AE420" s="656"/>
    </row>
    <row r="421" spans="1:32" ht="11.25" customHeight="1">
      <c r="B421" s="169" t="s">
        <v>2570</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3506</v>
      </c>
      <c r="C424" s="5"/>
      <c r="D424" s="104"/>
      <c r="E424" s="808"/>
      <c r="F424" s="808"/>
      <c r="G424" s="808"/>
      <c r="H424" s="808"/>
      <c r="I424" s="808"/>
      <c r="J424" s="808"/>
      <c r="K424" s="808"/>
      <c r="L424" s="808"/>
      <c r="M424" s="808"/>
      <c r="O424" s="163" t="s">
        <v>2571</v>
      </c>
      <c r="P424" s="1045"/>
      <c r="Q424" s="1046"/>
    </row>
    <row r="425" spans="1:32" ht="11.25" customHeight="1">
      <c r="A425" s="810"/>
      <c r="B425" s="173" t="s">
        <v>2569</v>
      </c>
      <c r="D425" s="173"/>
      <c r="E425" s="173"/>
      <c r="F425" s="173"/>
      <c r="G425" s="173"/>
      <c r="H425" s="813"/>
      <c r="I425" s="162"/>
      <c r="J425" s="162"/>
      <c r="K425" s="162"/>
      <c r="L425" s="804"/>
      <c r="M425" s="804"/>
      <c r="N425" s="804"/>
      <c r="O425" s="804"/>
      <c r="P425" s="804"/>
      <c r="Q425" s="59"/>
    </row>
    <row r="426" spans="1:32" ht="39" customHeight="1">
      <c r="A426" s="1609" t="s">
        <v>4154</v>
      </c>
      <c r="B426" s="1610"/>
      <c r="C426" s="1610"/>
      <c r="D426" s="1610"/>
      <c r="E426" s="1610"/>
      <c r="F426" s="1610"/>
      <c r="G426" s="1610"/>
      <c r="H426" s="1610"/>
      <c r="I426" s="1610"/>
      <c r="J426" s="1610"/>
      <c r="K426" s="1610"/>
      <c r="L426" s="1610"/>
      <c r="M426" s="1610"/>
      <c r="N426" s="1610"/>
      <c r="O426" s="1610"/>
      <c r="P426" s="1610"/>
      <c r="Q426" s="1611"/>
      <c r="R426" s="614" t="s">
        <v>1677</v>
      </c>
      <c r="S426" s="615"/>
      <c r="U426" s="168"/>
      <c r="V426" s="168"/>
      <c r="W426" s="168"/>
      <c r="X426" s="168"/>
      <c r="Y426" s="168"/>
      <c r="Z426" s="168"/>
      <c r="AA426" s="168"/>
      <c r="AB426" s="168"/>
      <c r="AC426" s="168"/>
      <c r="AD426" s="168"/>
      <c r="AE426" s="656"/>
    </row>
    <row r="427" spans="1:32" ht="11.25" customHeight="1">
      <c r="B427" s="169" t="s">
        <v>2570</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707"/>
      <c r="B432" s="1707"/>
      <c r="C432" s="1707"/>
      <c r="D432" s="1707"/>
      <c r="E432" s="1707"/>
      <c r="F432" s="1707"/>
      <c r="G432" s="1707"/>
      <c r="H432" s="1707"/>
      <c r="I432" s="1707"/>
      <c r="J432" s="1707"/>
      <c r="K432" s="1707"/>
      <c r="L432" s="1707"/>
      <c r="M432" s="1707"/>
      <c r="N432" s="1707"/>
      <c r="O432" s="1707"/>
      <c r="P432" s="1707"/>
      <c r="Q432" s="1707"/>
      <c r="AE432" s="658"/>
      <c r="AF432" s="658"/>
    </row>
    <row r="433" spans="1:32" s="181" customFormat="1" ht="12" customHeight="1">
      <c r="A433" s="1707"/>
      <c r="B433" s="1707"/>
      <c r="C433" s="1707"/>
      <c r="D433" s="1707"/>
      <c r="E433" s="1707"/>
      <c r="F433" s="1707"/>
      <c r="G433" s="1707"/>
      <c r="H433" s="1707"/>
      <c r="I433" s="1707"/>
      <c r="J433" s="1707"/>
      <c r="K433" s="1707"/>
      <c r="L433" s="1707"/>
      <c r="M433" s="1707"/>
      <c r="N433" s="1707"/>
      <c r="O433" s="1707"/>
      <c r="P433" s="1707"/>
      <c r="Q433" s="1707"/>
      <c r="AE433" s="658"/>
      <c r="AF433" s="658"/>
    </row>
    <row r="434" spans="1:32" s="181" customFormat="1" ht="12" customHeight="1">
      <c r="A434" s="1707"/>
      <c r="B434" s="1707"/>
      <c r="C434" s="1707"/>
      <c r="D434" s="1707"/>
      <c r="E434" s="1707"/>
      <c r="F434" s="1707"/>
      <c r="G434" s="1707"/>
      <c r="H434" s="1707"/>
      <c r="I434" s="1707"/>
      <c r="J434" s="1707"/>
      <c r="K434" s="1707"/>
      <c r="L434" s="1707"/>
      <c r="M434" s="1707"/>
      <c r="N434" s="1707"/>
      <c r="O434" s="1707"/>
      <c r="P434" s="1707"/>
      <c r="Q434" s="1707"/>
      <c r="AE434" s="658"/>
      <c r="AF434" s="658"/>
    </row>
    <row r="435" spans="1:32" s="181" customFormat="1" ht="12" customHeight="1">
      <c r="A435" s="1707"/>
      <c r="B435" s="1707"/>
      <c r="C435" s="1707"/>
      <c r="D435" s="1707"/>
      <c r="E435" s="1707"/>
      <c r="F435" s="1707"/>
      <c r="G435" s="1707"/>
      <c r="H435" s="1707"/>
      <c r="I435" s="1707"/>
      <c r="J435" s="1707"/>
      <c r="K435" s="1707"/>
      <c r="L435" s="1707"/>
      <c r="M435" s="1707"/>
      <c r="N435" s="1707"/>
      <c r="O435" s="1707"/>
      <c r="P435" s="1707"/>
      <c r="Q435" s="1707"/>
      <c r="AE435" s="658"/>
      <c r="AF435" s="658"/>
    </row>
    <row r="436" spans="1:32" s="181" customFormat="1" ht="12" customHeight="1">
      <c r="A436" s="1707"/>
      <c r="B436" s="1707"/>
      <c r="C436" s="1707"/>
      <c r="D436" s="1707"/>
      <c r="E436" s="1707"/>
      <c r="F436" s="1707"/>
      <c r="G436" s="1707"/>
      <c r="H436" s="1707"/>
      <c r="I436" s="1707"/>
      <c r="J436" s="1707"/>
      <c r="K436" s="1707"/>
      <c r="L436" s="1707"/>
      <c r="M436" s="1707"/>
      <c r="N436" s="1707"/>
      <c r="O436" s="1707"/>
      <c r="P436" s="1707"/>
      <c r="Q436" s="1707"/>
      <c r="AE436" s="658"/>
      <c r="AF436" s="658"/>
    </row>
    <row r="437" spans="1:32" s="181" customFormat="1" ht="12" customHeight="1">
      <c r="A437" s="1707"/>
      <c r="B437" s="1707"/>
      <c r="C437" s="1707"/>
      <c r="D437" s="1707"/>
      <c r="E437" s="1707"/>
      <c r="F437" s="1707"/>
      <c r="G437" s="1707"/>
      <c r="H437" s="1707"/>
      <c r="I437" s="1707"/>
      <c r="J437" s="1707"/>
      <c r="K437" s="1707"/>
      <c r="L437" s="1707"/>
      <c r="M437" s="1707"/>
      <c r="N437" s="1707"/>
      <c r="O437" s="1707"/>
      <c r="P437" s="1707"/>
      <c r="Q437" s="1707"/>
      <c r="AE437" s="658"/>
      <c r="AF437" s="658"/>
    </row>
    <row r="438" spans="1:32" s="181" customFormat="1" ht="12" customHeight="1">
      <c r="A438" s="1707"/>
      <c r="B438" s="1707"/>
      <c r="C438" s="1707"/>
      <c r="D438" s="1707"/>
      <c r="E438" s="1707"/>
      <c r="F438" s="1707"/>
      <c r="G438" s="1707"/>
      <c r="H438" s="1707"/>
      <c r="I438" s="1707"/>
      <c r="J438" s="1707"/>
      <c r="K438" s="1707"/>
      <c r="L438" s="1707"/>
      <c r="M438" s="1707"/>
      <c r="N438" s="1707"/>
      <c r="O438" s="1707"/>
      <c r="P438" s="1707"/>
      <c r="Q438" s="1707"/>
      <c r="AE438" s="658"/>
      <c r="AF438" s="658"/>
    </row>
    <row r="439" spans="1:32" s="181" customFormat="1" ht="12" customHeight="1">
      <c r="A439" s="1707"/>
      <c r="B439" s="1707"/>
      <c r="C439" s="1707"/>
      <c r="D439" s="1707"/>
      <c r="E439" s="1707"/>
      <c r="F439" s="1707"/>
      <c r="G439" s="1707"/>
      <c r="H439" s="1707"/>
      <c r="I439" s="1707"/>
      <c r="J439" s="1707"/>
      <c r="K439" s="1707"/>
      <c r="L439" s="1707"/>
      <c r="M439" s="1707"/>
      <c r="N439" s="1707"/>
      <c r="O439" s="1707"/>
      <c r="P439" s="1707"/>
      <c r="Q439" s="1707"/>
      <c r="AE439" s="658"/>
      <c r="AF439" s="658"/>
    </row>
    <row r="440" spans="1:32" s="181" customFormat="1" ht="12" customHeight="1">
      <c r="A440" s="1707"/>
      <c r="B440" s="1707"/>
      <c r="C440" s="1707"/>
      <c r="D440" s="1707"/>
      <c r="E440" s="1707"/>
      <c r="F440" s="1707"/>
      <c r="G440" s="1707"/>
      <c r="H440" s="1707"/>
      <c r="I440" s="1707"/>
      <c r="J440" s="1707"/>
      <c r="K440" s="1707"/>
      <c r="L440" s="1707"/>
      <c r="M440" s="1707"/>
      <c r="N440" s="1707"/>
      <c r="O440" s="1707"/>
      <c r="P440" s="1707"/>
      <c r="Q440" s="1707"/>
      <c r="AE440" s="658"/>
      <c r="AF440" s="658"/>
    </row>
    <row r="441" spans="1:32" s="181" customFormat="1" ht="12" customHeight="1">
      <c r="A441" s="1707"/>
      <c r="B441" s="1707"/>
      <c r="C441" s="1707"/>
      <c r="D441" s="1707"/>
      <c r="E441" s="1707"/>
      <c r="F441" s="1707"/>
      <c r="G441" s="1707"/>
      <c r="H441" s="1707"/>
      <c r="I441" s="1707"/>
      <c r="J441" s="1707"/>
      <c r="K441" s="1707"/>
      <c r="L441" s="1707"/>
      <c r="M441" s="1707"/>
      <c r="N441" s="1707"/>
      <c r="O441" s="1707"/>
      <c r="P441" s="1707"/>
      <c r="Q441" s="1707"/>
      <c r="AE441" s="658"/>
      <c r="AF441" s="658"/>
    </row>
    <row r="442" spans="1:32" s="181" customFormat="1" ht="12" customHeight="1">
      <c r="A442" s="1707"/>
      <c r="B442" s="1707"/>
      <c r="C442" s="1707"/>
      <c r="D442" s="1707"/>
      <c r="E442" s="1707"/>
      <c r="F442" s="1707"/>
      <c r="G442" s="1707"/>
      <c r="H442" s="1707"/>
      <c r="I442" s="1707"/>
      <c r="J442" s="1707"/>
      <c r="K442" s="1707"/>
      <c r="L442" s="1707"/>
      <c r="M442" s="1707"/>
      <c r="N442" s="1707"/>
      <c r="O442" s="1707"/>
      <c r="P442" s="1707"/>
      <c r="Q442" s="1707"/>
      <c r="AE442" s="658"/>
      <c r="AF442" s="658"/>
    </row>
    <row r="443" spans="1:32" s="181" customFormat="1" ht="12" customHeight="1">
      <c r="A443" s="1707"/>
      <c r="B443" s="1707"/>
      <c r="C443" s="1707"/>
      <c r="D443" s="1707"/>
      <c r="E443" s="1707"/>
      <c r="F443" s="1707"/>
      <c r="G443" s="1707"/>
      <c r="H443" s="1707"/>
      <c r="I443" s="1707"/>
      <c r="J443" s="1707"/>
      <c r="K443" s="1707"/>
      <c r="L443" s="1707"/>
      <c r="M443" s="1707"/>
      <c r="N443" s="1707"/>
      <c r="O443" s="1707"/>
      <c r="P443" s="1707"/>
      <c r="Q443" s="1707"/>
      <c r="AE443" s="658"/>
      <c r="AF443" s="658"/>
    </row>
    <row r="444" spans="1:32" s="181" customFormat="1" ht="12" customHeight="1">
      <c r="A444" s="1707"/>
      <c r="B444" s="1707"/>
      <c r="C444" s="1707"/>
      <c r="D444" s="1707"/>
      <c r="E444" s="1707"/>
      <c r="F444" s="1707"/>
      <c r="G444" s="1707"/>
      <c r="H444" s="1707"/>
      <c r="I444" s="1707"/>
      <c r="J444" s="1707"/>
      <c r="K444" s="1707"/>
      <c r="L444" s="1707"/>
      <c r="M444" s="1707"/>
      <c r="N444" s="1707"/>
      <c r="O444" s="1707"/>
      <c r="P444" s="1707"/>
      <c r="Q444" s="1707"/>
      <c r="AE444" s="658"/>
      <c r="AF444" s="658"/>
    </row>
    <row r="445" spans="1:32" s="181" customFormat="1" ht="12" customHeight="1">
      <c r="A445" s="1708"/>
      <c r="B445" s="1708"/>
      <c r="C445" s="1708"/>
      <c r="D445" s="1708"/>
      <c r="E445" s="1708"/>
      <c r="F445" s="1708"/>
      <c r="G445" s="1708"/>
      <c r="H445" s="1708"/>
      <c r="I445" s="1708"/>
      <c r="J445" s="1708"/>
      <c r="K445" s="1708"/>
      <c r="L445" s="1708"/>
      <c r="M445" s="1708"/>
      <c r="N445" s="1707"/>
      <c r="O445" s="1707"/>
      <c r="P445" s="1707"/>
      <c r="Q445" s="1707"/>
      <c r="AE445" s="658"/>
      <c r="AF445" s="658"/>
    </row>
    <row r="446" spans="1:32" s="181" customFormat="1" ht="12" customHeight="1">
      <c r="A446" s="1708"/>
      <c r="B446" s="1708"/>
      <c r="C446" s="1708"/>
      <c r="D446" s="1708"/>
      <c r="E446" s="1708"/>
      <c r="F446" s="1708"/>
      <c r="G446" s="1708"/>
      <c r="H446" s="1708"/>
      <c r="I446" s="1708"/>
      <c r="J446" s="1708"/>
      <c r="K446" s="1708"/>
      <c r="L446" s="1708"/>
      <c r="M446" s="1708"/>
      <c r="N446" s="1707"/>
      <c r="O446" s="1707"/>
      <c r="P446" s="1707"/>
      <c r="Q446" s="1707"/>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3340</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3008</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3340</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3285</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3288</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3286</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2871</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3524</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3525</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3526</v>
      </c>
      <c r="D511" s="710"/>
      <c r="E511" s="710"/>
      <c r="F511" s="710"/>
      <c r="G511" s="710"/>
      <c r="H511" s="710"/>
      <c r="I511" s="710"/>
      <c r="J511" s="710"/>
      <c r="K511" s="710" t="s">
        <v>1491</v>
      </c>
      <c r="L511" s="714"/>
      <c r="M511" s="710"/>
      <c r="AE511" s="551"/>
      <c r="AF511" s="551"/>
    </row>
    <row r="512" spans="1:32" s="64" customFormat="1" ht="11.25">
      <c r="A512" s="710"/>
      <c r="B512" s="710"/>
      <c r="C512" s="623" t="s">
        <v>3527</v>
      </c>
      <c r="D512" s="710"/>
      <c r="E512" s="710"/>
      <c r="F512" s="710"/>
      <c r="G512" s="710"/>
      <c r="H512" s="710"/>
      <c r="I512" s="710"/>
      <c r="J512" s="710"/>
      <c r="K512" s="710" t="s">
        <v>3482</v>
      </c>
      <c r="L512" s="710"/>
      <c r="M512" s="710"/>
      <c r="AE512" s="551"/>
      <c r="AF512" s="551"/>
    </row>
    <row r="513" spans="1:32" s="64" customFormat="1" ht="11.25">
      <c r="A513" s="710"/>
      <c r="B513" s="710"/>
      <c r="C513" s="714" t="s">
        <v>1625</v>
      </c>
      <c r="D513" s="710"/>
      <c r="E513" s="710"/>
      <c r="F513" s="710"/>
      <c r="G513" s="710"/>
      <c r="H513" s="710"/>
      <c r="I513" s="710"/>
      <c r="J513" s="710"/>
      <c r="K513" s="710" t="s">
        <v>3483</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2967</v>
      </c>
      <c r="L515" s="710"/>
      <c r="M515" s="710"/>
      <c r="AE515" s="551"/>
      <c r="AF515" s="551"/>
    </row>
    <row r="516" spans="1:32" s="64" customFormat="1" ht="11.25">
      <c r="A516" s="710"/>
      <c r="B516" s="710"/>
      <c r="C516" s="710" t="s">
        <v>1492</v>
      </c>
      <c r="D516" s="710"/>
      <c r="E516" s="710"/>
      <c r="F516" s="710"/>
      <c r="G516" s="710"/>
      <c r="H516" s="710"/>
      <c r="I516" s="710"/>
      <c r="J516" s="710"/>
      <c r="K516" s="710" t="s">
        <v>3056</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2832</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3681</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3121</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3340</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3285</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764</v>
      </c>
      <c r="D534" s="710"/>
      <c r="E534" s="710"/>
      <c r="F534" s="710"/>
      <c r="G534" s="710"/>
      <c r="H534" s="710"/>
      <c r="I534" s="710"/>
      <c r="J534" s="710"/>
      <c r="K534" s="710" t="s">
        <v>3287</v>
      </c>
      <c r="L534" s="710"/>
      <c r="M534" s="710"/>
      <c r="AE534" s="551"/>
      <c r="AF534" s="551"/>
    </row>
    <row r="535" spans="1:32" s="64" customFormat="1" ht="11.25">
      <c r="A535" s="710"/>
      <c r="B535" s="710"/>
      <c r="C535" s="710" t="s">
        <v>2912</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3288</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2013-005 The Villas at Stanford, Kennesaw, Cobb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2940</v>
      </c>
      <c r="N3" s="89"/>
      <c r="O3" s="100" t="s">
        <v>2939</v>
      </c>
      <c r="P3" s="222" t="s">
        <v>282</v>
      </c>
    </row>
    <row r="4" spans="1:19" s="51" customFormat="1" ht="12.6" customHeight="1">
      <c r="A4" s="49"/>
      <c r="B4" s="49"/>
      <c r="C4" s="49"/>
      <c r="D4" s="49"/>
      <c r="E4" s="49"/>
      <c r="F4" s="49"/>
      <c r="G4" s="49"/>
      <c r="H4" s="49"/>
      <c r="I4" s="49"/>
      <c r="J4" s="49"/>
      <c r="K4" s="49"/>
      <c r="M4" s="224" t="s">
        <v>97</v>
      </c>
      <c r="N4" s="102"/>
      <c r="O4" s="223" t="s">
        <v>2940</v>
      </c>
      <c r="P4" s="101" t="s">
        <v>2940</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53</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3379</v>
      </c>
      <c r="G10" s="38">
        <f>F16</f>
        <v>0</v>
      </c>
      <c r="H10" s="221" t="s">
        <v>274</v>
      </c>
      <c r="M10" s="7"/>
      <c r="N10" s="77" t="s">
        <v>2693</v>
      </c>
      <c r="O10" s="1709"/>
      <c r="P10" s="65"/>
    </row>
    <row r="11" spans="1:19" s="50" customFormat="1" ht="11.25" customHeight="1">
      <c r="A11" s="230"/>
      <c r="B11" s="131" t="s">
        <v>2827</v>
      </c>
      <c r="D11" s="55"/>
      <c r="E11" s="55"/>
      <c r="F11" s="669" t="s">
        <v>3379</v>
      </c>
      <c r="G11" s="38">
        <f>P16</f>
        <v>0</v>
      </c>
      <c r="H11" s="221" t="s">
        <v>3962</v>
      </c>
      <c r="J11" s="56"/>
      <c r="M11" s="7">
        <v>1</v>
      </c>
      <c r="N11" s="77"/>
      <c r="O11" s="1709"/>
      <c r="P11" s="65"/>
    </row>
    <row r="12" spans="1:19" s="49" customFormat="1" ht="11.25" customHeight="1">
      <c r="A12" s="230" t="s">
        <v>2696</v>
      </c>
      <c r="B12" s="213" t="s">
        <v>1031</v>
      </c>
      <c r="D12" s="55"/>
      <c r="E12" s="55"/>
      <c r="F12" s="669" t="s">
        <v>3379</v>
      </c>
      <c r="G12" s="38">
        <f>K16</f>
        <v>0</v>
      </c>
      <c r="H12" s="221" t="s">
        <v>3683</v>
      </c>
      <c r="J12" s="56"/>
      <c r="M12" s="7"/>
      <c r="N12" s="77" t="s">
        <v>2696</v>
      </c>
      <c r="O12" s="1709"/>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9"/>
      <c r="B14" s="1610"/>
      <c r="C14" s="1610"/>
      <c r="D14" s="1610"/>
      <c r="E14" s="1610"/>
      <c r="F14" s="1610"/>
      <c r="G14" s="1610"/>
      <c r="H14" s="1610"/>
      <c r="I14" s="1610"/>
      <c r="J14" s="1610"/>
      <c r="K14" s="1610"/>
      <c r="L14" s="1610"/>
      <c r="M14" s="1610"/>
      <c r="N14" s="1610"/>
      <c r="O14" s="1610"/>
      <c r="P14" s="1611"/>
      <c r="Q14" s="614" t="s">
        <v>1677</v>
      </c>
      <c r="R14" s="615"/>
    </row>
    <row r="15" spans="1:19" s="49" customFormat="1" ht="10.9" customHeight="1">
      <c r="A15" s="79" t="s">
        <v>2570</v>
      </c>
      <c r="C15" s="115"/>
      <c r="D15" s="115"/>
      <c r="F15" s="162" t="s">
        <v>2406</v>
      </c>
      <c r="K15" s="162" t="s">
        <v>2406</v>
      </c>
      <c r="P15" s="654" t="s">
        <v>2406</v>
      </c>
      <c r="R15" s="616"/>
      <c r="S15" s="195"/>
    </row>
    <row r="16" spans="1:19" s="49" customFormat="1" ht="12" customHeight="1">
      <c r="A16" s="1146" t="s">
        <v>3162</v>
      </c>
      <c r="B16" s="1146"/>
      <c r="C16" s="1146"/>
      <c r="D16" s="1146"/>
      <c r="E16" s="78" t="s">
        <v>675</v>
      </c>
      <c r="F16" s="92">
        <f>SUM(F17:F28)</f>
        <v>0</v>
      </c>
      <c r="G16" s="1147" t="s">
        <v>3163</v>
      </c>
      <c r="H16" s="1146"/>
      <c r="I16" s="1146"/>
      <c r="J16" s="78" t="s">
        <v>675</v>
      </c>
      <c r="K16" s="92">
        <f>SUM(K17:K28)</f>
        <v>0</v>
      </c>
      <c r="L16" s="812" t="s">
        <v>3961</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2699</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3423</v>
      </c>
      <c r="E31" s="571"/>
      <c r="H31" s="549" t="s">
        <v>3539</v>
      </c>
      <c r="I31" s="1710">
        <v>12</v>
      </c>
      <c r="K31" s="549" t="s">
        <v>3541</v>
      </c>
      <c r="L31" s="573">
        <f>IF(OR('Part VI-Revenues &amp; Expenses'!$M$60="", 'Part VI-Revenues &amp; Expenses'!$M$60=0),0,I31/'Part VI-Revenues &amp; Expenses'!$M$60)</f>
        <v>0.16216216216216217</v>
      </c>
      <c r="M31" s="577">
        <v>3</v>
      </c>
      <c r="N31" s="572"/>
      <c r="O31" s="1152" t="s">
        <v>3574</v>
      </c>
      <c r="P31" s="613">
        <v>0.15</v>
      </c>
    </row>
    <row r="32" spans="1:19" s="570" customFormat="1" ht="11.25" customHeight="1">
      <c r="A32" s="569" t="s">
        <v>2696</v>
      </c>
      <c r="B32" s="137" t="s">
        <v>3424</v>
      </c>
      <c r="E32" s="571"/>
      <c r="H32" s="549" t="s">
        <v>3425</v>
      </c>
      <c r="I32" s="1710">
        <v>0</v>
      </c>
      <c r="K32" s="549" t="s">
        <v>3541</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9"/>
      <c r="B34" s="1610"/>
      <c r="C34" s="1610"/>
      <c r="D34" s="1610"/>
      <c r="E34" s="1610"/>
      <c r="F34" s="1610"/>
      <c r="G34" s="1610"/>
      <c r="H34" s="1610"/>
      <c r="I34" s="1610"/>
      <c r="J34" s="1610"/>
      <c r="K34" s="1610"/>
      <c r="L34" s="1610"/>
      <c r="M34" s="1610"/>
      <c r="N34" s="1610"/>
      <c r="O34" s="1610"/>
      <c r="P34" s="1611"/>
      <c r="Q34" s="614" t="s">
        <v>1677</v>
      </c>
    </row>
    <row r="35" spans="1:18" s="50" customFormat="1" ht="11.45" customHeight="1">
      <c r="A35" s="49"/>
      <c r="B35" s="118" t="s">
        <v>2570</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3321</v>
      </c>
      <c r="B38" s="126" t="s">
        <v>2578</v>
      </c>
      <c r="D38" s="48"/>
      <c r="H38" s="1142" t="s">
        <v>775</v>
      </c>
      <c r="I38" s="1142"/>
      <c r="J38" s="1142"/>
      <c r="K38" s="1142"/>
      <c r="M38" s="2">
        <v>12</v>
      </c>
      <c r="N38" s="654"/>
      <c r="O38" s="186">
        <f>IF(OR($M40-$O41&lt;0,$O40-$O41&lt;0),0,IF($O40&lt;=$M40,$O40-$O41,IF($O40&gt;$M40,$M40-$O41,0)))</f>
        <v>11</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2693</v>
      </c>
      <c r="B40" s="213" t="s">
        <v>2579</v>
      </c>
      <c r="C40" s="5"/>
      <c r="D40" s="5"/>
      <c r="E40" s="221" t="s">
        <v>3657</v>
      </c>
      <c r="F40" s="389"/>
      <c r="G40" s="389"/>
      <c r="H40" s="1142"/>
      <c r="I40" s="1142"/>
      <c r="J40" s="1142"/>
      <c r="K40" s="1142"/>
      <c r="M40" s="88">
        <v>12</v>
      </c>
      <c r="N40" s="225" t="s">
        <v>2693</v>
      </c>
      <c r="O40" s="1711">
        <v>12</v>
      </c>
      <c r="P40" s="84"/>
      <c r="Q40" s="507" t="s">
        <v>3629</v>
      </c>
      <c r="R40" s="490"/>
    </row>
    <row r="41" spans="1:18" s="50" customFormat="1" ht="12.6" customHeight="1">
      <c r="A41" s="171" t="s">
        <v>2696</v>
      </c>
      <c r="B41" s="213" t="s">
        <v>2580</v>
      </c>
      <c r="D41" s="48"/>
      <c r="E41" s="221" t="s">
        <v>546</v>
      </c>
      <c r="F41" s="512"/>
      <c r="G41" s="512"/>
      <c r="H41" s="512"/>
      <c r="M41" s="162" t="s">
        <v>1660</v>
      </c>
      <c r="N41" s="654" t="s">
        <v>2696</v>
      </c>
      <c r="O41" s="1709">
        <v>1</v>
      </c>
      <c r="P41" s="84"/>
      <c r="Q41" s="507" t="s">
        <v>3629</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60" customHeight="1">
      <c r="A43" s="1609" t="s">
        <v>4135</v>
      </c>
      <c r="B43" s="1610"/>
      <c r="C43" s="1610"/>
      <c r="D43" s="1610"/>
      <c r="E43" s="1610"/>
      <c r="F43" s="1610"/>
      <c r="G43" s="1610"/>
      <c r="H43" s="1610"/>
      <c r="I43" s="1610"/>
      <c r="J43" s="1610"/>
      <c r="K43" s="1610"/>
      <c r="L43" s="1610"/>
      <c r="M43" s="1610"/>
      <c r="N43" s="1610"/>
      <c r="O43" s="1610"/>
      <c r="P43" s="1611"/>
      <c r="Q43" s="614" t="s">
        <v>1677</v>
      </c>
      <c r="R43" s="615"/>
    </row>
    <row r="44" spans="1:18" s="50" customFormat="1" ht="11.45" customHeight="1">
      <c r="A44" s="49"/>
      <c r="B44" s="79" t="s">
        <v>2570</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3458</v>
      </c>
      <c r="D47" s="48"/>
      <c r="H47" s="52" t="s">
        <v>3542</v>
      </c>
      <c r="I47" s="56" t="s">
        <v>2586</v>
      </c>
      <c r="J47" s="55"/>
      <c r="K47" s="55"/>
      <c r="M47" s="2">
        <v>3</v>
      </c>
      <c r="N47" s="654"/>
      <c r="O47" s="186">
        <f>MIN($M47,(O48+O49+O50))</f>
        <v>0</v>
      </c>
      <c r="P47" s="186">
        <f>MIN($M47,(P48+P49+P50))</f>
        <v>0</v>
      </c>
      <c r="Q47" s="130" t="s">
        <v>566</v>
      </c>
    </row>
    <row r="48" spans="1:18" s="50" customFormat="1" ht="12" customHeight="1">
      <c r="A48" s="171" t="s">
        <v>2693</v>
      </c>
      <c r="B48" s="213" t="s">
        <v>3434</v>
      </c>
      <c r="C48" s="5"/>
      <c r="D48" s="5"/>
      <c r="E48" s="44"/>
      <c r="F48" s="5"/>
      <c r="G48" s="47"/>
      <c r="I48" s="47"/>
      <c r="K48" s="55"/>
      <c r="L48" s="490" t="str">
        <f>IF(OR($O48=$M48,$O48=0,$O48=""),"","* * Check Score! * *")</f>
        <v/>
      </c>
      <c r="M48" s="88">
        <v>3</v>
      </c>
      <c r="N48" s="225" t="s">
        <v>2693</v>
      </c>
      <c r="O48" s="1711">
        <v>0</v>
      </c>
      <c r="P48" s="84"/>
      <c r="R48" s="490"/>
    </row>
    <row r="49" spans="1:18" s="50" customFormat="1" ht="12.6" customHeight="1">
      <c r="A49" s="171" t="s">
        <v>2696</v>
      </c>
      <c r="B49" s="213" t="s">
        <v>3435</v>
      </c>
      <c r="E49" s="48"/>
      <c r="K49" s="55"/>
      <c r="L49" s="490" t="str">
        <f>IF(OR($O49=$M49,$O49=0,$O49=""),"","* * Check Score! * *")</f>
        <v/>
      </c>
      <c r="M49" s="88">
        <v>2</v>
      </c>
      <c r="N49" s="654" t="s">
        <v>2696</v>
      </c>
      <c r="O49" s="1711">
        <v>0</v>
      </c>
      <c r="P49" s="84"/>
      <c r="R49" s="490"/>
    </row>
    <row r="50" spans="1:18" s="50" customFormat="1" ht="12.6" customHeight="1">
      <c r="A50" s="171" t="s">
        <v>1054</v>
      </c>
      <c r="B50" s="213" t="s">
        <v>3460</v>
      </c>
      <c r="E50" s="48"/>
      <c r="K50" s="55"/>
      <c r="L50" s="490" t="str">
        <f>IF(OR($O50=$M50,$O50=0,$O50=""),"","* * Check Score! * *")</f>
        <v/>
      </c>
      <c r="M50" s="88">
        <v>1</v>
      </c>
      <c r="N50" s="225" t="s">
        <v>1054</v>
      </c>
      <c r="O50" s="1711">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9"/>
      <c r="B52" s="1610"/>
      <c r="C52" s="1610"/>
      <c r="D52" s="1610"/>
      <c r="E52" s="1610"/>
      <c r="F52" s="1610"/>
      <c r="G52" s="1610"/>
      <c r="H52" s="1610"/>
      <c r="I52" s="1610"/>
      <c r="J52" s="1610"/>
      <c r="K52" s="1610"/>
      <c r="L52" s="1610"/>
      <c r="M52" s="1610"/>
      <c r="N52" s="1610"/>
      <c r="O52" s="1610"/>
      <c r="P52" s="1611"/>
      <c r="Q52" s="614" t="s">
        <v>1677</v>
      </c>
    </row>
    <row r="53" spans="1:18" s="123" customFormat="1" ht="11.45" customHeight="1">
      <c r="A53" s="49"/>
      <c r="B53" s="118" t="s">
        <v>2570</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3459</v>
      </c>
      <c r="D56" s="48"/>
      <c r="E56" s="44" t="s">
        <v>1820</v>
      </c>
      <c r="I56" s="56" t="s">
        <v>2586</v>
      </c>
      <c r="M56" s="2">
        <v>2</v>
      </c>
      <c r="N56" s="517" t="str">
        <f>IF(OR($O56=$M56,$O56=0,$O56=""),"","***")</f>
        <v/>
      </c>
      <c r="O56" s="1711">
        <v>2</v>
      </c>
      <c r="P56" s="84"/>
      <c r="Q56" s="130" t="s">
        <v>566</v>
      </c>
    </row>
    <row r="57" spans="1:18" s="50" customFormat="1" ht="12.6" customHeight="1">
      <c r="A57" s="189"/>
      <c r="B57" s="513" t="s">
        <v>3426</v>
      </c>
      <c r="D57" s="48"/>
      <c r="E57" s="44"/>
      <c r="I57" s="1712" t="s">
        <v>4136</v>
      </c>
      <c r="J57" s="1713"/>
      <c r="K57" s="1713"/>
      <c r="L57" s="1714"/>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9" t="s">
        <v>4137</v>
      </c>
      <c r="B59" s="1610"/>
      <c r="C59" s="1610"/>
      <c r="D59" s="1610"/>
      <c r="E59" s="1610"/>
      <c r="F59" s="1610"/>
      <c r="G59" s="1610"/>
      <c r="H59" s="1610"/>
      <c r="I59" s="1610"/>
      <c r="J59" s="1610"/>
      <c r="K59" s="1610"/>
      <c r="L59" s="1610"/>
      <c r="M59" s="1610"/>
      <c r="N59" s="1610"/>
      <c r="O59" s="1610"/>
      <c r="P59" s="1611"/>
      <c r="Q59" s="614" t="s">
        <v>1677</v>
      </c>
    </row>
    <row r="60" spans="1:18" s="123" customFormat="1" ht="11.45" customHeight="1">
      <c r="A60" s="49"/>
      <c r="B60" s="118" t="s">
        <v>2570</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2588</v>
      </c>
      <c r="B63" s="127" t="s">
        <v>235</v>
      </c>
      <c r="D63" s="47"/>
      <c r="E63" s="44"/>
      <c r="I63" s="611" t="s">
        <v>3528</v>
      </c>
      <c r="J63" s="1291" t="s">
        <v>4138</v>
      </c>
      <c r="K63" s="1715"/>
      <c r="L63" s="1292"/>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2693</v>
      </c>
      <c r="B64" s="229" t="s">
        <v>3057</v>
      </c>
      <c r="D64" s="40"/>
      <c r="H64" s="72"/>
      <c r="I64" s="40"/>
      <c r="J64" s="40"/>
      <c r="M64" s="139">
        <v>3</v>
      </c>
      <c r="N64" s="31"/>
      <c r="O64" s="144" t="s">
        <v>3295</v>
      </c>
      <c r="P64" s="144" t="s">
        <v>3295</v>
      </c>
    </row>
    <row r="65" spans="1:17" s="50" customFormat="1" ht="12.6" customHeight="1">
      <c r="B65" s="575" t="s">
        <v>3583</v>
      </c>
      <c r="D65" s="48"/>
      <c r="M65" s="2"/>
      <c r="N65" s="225" t="s">
        <v>2693</v>
      </c>
      <c r="O65" s="1605" t="s">
        <v>4061</v>
      </c>
      <c r="P65" s="210"/>
      <c r="Q65" s="130"/>
    </row>
    <row r="66" spans="1:17" ht="11.45" customHeight="1">
      <c r="A66" s="482" t="str">
        <f>IF($I$86="Stable Communities &lt; 10%", "X","")</f>
        <v>X</v>
      </c>
      <c r="B66" s="483" t="s">
        <v>2697</v>
      </c>
      <c r="C66" s="499" t="s">
        <v>3427</v>
      </c>
      <c r="E66" s="142"/>
      <c r="N66" s="31"/>
      <c r="O66" s="31"/>
      <c r="P66" s="31"/>
    </row>
    <row r="67" spans="1:17" ht="23.25" customHeight="1">
      <c r="B67" s="506" t="s">
        <v>3200</v>
      </c>
      <c r="C67" s="1136" t="s">
        <v>3429</v>
      </c>
      <c r="D67" s="1136"/>
      <c r="E67" s="1136"/>
      <c r="F67" s="1136"/>
      <c r="G67" s="1136"/>
      <c r="H67" s="1136"/>
      <c r="I67" s="1136"/>
      <c r="J67" s="1136"/>
      <c r="K67" s="1136"/>
      <c r="L67" s="1136"/>
      <c r="M67" s="503" t="str">
        <f>IF(AND($I$86="Stable Communities &lt; 10%",O67=""), "X","")</f>
        <v/>
      </c>
      <c r="N67" s="505" t="s">
        <v>3430</v>
      </c>
      <c r="O67" s="1666" t="s">
        <v>4061</v>
      </c>
      <c r="P67" s="324"/>
    </row>
    <row r="68" spans="1:17" ht="12" customHeight="1">
      <c r="B68" s="506" t="s">
        <v>3201</v>
      </c>
      <c r="C68" s="172" t="s">
        <v>3684</v>
      </c>
      <c r="D68" s="172"/>
      <c r="E68" s="172"/>
      <c r="F68" s="172"/>
      <c r="G68" s="172"/>
      <c r="I68" s="172"/>
      <c r="L68" s="172"/>
      <c r="M68" s="503" t="str">
        <f>IF(AND($I$86="Stable Communities &lt; 10%",O68=""), "X","")</f>
        <v/>
      </c>
      <c r="N68" s="505" t="s">
        <v>3431</v>
      </c>
      <c r="O68" s="1667" t="s">
        <v>4070</v>
      </c>
      <c r="P68" s="473"/>
    </row>
    <row r="69" spans="1:17" ht="12" customHeight="1">
      <c r="B69" s="680" t="s">
        <v>3202</v>
      </c>
      <c r="C69" s="172" t="s">
        <v>3611</v>
      </c>
      <c r="D69" s="172"/>
      <c r="E69" s="172"/>
      <c r="F69" s="172"/>
      <c r="G69" s="172"/>
      <c r="I69" s="172"/>
      <c r="L69" s="172"/>
      <c r="M69" s="503" t="str">
        <f>IF(AND($I$86="Stable Communities &lt; 10%",O69=""), "X","")</f>
        <v/>
      </c>
      <c r="N69" s="505" t="s">
        <v>3685</v>
      </c>
      <c r="O69" s="1668" t="s">
        <v>4070</v>
      </c>
      <c r="P69" s="325"/>
    </row>
    <row r="70" spans="1:17" ht="12" customHeight="1">
      <c r="B70" s="506"/>
      <c r="C70" s="1605"/>
      <c r="D70" s="172" t="s">
        <v>3615</v>
      </c>
      <c r="E70" s="172"/>
      <c r="F70" s="172"/>
      <c r="G70" s="1605"/>
      <c r="H70" s="172" t="s">
        <v>3612</v>
      </c>
      <c r="I70" s="172"/>
      <c r="J70" s="1605"/>
      <c r="K70" s="172" t="s">
        <v>3613</v>
      </c>
      <c r="M70" s="503"/>
      <c r="N70" s="503"/>
      <c r="O70" s="503"/>
      <c r="P70" s="503"/>
    </row>
    <row r="71" spans="1:17" ht="11.45" customHeight="1">
      <c r="A71" s="482" t="str">
        <f>IF($I$86="Stable Communities &lt; 20%", "X","")</f>
        <v/>
      </c>
      <c r="B71" s="483" t="s">
        <v>2699</v>
      </c>
      <c r="C71" s="499" t="s">
        <v>3428</v>
      </c>
      <c r="E71" s="142"/>
      <c r="M71" s="504"/>
      <c r="N71" s="31"/>
      <c r="O71" s="144" t="s">
        <v>3295</v>
      </c>
      <c r="P71" s="144" t="s">
        <v>3295</v>
      </c>
    </row>
    <row r="72" spans="1:17" ht="23.25" customHeight="1">
      <c r="B72" s="506" t="s">
        <v>3200</v>
      </c>
      <c r="C72" s="1136" t="s">
        <v>3686</v>
      </c>
      <c r="D72" s="1136"/>
      <c r="E72" s="1136"/>
      <c r="F72" s="1136"/>
      <c r="G72" s="1136"/>
      <c r="H72" s="1136"/>
      <c r="I72" s="1136"/>
      <c r="J72" s="1136"/>
      <c r="K72" s="1136"/>
      <c r="L72" s="1136"/>
      <c r="M72" s="503" t="str">
        <f>IF(AND($I$86="Stable Communities &lt; 10%",O72=""), "X","")</f>
        <v/>
      </c>
      <c r="N72" s="680" t="s">
        <v>3432</v>
      </c>
      <c r="O72" s="1716" t="s">
        <v>4070</v>
      </c>
      <c r="P72" s="326"/>
    </row>
    <row r="73" spans="1:17" ht="12.75" customHeight="1">
      <c r="B73" s="506" t="s">
        <v>3201</v>
      </c>
      <c r="C73" s="172" t="s">
        <v>3611</v>
      </c>
      <c r="D73" s="172"/>
      <c r="E73" s="172"/>
      <c r="F73" s="172"/>
      <c r="G73" s="172"/>
      <c r="H73" s="1605"/>
      <c r="I73" s="172" t="s">
        <v>3614</v>
      </c>
      <c r="J73" s="172"/>
      <c r="K73" s="172"/>
      <c r="L73" s="172"/>
      <c r="M73" s="503" t="str">
        <f>IF(AND($I$86="Stable Communities &lt; 10%",O73=""), "X","")</f>
        <v/>
      </c>
      <c r="N73" s="574" t="s">
        <v>3433</v>
      </c>
      <c r="O73" s="1668" t="s">
        <v>4070</v>
      </c>
      <c r="P73" s="325"/>
    </row>
    <row r="74" spans="1:17" ht="12" customHeight="1">
      <c r="B74" s="506"/>
      <c r="E74" s="172"/>
      <c r="F74" s="172"/>
      <c r="H74" s="1605"/>
      <c r="I74" s="172" t="s">
        <v>3615</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3295</v>
      </c>
      <c r="P76" s="144" t="s">
        <v>3295</v>
      </c>
    </row>
    <row r="77" spans="1:17" s="50" customFormat="1" ht="11.25" customHeight="1">
      <c r="A77" s="189"/>
      <c r="B77" s="681" t="s">
        <v>2697</v>
      </c>
      <c r="C77" s="676" t="s">
        <v>3690</v>
      </c>
      <c r="D77" s="48"/>
      <c r="M77" s="2"/>
      <c r="N77" s="681" t="s">
        <v>2697</v>
      </c>
      <c r="O77" s="1605" t="s">
        <v>4061</v>
      </c>
      <c r="P77" s="210"/>
      <c r="Q77" s="130"/>
    </row>
    <row r="78" spans="1:17" s="50" customFormat="1" ht="11.25" customHeight="1">
      <c r="A78" s="189"/>
      <c r="B78" s="681" t="s">
        <v>2699</v>
      </c>
      <c r="C78" s="676" t="s">
        <v>3687</v>
      </c>
      <c r="D78" s="48"/>
      <c r="M78" s="2"/>
      <c r="N78" s="681" t="s">
        <v>2699</v>
      </c>
      <c r="O78" s="1605" t="s">
        <v>4061</v>
      </c>
      <c r="P78" s="210"/>
      <c r="Q78" s="130"/>
    </row>
    <row r="79" spans="1:17" s="50" customFormat="1" ht="11.25" customHeight="1">
      <c r="A79" s="189"/>
      <c r="B79" s="681" t="s">
        <v>3321</v>
      </c>
      <c r="C79" s="676" t="s">
        <v>3688</v>
      </c>
      <c r="D79" s="48"/>
      <c r="M79" s="2"/>
      <c r="N79" s="681" t="s">
        <v>3321</v>
      </c>
      <c r="O79" s="1605" t="s">
        <v>4061</v>
      </c>
      <c r="P79" s="210"/>
      <c r="Q79" s="130"/>
    </row>
    <row r="80" spans="1:17" s="50" customFormat="1" ht="11.25" customHeight="1">
      <c r="A80" s="189"/>
      <c r="B80" s="681" t="s">
        <v>1645</v>
      </c>
      <c r="C80" s="676" t="s">
        <v>3689</v>
      </c>
      <c r="D80" s="48"/>
      <c r="M80" s="2"/>
      <c r="N80" s="681" t="s">
        <v>1645</v>
      </c>
      <c r="O80" s="1605" t="s">
        <v>4061</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17"/>
      <c r="B82" s="1718"/>
      <c r="C82" s="1718"/>
      <c r="D82" s="1718"/>
      <c r="E82" s="1718"/>
      <c r="F82" s="1718"/>
      <c r="G82" s="1718"/>
      <c r="H82" s="1718"/>
      <c r="I82" s="1718"/>
      <c r="J82" s="1718"/>
      <c r="K82" s="1718"/>
      <c r="L82" s="1718"/>
      <c r="M82" s="1718"/>
      <c r="N82" s="1718"/>
      <c r="O82" s="1718"/>
      <c r="P82" s="1719"/>
      <c r="Q82" s="614" t="s">
        <v>1677</v>
      </c>
    </row>
    <row r="83" spans="1:18" s="50" customFormat="1" ht="11.25" customHeight="1">
      <c r="B83" s="118" t="s">
        <v>2570</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3164</v>
      </c>
      <c r="C86" s="112"/>
      <c r="D86" s="70"/>
      <c r="E86" s="70"/>
      <c r="I86" s="1286" t="s">
        <v>3722</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3</v>
      </c>
      <c r="P86" s="84"/>
      <c r="Q86" s="130" t="s">
        <v>566</v>
      </c>
      <c r="R86" s="50"/>
    </row>
    <row r="87" spans="1:18" ht="12" customHeight="1">
      <c r="A87" s="1148" t="s">
        <v>3620</v>
      </c>
      <c r="B87" s="1148"/>
      <c r="C87" s="1148"/>
      <c r="D87" s="1148"/>
      <c r="E87" s="1148"/>
      <c r="F87" s="1148"/>
      <c r="G87" s="1148"/>
      <c r="H87" s="1148"/>
      <c r="I87" s="1148"/>
      <c r="J87" s="1148"/>
      <c r="K87" s="1148"/>
      <c r="L87" s="1148"/>
      <c r="M87" s="1148"/>
      <c r="N87" s="1148"/>
      <c r="O87" s="1148"/>
      <c r="P87" s="1148"/>
    </row>
    <row r="88" spans="1:18" ht="11.45" customHeight="1">
      <c r="A88" s="171" t="s">
        <v>2693</v>
      </c>
      <c r="B88" s="229" t="s">
        <v>3294</v>
      </c>
      <c r="D88" s="40"/>
      <c r="M88" s="139"/>
      <c r="N88" s="31"/>
      <c r="O88" s="144" t="s">
        <v>3295</v>
      </c>
      <c r="P88" s="144" t="s">
        <v>3295</v>
      </c>
    </row>
    <row r="89" spans="1:18" ht="11.45" customHeight="1">
      <c r="A89" s="482" t="str">
        <f>IF($I$86="Stable Communities &lt; 5%", "*","")</f>
        <v/>
      </c>
      <c r="B89" s="483" t="s">
        <v>2697</v>
      </c>
      <c r="C89" s="601" t="s">
        <v>3570</v>
      </c>
      <c r="E89" s="142"/>
      <c r="M89" s="97">
        <v>4</v>
      </c>
      <c r="N89" s="31"/>
      <c r="O89" s="1690" t="s">
        <v>4061</v>
      </c>
      <c r="P89" s="679"/>
    </row>
    <row r="90" spans="1:18" ht="11.45" customHeight="1">
      <c r="B90" s="483" t="s">
        <v>2699</v>
      </c>
      <c r="C90" s="601" t="s">
        <v>3752</v>
      </c>
      <c r="D90" s="1720">
        <v>0.1</v>
      </c>
      <c r="E90" s="601" t="s">
        <v>3753</v>
      </c>
      <c r="H90" s="121" t="s">
        <v>3147</v>
      </c>
      <c r="K90" s="166" t="s">
        <v>3751</v>
      </c>
      <c r="L90" s="1721">
        <v>9.4700000000000006E-2</v>
      </c>
      <c r="M90" s="576"/>
      <c r="N90" s="574"/>
    </row>
    <row r="91" spans="1:18" ht="11.45" customHeight="1">
      <c r="B91" s="483" t="s">
        <v>3321</v>
      </c>
      <c r="C91" s="551" t="s">
        <v>3148</v>
      </c>
      <c r="E91" s="142"/>
      <c r="H91" s="121" t="s">
        <v>3149</v>
      </c>
      <c r="K91" s="670" t="s">
        <v>3721</v>
      </c>
      <c r="L91" s="1722" t="s">
        <v>1769</v>
      </c>
      <c r="M91" s="576"/>
    </row>
    <row r="92" spans="1:18" ht="3" customHeight="1">
      <c r="B92" s="142"/>
      <c r="C92" s="142"/>
      <c r="D92" s="142"/>
      <c r="E92" s="142"/>
      <c r="R92" s="50"/>
    </row>
    <row r="93" spans="1:18" ht="11.45" customHeight="1">
      <c r="A93" s="171" t="s">
        <v>2696</v>
      </c>
      <c r="B93" s="229" t="s">
        <v>290</v>
      </c>
      <c r="D93" s="40"/>
      <c r="E93" s="40"/>
      <c r="F93" s="40"/>
      <c r="H93" s="1116" t="s">
        <v>3766</v>
      </c>
      <c r="I93" s="1116"/>
      <c r="J93" s="1117"/>
      <c r="K93" s="1723"/>
      <c r="L93" s="1724"/>
      <c r="M93" s="1724"/>
      <c r="N93" s="1724"/>
      <c r="O93" s="1724"/>
      <c r="P93" s="1725"/>
    </row>
    <row r="94" spans="1:18" ht="3" customHeight="1">
      <c r="B94" s="142"/>
      <c r="C94" s="142"/>
      <c r="D94" s="142"/>
      <c r="E94" s="142"/>
      <c r="R94" s="50"/>
    </row>
    <row r="95" spans="1:18" s="50" customFormat="1" ht="11.45" customHeight="1">
      <c r="A95" s="576" t="str">
        <f>IF($I$86="Statutory Redevelopment Plan", "*","")</f>
        <v/>
      </c>
      <c r="B95" s="483" t="s">
        <v>2697</v>
      </c>
      <c r="C95" s="136" t="s">
        <v>461</v>
      </c>
      <c r="D95" s="123"/>
      <c r="E95" s="813"/>
      <c r="M95" s="577">
        <v>2</v>
      </c>
      <c r="O95" s="144" t="s">
        <v>3295</v>
      </c>
      <c r="P95" s="144" t="s">
        <v>3295</v>
      </c>
    </row>
    <row r="96" spans="1:18" s="50" customFormat="1" ht="11.45" customHeight="1">
      <c r="A96" s="482"/>
      <c r="B96" s="484" t="s">
        <v>3200</v>
      </c>
      <c r="C96" s="64" t="s">
        <v>3625</v>
      </c>
      <c r="D96" s="123"/>
      <c r="E96" s="813"/>
      <c r="G96" s="507"/>
      <c r="I96" s="1726"/>
      <c r="J96" s="1727"/>
      <c r="K96" s="1727"/>
      <c r="L96" s="1728"/>
      <c r="M96" s="482" t="str">
        <f>IF(AND($I$86="Statutory Redevelopment Plan",OR(O96="",I96=0)), "X","")</f>
        <v/>
      </c>
      <c r="N96" s="574" t="s">
        <v>3430</v>
      </c>
      <c r="O96" s="1666" t="s">
        <v>4070</v>
      </c>
      <c r="P96" s="324"/>
    </row>
    <row r="97" spans="1:18" s="50" customFormat="1" ht="11.45" customHeight="1">
      <c r="A97" s="482"/>
      <c r="B97" s="484" t="s">
        <v>3201</v>
      </c>
      <c r="C97" s="64" t="s">
        <v>3621</v>
      </c>
      <c r="D97" s="123"/>
      <c r="E97" s="813"/>
      <c r="G97" s="507"/>
      <c r="I97" s="1729" t="s">
        <v>3622</v>
      </c>
      <c r="J97" s="1730"/>
      <c r="M97" s="482" t="str">
        <f>IF(AND($I$86="Statutory Redevelopment Plan",OR(O97="",I97="&lt;&lt;Select statute&gt;&gt;")), "X","")</f>
        <v/>
      </c>
      <c r="N97" s="484" t="s">
        <v>3201</v>
      </c>
      <c r="O97" s="1667"/>
      <c r="P97" s="473"/>
    </row>
    <row r="98" spans="1:18" s="50" customFormat="1" ht="11.45" customHeight="1">
      <c r="A98" s="482"/>
      <c r="B98" s="505" t="s">
        <v>3202</v>
      </c>
      <c r="C98" s="670" t="s">
        <v>3624</v>
      </c>
      <c r="D98" s="123"/>
      <c r="E98" s="813"/>
      <c r="G98" s="507"/>
      <c r="I98" s="1731"/>
      <c r="J98" s="1732"/>
      <c r="M98" s="482" t="str">
        <f>IF(AND($I$86="Statutory Redevelopment Plan",OR(O98="",I98="")), "X","")</f>
        <v/>
      </c>
      <c r="N98" s="505" t="s">
        <v>3202</v>
      </c>
      <c r="O98" s="1668"/>
      <c r="P98" s="325"/>
    </row>
    <row r="99" spans="1:18" s="50" customFormat="1" ht="11.45" customHeight="1">
      <c r="A99" s="482"/>
      <c r="B99" s="505" t="s">
        <v>3203</v>
      </c>
      <c r="C99" s="64" t="s">
        <v>3623</v>
      </c>
      <c r="E99" s="813"/>
      <c r="G99" s="507"/>
      <c r="J99" s="64" t="s">
        <v>3626</v>
      </c>
      <c r="K99" s="1733"/>
      <c r="L99" s="1734"/>
      <c r="M99" s="482" t="str">
        <f>IF(AND($I$86="Statutory Redevelopment Plan",OR(O99="",K99="")), "X","")</f>
        <v/>
      </c>
      <c r="N99" s="505" t="s">
        <v>3203</v>
      </c>
      <c r="O99" s="1666"/>
      <c r="P99" s="324"/>
    </row>
    <row r="100" spans="1:18" s="50" customFormat="1" ht="11.45" customHeight="1">
      <c r="A100" s="482"/>
      <c r="B100" s="505" t="s">
        <v>3204</v>
      </c>
      <c r="C100" s="64" t="s">
        <v>3627</v>
      </c>
      <c r="D100" s="123"/>
      <c r="E100" s="813"/>
      <c r="G100" s="507"/>
      <c r="J100" s="64" t="s">
        <v>3626</v>
      </c>
      <c r="K100" s="1733"/>
      <c r="L100" s="1734"/>
      <c r="M100" s="482" t="str">
        <f>IF(AND($I$86="Statutory Redevelopment Plan",OR(O100="",K100="")), "X","")</f>
        <v/>
      </c>
      <c r="N100" s="505" t="s">
        <v>3204</v>
      </c>
      <c r="O100" s="1668"/>
      <c r="P100" s="325"/>
    </row>
    <row r="101" spans="1:18" ht="3" customHeight="1">
      <c r="B101" s="142"/>
      <c r="C101" s="142"/>
      <c r="D101" s="142"/>
      <c r="E101" s="142"/>
      <c r="R101" s="50"/>
    </row>
    <row r="102" spans="1:18" s="50" customFormat="1" ht="11.45" customHeight="1">
      <c r="A102" s="482" t="str">
        <f>IF($I$86="Redevelopment Zone", "*","")</f>
        <v/>
      </c>
      <c r="B102" s="483" t="s">
        <v>2699</v>
      </c>
      <c r="C102" s="136" t="s">
        <v>462</v>
      </c>
      <c r="D102" s="123"/>
      <c r="E102" s="813" t="s">
        <v>1433</v>
      </c>
      <c r="H102" s="1735" t="s">
        <v>2466</v>
      </c>
      <c r="I102" s="1736"/>
      <c r="J102" s="585" t="s">
        <v>3691</v>
      </c>
      <c r="K102" s="1729"/>
      <c r="L102" s="1730"/>
      <c r="M102" s="577">
        <v>2</v>
      </c>
      <c r="N102" s="682" t="s">
        <v>2699</v>
      </c>
      <c r="O102" s="1737"/>
      <c r="P102" s="671"/>
      <c r="Q102" s="507" t="s">
        <v>3629</v>
      </c>
    </row>
    <row r="103" spans="1:18" s="50" customFormat="1" ht="11.45" customHeight="1">
      <c r="A103" s="482" t="str">
        <f>IF($I$87="Redevelopment Zone", "*","")</f>
        <v/>
      </c>
      <c r="B103" s="483"/>
      <c r="C103" s="136"/>
      <c r="D103" s="123"/>
      <c r="E103" s="813" t="s">
        <v>3764</v>
      </c>
      <c r="I103" s="1723"/>
      <c r="J103" s="1724"/>
      <c r="K103" s="1724"/>
      <c r="L103" s="1725"/>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3321</v>
      </c>
      <c r="C105" s="136" t="s">
        <v>770</v>
      </c>
      <c r="D105" s="123"/>
      <c r="E105" s="813"/>
      <c r="F105" s="502"/>
      <c r="H105" s="813" t="s">
        <v>552</v>
      </c>
      <c r="I105" s="1723"/>
      <c r="J105" s="1724"/>
      <c r="K105" s="1724"/>
      <c r="L105" s="1725"/>
      <c r="M105" s="577">
        <v>1</v>
      </c>
      <c r="N105" s="577"/>
      <c r="O105" s="1738"/>
      <c r="P105" s="547"/>
      <c r="Q105" s="507" t="s">
        <v>3629</v>
      </c>
    </row>
    <row r="106" spans="1:18" ht="11.45" customHeight="1">
      <c r="B106" s="484" t="s">
        <v>3200</v>
      </c>
      <c r="C106" s="813" t="s">
        <v>3634</v>
      </c>
      <c r="D106" s="121"/>
      <c r="J106" s="144" t="s">
        <v>772</v>
      </c>
      <c r="K106" s="1731"/>
      <c r="L106" s="1732"/>
      <c r="M106" s="482" t="str">
        <f>IF(AND($I$86="Local Redevelopment Plan",OR(O106="",K106="")), "X","")</f>
        <v/>
      </c>
      <c r="N106" s="505" t="s">
        <v>3124</v>
      </c>
      <c r="O106" s="1666" t="s">
        <v>4070</v>
      </c>
      <c r="P106" s="324"/>
    </row>
    <row r="107" spans="1:18" ht="10.9" customHeight="1">
      <c r="B107" s="484" t="s">
        <v>3201</v>
      </c>
      <c r="C107" s="485" t="s">
        <v>3222</v>
      </c>
      <c r="D107" s="121"/>
      <c r="K107" s="162" t="s">
        <v>3626</v>
      </c>
      <c r="L107" s="1739"/>
      <c r="M107" s="482" t="str">
        <f t="shared" ref="M107:M112" si="0">IF(AND($I$86="Local Redevelopment Plan",OR(O107="",L107="")), "X","")</f>
        <v/>
      </c>
      <c r="N107" s="484" t="s">
        <v>3201</v>
      </c>
      <c r="O107" s="1740"/>
      <c r="P107" s="518"/>
    </row>
    <row r="108" spans="1:18" ht="10.9" customHeight="1">
      <c r="B108" s="484" t="s">
        <v>3202</v>
      </c>
      <c r="C108" s="485" t="s">
        <v>3223</v>
      </c>
      <c r="K108" s="162" t="s">
        <v>3626</v>
      </c>
      <c r="L108" s="1739"/>
      <c r="M108" s="482" t="str">
        <f t="shared" si="0"/>
        <v/>
      </c>
      <c r="N108" s="484" t="s">
        <v>3202</v>
      </c>
      <c r="O108" s="1667"/>
      <c r="P108" s="473"/>
    </row>
    <row r="109" spans="1:18" ht="10.9" customHeight="1">
      <c r="B109" s="484" t="s">
        <v>3203</v>
      </c>
      <c r="C109" s="485" t="s">
        <v>3224</v>
      </c>
      <c r="K109" s="162" t="s">
        <v>3626</v>
      </c>
      <c r="L109" s="1739"/>
      <c r="M109" s="482" t="str">
        <f t="shared" si="0"/>
        <v/>
      </c>
      <c r="N109" s="484" t="s">
        <v>3203</v>
      </c>
      <c r="O109" s="1667"/>
      <c r="P109" s="473"/>
    </row>
    <row r="110" spans="1:18" ht="10.9" customHeight="1">
      <c r="B110" s="484" t="s">
        <v>3204</v>
      </c>
      <c r="C110" s="68" t="s">
        <v>3225</v>
      </c>
      <c r="K110" s="162" t="s">
        <v>3626</v>
      </c>
      <c r="L110" s="1739"/>
      <c r="M110" s="482" t="str">
        <f t="shared" si="0"/>
        <v/>
      </c>
      <c r="N110" s="484" t="s">
        <v>3204</v>
      </c>
      <c r="O110" s="1667"/>
      <c r="P110" s="473"/>
    </row>
    <row r="111" spans="1:18" ht="10.9" customHeight="1">
      <c r="B111" s="484" t="s">
        <v>3220</v>
      </c>
      <c r="C111" s="485" t="s">
        <v>3226</v>
      </c>
      <c r="D111" s="121"/>
      <c r="K111" s="162" t="s">
        <v>3626</v>
      </c>
      <c r="L111" s="1739"/>
      <c r="M111" s="482" t="str">
        <f t="shared" si="0"/>
        <v/>
      </c>
      <c r="N111" s="484" t="s">
        <v>3220</v>
      </c>
      <c r="O111" s="1667"/>
      <c r="P111" s="473"/>
    </row>
    <row r="112" spans="1:18" ht="10.9" customHeight="1">
      <c r="B112" s="484" t="s">
        <v>3221</v>
      </c>
      <c r="C112" s="485" t="s">
        <v>3227</v>
      </c>
      <c r="K112" s="162" t="s">
        <v>3626</v>
      </c>
      <c r="L112" s="1739"/>
      <c r="M112" s="482" t="str">
        <f t="shared" si="0"/>
        <v/>
      </c>
      <c r="N112" s="484" t="s">
        <v>3221</v>
      </c>
      <c r="O112" s="1668"/>
      <c r="P112" s="325"/>
    </row>
    <row r="113" spans="1:17" ht="11.45" customHeight="1">
      <c r="A113" s="482" t="str">
        <f>IF($I$86="Stable Communities &lt; 20%", "*","")</f>
        <v/>
      </c>
      <c r="C113" s="499" t="s">
        <v>3231</v>
      </c>
      <c r="E113" s="142"/>
      <c r="M113" s="504"/>
      <c r="N113" s="31"/>
      <c r="O113" s="144"/>
      <c r="P113" s="144"/>
    </row>
    <row r="114" spans="1:17" ht="10.9" customHeight="1">
      <c r="B114" s="484" t="s">
        <v>3228</v>
      </c>
      <c r="C114" s="756" t="s">
        <v>3939</v>
      </c>
      <c r="I114" s="484" t="s">
        <v>3228</v>
      </c>
      <c r="J114" s="324"/>
      <c r="K114" s="484" t="s">
        <v>3229</v>
      </c>
      <c r="L114" s="68" t="s">
        <v>3232</v>
      </c>
      <c r="O114" s="484" t="s">
        <v>3229</v>
      </c>
      <c r="P114" s="324"/>
    </row>
    <row r="115" spans="1:17" ht="10.9" customHeight="1">
      <c r="B115" s="484" t="s">
        <v>3230</v>
      </c>
      <c r="C115" s="485" t="s">
        <v>3233</v>
      </c>
      <c r="I115" s="484" t="s">
        <v>3230</v>
      </c>
      <c r="J115" s="325"/>
      <c r="K115" s="484" t="s">
        <v>771</v>
      </c>
      <c r="L115" s="68" t="s">
        <v>3234</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17"/>
      <c r="B117" s="1718"/>
      <c r="C117" s="1718"/>
      <c r="D117" s="1718"/>
      <c r="E117" s="1718"/>
      <c r="F117" s="1718"/>
      <c r="G117" s="1718"/>
      <c r="H117" s="1718"/>
      <c r="I117" s="1718"/>
      <c r="J117" s="1718"/>
      <c r="K117" s="1718"/>
      <c r="L117" s="1718"/>
      <c r="M117" s="1718"/>
      <c r="N117" s="1718"/>
      <c r="O117" s="1718"/>
      <c r="P117" s="1719"/>
      <c r="Q117" s="614" t="s">
        <v>1677</v>
      </c>
    </row>
    <row r="118" spans="1:17" s="50" customFormat="1" ht="11.25" customHeight="1">
      <c r="A118" s="49"/>
      <c r="B118" s="103" t="s">
        <v>2570</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3235</v>
      </c>
      <c r="D121" s="48"/>
      <c r="E121" s="48"/>
      <c r="F121" s="48"/>
      <c r="H121" s="72"/>
      <c r="J121" s="72" t="s">
        <v>434</v>
      </c>
      <c r="K121" s="55"/>
      <c r="M121" s="2">
        <v>3</v>
      </c>
      <c r="N121" s="7"/>
      <c r="O121" s="92">
        <f>MIN($M121,(O122+O128))</f>
        <v>3</v>
      </c>
      <c r="P121" s="92">
        <f>MIN($M121,(P122+P128))</f>
        <v>0</v>
      </c>
      <c r="Q121" s="130" t="s">
        <v>566</v>
      </c>
    </row>
    <row r="122" spans="1:17" ht="12" customHeight="1">
      <c r="B122" s="804" t="s">
        <v>2693</v>
      </c>
      <c r="C122" s="229" t="s">
        <v>2956</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738"/>
      <c r="P122" s="547"/>
      <c r="Q122" s="507" t="s">
        <v>3629</v>
      </c>
    </row>
    <row r="123" spans="1:17" s="121" customFormat="1" ht="22.9" customHeight="1">
      <c r="B123" s="509" t="s">
        <v>2697</v>
      </c>
      <c r="C123" s="1155" t="s">
        <v>3755</v>
      </c>
      <c r="D123" s="1094"/>
      <c r="E123" s="1094"/>
      <c r="F123" s="1094"/>
      <c r="G123" s="1094"/>
      <c r="H123" s="1094"/>
      <c r="I123" s="1094"/>
      <c r="J123" s="1094"/>
      <c r="K123" s="1094"/>
      <c r="L123" s="1094"/>
      <c r="M123" s="546"/>
      <c r="N123" s="509" t="s">
        <v>2697</v>
      </c>
      <c r="O123" s="1605"/>
      <c r="P123" s="210"/>
    </row>
    <row r="124" spans="1:17" s="121" customFormat="1" ht="11.45" customHeight="1">
      <c r="B124" s="225"/>
      <c r="C124" s="143" t="s">
        <v>1360</v>
      </c>
      <c r="H124" s="585" t="s">
        <v>3379</v>
      </c>
      <c r="I124" s="1741"/>
      <c r="J124" s="585" t="s">
        <v>3028</v>
      </c>
      <c r="K124" s="1742"/>
      <c r="L124" s="1743"/>
      <c r="M124" s="1744"/>
    </row>
    <row r="125" spans="1:17" s="121" customFormat="1" ht="11.45" customHeight="1">
      <c r="B125" s="225" t="s">
        <v>2699</v>
      </c>
      <c r="C125" s="143" t="s">
        <v>1361</v>
      </c>
      <c r="M125" s="8"/>
      <c r="N125" s="225" t="s">
        <v>2699</v>
      </c>
      <c r="O125" s="1666"/>
      <c r="P125" s="324"/>
    </row>
    <row r="126" spans="1:17" s="121" customFormat="1" ht="11.45" customHeight="1">
      <c r="B126" s="225" t="s">
        <v>3321</v>
      </c>
      <c r="C126" s="143" t="s">
        <v>1362</v>
      </c>
      <c r="M126" s="8"/>
      <c r="N126" s="225" t="s">
        <v>3321</v>
      </c>
      <c r="O126" s="1667"/>
      <c r="P126" s="473"/>
    </row>
    <row r="127" spans="1:17" s="121" customFormat="1" ht="11.45" customHeight="1">
      <c r="B127" s="225" t="s">
        <v>1645</v>
      </c>
      <c r="C127" s="143" t="s">
        <v>1363</v>
      </c>
      <c r="M127" s="8"/>
      <c r="N127" s="225" t="s">
        <v>1645</v>
      </c>
      <c r="O127" s="1668"/>
      <c r="P127" s="325"/>
    </row>
    <row r="128" spans="1:17" ht="12" customHeight="1">
      <c r="A128" s="229" t="s">
        <v>1788</v>
      </c>
      <c r="B128" s="804" t="s">
        <v>2696</v>
      </c>
      <c r="C128" s="229" t="s">
        <v>2957</v>
      </c>
      <c r="D128" s="142"/>
      <c r="E128" s="552" t="s">
        <v>3960</v>
      </c>
      <c r="M128" s="88">
        <v>3</v>
      </c>
      <c r="N128" s="654" t="s">
        <v>2696</v>
      </c>
      <c r="O128" s="548">
        <f>IF($M129=5,3,IF($M129=4,2,0))</f>
        <v>3</v>
      </c>
      <c r="P128" s="84"/>
    </row>
    <row r="129" spans="1:17" ht="12" customHeight="1">
      <c r="B129" s="580" t="s">
        <v>3694</v>
      </c>
      <c r="D129" s="40"/>
      <c r="E129" s="40"/>
      <c r="F129" s="40"/>
      <c r="G129" s="813"/>
      <c r="H129" s="813"/>
      <c r="I129" s="813"/>
      <c r="J129" s="813"/>
      <c r="M129" s="1745">
        <v>5</v>
      </c>
      <c r="N129" s="166" t="s">
        <v>3692</v>
      </c>
      <c r="O129" s="123"/>
      <c r="P129" s="123"/>
    </row>
    <row r="130" spans="1:17" ht="12" customHeight="1">
      <c r="B130" s="580" t="s">
        <v>3693</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9"/>
      <c r="B132" s="1610"/>
      <c r="C132" s="1610"/>
      <c r="D132" s="1610"/>
      <c r="E132" s="1610"/>
      <c r="F132" s="1610"/>
      <c r="G132" s="1610"/>
      <c r="H132" s="1610"/>
      <c r="I132" s="1610"/>
      <c r="J132" s="1610"/>
      <c r="K132" s="1610"/>
      <c r="L132" s="1610"/>
      <c r="M132" s="1610"/>
      <c r="N132" s="1610"/>
      <c r="O132" s="1610"/>
      <c r="P132" s="1611"/>
      <c r="Q132" s="614" t="s">
        <v>1677</v>
      </c>
    </row>
    <row r="133" spans="1:17" s="50" customFormat="1" ht="11.45" customHeight="1">
      <c r="B133" s="103" t="s">
        <v>2570</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3236</v>
      </c>
      <c r="E136" s="48"/>
      <c r="F136" s="48"/>
      <c r="H136" s="72"/>
      <c r="K136" s="55"/>
      <c r="L136" s="490" t="str">
        <f>IF(OR($O136=$M136,$O136=0,$O136=""),"","* * Check Score! * *")</f>
        <v/>
      </c>
      <c r="M136" s="2">
        <v>2</v>
      </c>
      <c r="N136" s="517" t="str">
        <f>IF(OR($O136=$M136,$O136=0,$O136=""),"","***")</f>
        <v/>
      </c>
      <c r="O136" s="1711">
        <v>2</v>
      </c>
      <c r="P136" s="84"/>
      <c r="Q136" s="130" t="s">
        <v>566</v>
      </c>
    </row>
    <row r="137" spans="1:17" ht="11.45" customHeight="1">
      <c r="B137" s="211" t="s">
        <v>2351</v>
      </c>
      <c r="E137" s="142"/>
      <c r="M137" s="504"/>
      <c r="N137" s="31"/>
      <c r="O137" s="31"/>
      <c r="P137" s="144" t="s">
        <v>3295</v>
      </c>
    </row>
    <row r="138" spans="1:17" s="511" customFormat="1" ht="11.45" customHeight="1">
      <c r="A138" s="506" t="s">
        <v>3200</v>
      </c>
      <c r="B138" s="683" t="s">
        <v>3695</v>
      </c>
      <c r="D138" s="597"/>
      <c r="M138" s="598"/>
      <c r="N138" s="506"/>
      <c r="O138" s="506" t="s">
        <v>3200</v>
      </c>
      <c r="P138" s="326"/>
    </row>
    <row r="139" spans="1:17" s="511" customFormat="1">
      <c r="A139" s="506" t="s">
        <v>3201</v>
      </c>
      <c r="B139" s="1156" t="s">
        <v>3457</v>
      </c>
      <c r="C139" s="931"/>
      <c r="D139" s="931"/>
      <c r="E139" s="931"/>
      <c r="F139" s="931"/>
      <c r="G139" s="931"/>
      <c r="H139" s="931"/>
      <c r="I139" s="931"/>
      <c r="J139" s="931"/>
      <c r="K139" s="931"/>
      <c r="L139" s="931"/>
      <c r="M139" s="931"/>
      <c r="N139" s="931"/>
      <c r="O139" s="506" t="s">
        <v>3201</v>
      </c>
      <c r="P139" s="599"/>
    </row>
    <row r="140" spans="1:17" s="511" customFormat="1" ht="24" customHeight="1">
      <c r="A140" s="506" t="s">
        <v>3202</v>
      </c>
      <c r="B140" s="1156" t="s">
        <v>3696</v>
      </c>
      <c r="C140" s="931"/>
      <c r="D140" s="931"/>
      <c r="E140" s="931"/>
      <c r="F140" s="931"/>
      <c r="G140" s="931"/>
      <c r="H140" s="931"/>
      <c r="I140" s="931"/>
      <c r="J140" s="931"/>
      <c r="K140" s="931"/>
      <c r="L140" s="931"/>
      <c r="M140" s="931"/>
      <c r="N140" s="931"/>
      <c r="O140" s="506" t="s">
        <v>3202</v>
      </c>
      <c r="P140" s="599"/>
    </row>
    <row r="141" spans="1:17" s="511" customFormat="1" ht="12.75" customHeight="1">
      <c r="A141" s="506" t="s">
        <v>3203</v>
      </c>
      <c r="B141" s="683" t="s">
        <v>3697</v>
      </c>
      <c r="M141" s="598"/>
      <c r="N141" s="506"/>
      <c r="O141" s="506" t="s">
        <v>3203</v>
      </c>
      <c r="P141" s="599"/>
    </row>
    <row r="142" spans="1:17" s="511" customFormat="1" ht="12.75" customHeight="1">
      <c r="A142" s="506" t="s">
        <v>3204</v>
      </c>
      <c r="B142" s="270" t="s">
        <v>2352</v>
      </c>
      <c r="M142" s="598"/>
      <c r="N142" s="506"/>
      <c r="O142" s="506" t="s">
        <v>3204</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9" t="s">
        <v>4155</v>
      </c>
      <c r="B144" s="1610"/>
      <c r="C144" s="1610"/>
      <c r="D144" s="1610"/>
      <c r="E144" s="1610"/>
      <c r="F144" s="1610"/>
      <c r="G144" s="1610"/>
      <c r="H144" s="1610"/>
      <c r="I144" s="1610"/>
      <c r="J144" s="1610"/>
      <c r="K144" s="1610"/>
      <c r="L144" s="1610"/>
      <c r="M144" s="1610"/>
      <c r="N144" s="1610"/>
      <c r="O144" s="1610"/>
      <c r="P144" s="1611"/>
      <c r="Q144" s="614" t="s">
        <v>1677</v>
      </c>
    </row>
    <row r="145" spans="1:18" s="50" customFormat="1" ht="11.25" customHeight="1">
      <c r="A145" s="49"/>
      <c r="B145" s="103" t="s">
        <v>2570</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2958</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2959</v>
      </c>
      <c r="D149" s="72"/>
      <c r="E149" s="72"/>
      <c r="F149" s="51"/>
      <c r="G149" s="31"/>
      <c r="K149" s="654" t="s">
        <v>3591</v>
      </c>
      <c r="L149" s="1605" t="s">
        <v>4061</v>
      </c>
      <c r="M149" s="8">
        <v>1</v>
      </c>
      <c r="N149" s="654" t="s">
        <v>2693</v>
      </c>
      <c r="O149" s="1711">
        <v>1</v>
      </c>
      <c r="P149" s="84"/>
      <c r="Q149" s="507"/>
      <c r="R149" s="490" t="str">
        <f>IF(OR($O149=$M149,$O149=0,$O149=""),"","* * Check Score! * *")</f>
        <v/>
      </c>
    </row>
    <row r="150" spans="1:18" s="50" customFormat="1" ht="12" customHeight="1">
      <c r="A150" s="171" t="s">
        <v>2696</v>
      </c>
      <c r="B150" s="213" t="s">
        <v>2960</v>
      </c>
      <c r="D150" s="68"/>
      <c r="H150" s="669" t="s">
        <v>3571</v>
      </c>
      <c r="K150" s="61"/>
      <c r="L150" s="1605" t="s">
        <v>4070</v>
      </c>
      <c r="M150" s="8">
        <v>1</v>
      </c>
      <c r="N150" s="654" t="s">
        <v>2696</v>
      </c>
      <c r="O150" s="1711">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9"/>
      <c r="B152" s="1610"/>
      <c r="C152" s="1610"/>
      <c r="D152" s="1610"/>
      <c r="E152" s="1610"/>
      <c r="F152" s="1610"/>
      <c r="G152" s="1610"/>
      <c r="H152" s="1610"/>
      <c r="I152" s="1610"/>
      <c r="J152" s="1610"/>
      <c r="K152" s="1610"/>
      <c r="L152" s="1610"/>
      <c r="M152" s="1610"/>
      <c r="N152" s="1610"/>
      <c r="O152" s="1610"/>
      <c r="P152" s="1611"/>
      <c r="Q152" s="614" t="s">
        <v>1677</v>
      </c>
    </row>
    <row r="153" spans="1:18" s="50" customFormat="1" ht="11.25" customHeight="1">
      <c r="A153" s="49"/>
      <c r="B153" s="103" t="s">
        <v>2570</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3556</v>
      </c>
      <c r="C156" s="105"/>
      <c r="D156" s="69"/>
      <c r="E156" s="61"/>
      <c r="J156" s="72"/>
      <c r="K156" s="611" t="s">
        <v>3576</v>
      </c>
      <c r="L156" s="652" t="str">
        <f>'Part I-Project Information'!$H$81</f>
        <v>No</v>
      </c>
      <c r="M156" s="2">
        <v>3</v>
      </c>
      <c r="N156" s="7"/>
      <c r="O156" s="7"/>
      <c r="P156" s="84"/>
      <c r="Q156" s="130" t="s">
        <v>566</v>
      </c>
    </row>
    <row r="157" spans="1:18" s="50" customFormat="1" ht="12" customHeight="1">
      <c r="A157" s="171"/>
      <c r="B157" s="64" t="s">
        <v>3084</v>
      </c>
      <c r="D157" s="40"/>
      <c r="N157" s="654"/>
      <c r="O157" s="1605" t="s">
        <v>4070</v>
      </c>
      <c r="P157" s="210"/>
      <c r="R157" s="490"/>
    </row>
    <row r="158" spans="1:18" s="50" customFormat="1" ht="12" customHeight="1">
      <c r="A158" s="171"/>
      <c r="B158" s="64" t="s">
        <v>3584</v>
      </c>
      <c r="D158" s="40"/>
      <c r="N158" s="654"/>
      <c r="O158" s="1605" t="s">
        <v>4070</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9"/>
      <c r="B160" s="1610"/>
      <c r="C160" s="1610"/>
      <c r="D160" s="1610"/>
      <c r="E160" s="1610"/>
      <c r="F160" s="1610"/>
      <c r="G160" s="1610"/>
      <c r="H160" s="1610"/>
      <c r="I160" s="1610"/>
      <c r="J160" s="1610"/>
      <c r="K160" s="1610"/>
      <c r="L160" s="1610"/>
      <c r="M160" s="1610"/>
      <c r="N160" s="1610"/>
      <c r="O160" s="1610"/>
      <c r="P160" s="1611"/>
      <c r="Q160" s="614" t="s">
        <v>1677</v>
      </c>
    </row>
    <row r="161" spans="1:18" s="50" customFormat="1" ht="12" customHeight="1">
      <c r="B161" s="103" t="s">
        <v>2570</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3585</v>
      </c>
      <c r="G164" s="141"/>
      <c r="H164" s="551"/>
      <c r="I164" s="653">
        <f>'Part VI-Revenues &amp; Expenses'!$M$62</f>
        <v>74</v>
      </c>
      <c r="J164" s="772" t="s">
        <v>2488</v>
      </c>
      <c r="K164" s="775">
        <f>'Part VI-Revenues &amp; Expenses'!$M$74/'Part VI-Revenues &amp; Expenses'!$M$62</f>
        <v>1</v>
      </c>
      <c r="L164" s="772" t="s">
        <v>4059</v>
      </c>
      <c r="M164" s="2">
        <v>3</v>
      </c>
      <c r="N164" s="517" t="str">
        <f>IF(OR($O164=$M164,$O164=0,$O164=""),"","***")</f>
        <v/>
      </c>
      <c r="O164" s="1711">
        <v>0</v>
      </c>
      <c r="P164" s="84"/>
      <c r="Q164" s="130" t="s">
        <v>566</v>
      </c>
      <c r="R164" s="31"/>
    </row>
    <row r="165" spans="1:18" s="74" customFormat="1" ht="25.15" customHeight="1">
      <c r="A165" s="189"/>
      <c r="B165" s="1028" t="s">
        <v>3658</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07"/>
    </row>
    <row r="167" spans="1:18" s="50" customFormat="1" ht="12" customHeight="1">
      <c r="A167" s="1609"/>
      <c r="B167" s="1610"/>
      <c r="C167" s="1610"/>
      <c r="D167" s="1610"/>
      <c r="E167" s="1610"/>
      <c r="F167" s="1610"/>
      <c r="G167" s="1610"/>
      <c r="H167" s="1610"/>
      <c r="I167" s="1611"/>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11"/>
      <c r="P169" s="84"/>
      <c r="Q169" s="130" t="s">
        <v>566</v>
      </c>
    </row>
    <row r="170" spans="1:18" s="50" customFormat="1" ht="12.6" customHeight="1">
      <c r="B170" s="136" t="s">
        <v>2545</v>
      </c>
      <c r="D170" s="123"/>
      <c r="E170" s="1746"/>
      <c r="F170" s="1747"/>
      <c r="G170" s="1748"/>
      <c r="H170" s="1749"/>
      <c r="I170" s="60" t="s">
        <v>2544</v>
      </c>
      <c r="O170" s="144" t="s">
        <v>3295</v>
      </c>
      <c r="P170" s="144" t="s">
        <v>3295</v>
      </c>
    </row>
    <row r="171" spans="1:18" s="121" customFormat="1" ht="11.45" customHeight="1">
      <c r="A171" s="171" t="s">
        <v>2693</v>
      </c>
      <c r="B171" s="143" t="s">
        <v>2358</v>
      </c>
      <c r="D171" s="143"/>
      <c r="E171" s="143"/>
      <c r="F171" s="143"/>
      <c r="G171" s="1750"/>
      <c r="H171" s="1751"/>
      <c r="I171" s="1752"/>
      <c r="J171" s="1750" t="s">
        <v>1607</v>
      </c>
      <c r="K171" s="1751"/>
      <c r="L171" s="1752"/>
      <c r="N171" s="654" t="s">
        <v>2693</v>
      </c>
      <c r="O171" s="1605"/>
      <c r="P171" s="210"/>
    </row>
    <row r="172" spans="1:18" s="121" customFormat="1" ht="11.45" customHeight="1">
      <c r="A172" s="171" t="s">
        <v>2696</v>
      </c>
      <c r="B172" s="143" t="s">
        <v>435</v>
      </c>
      <c r="D172" s="143"/>
      <c r="E172" s="143"/>
      <c r="F172" s="143"/>
      <c r="G172" s="143"/>
      <c r="L172" s="143"/>
      <c r="M172" s="143"/>
      <c r="N172" s="654" t="s">
        <v>2696</v>
      </c>
      <c r="O172" s="1605"/>
      <c r="P172" s="210"/>
    </row>
    <row r="173" spans="1:18" s="121" customFormat="1" ht="11.45" customHeight="1">
      <c r="A173" s="171" t="s">
        <v>1054</v>
      </c>
      <c r="B173" s="143" t="s">
        <v>2318</v>
      </c>
      <c r="D173" s="143"/>
      <c r="E173" s="143"/>
      <c r="F173" s="143"/>
      <c r="G173" s="143"/>
      <c r="H173" s="143"/>
      <c r="L173" s="143"/>
      <c r="M173" s="143"/>
      <c r="N173" s="654" t="s">
        <v>1054</v>
      </c>
      <c r="O173" s="1605"/>
      <c r="P173" s="210"/>
    </row>
    <row r="174" spans="1:18" s="121" customFormat="1" ht="11.45" customHeight="1">
      <c r="A174" s="171" t="s">
        <v>2829</v>
      </c>
      <c r="B174" s="166" t="s">
        <v>3529</v>
      </c>
      <c r="D174" s="143"/>
      <c r="E174" s="143"/>
      <c r="F174" s="143"/>
      <c r="G174" s="143"/>
      <c r="H174" s="143"/>
      <c r="I174" s="143"/>
      <c r="J174" s="143"/>
      <c r="K174" s="143"/>
      <c r="L174" s="143"/>
      <c r="M174" s="143"/>
      <c r="N174" s="654" t="s">
        <v>2829</v>
      </c>
      <c r="O174" s="1605"/>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9"/>
      <c r="B176" s="1610"/>
      <c r="C176" s="1610"/>
      <c r="D176" s="1610"/>
      <c r="E176" s="1610"/>
      <c r="F176" s="1610"/>
      <c r="G176" s="1610"/>
      <c r="H176" s="1610"/>
      <c r="I176" s="1610"/>
      <c r="J176" s="1610"/>
      <c r="K176" s="1610"/>
      <c r="L176" s="1610"/>
      <c r="M176" s="1610"/>
      <c r="N176" s="1610"/>
      <c r="O176" s="1610"/>
      <c r="P176" s="1611"/>
      <c r="Q176" s="614" t="s">
        <v>1677</v>
      </c>
    </row>
    <row r="177" spans="1:18" s="50" customFormat="1" ht="11.25" customHeight="1">
      <c r="A177" s="49"/>
      <c r="B177" s="103" t="s">
        <v>2570</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2546</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3544</v>
      </c>
      <c r="E181" s="106"/>
      <c r="F181" s="61"/>
      <c r="G181" s="61"/>
      <c r="H181" s="61"/>
      <c r="I181" s="61"/>
      <c r="J181" s="63"/>
      <c r="K181" s="71"/>
      <c r="L181" s="67"/>
      <c r="O181" s="144" t="s">
        <v>3295</v>
      </c>
      <c r="P181" s="144" t="s">
        <v>3295</v>
      </c>
    </row>
    <row r="182" spans="1:18" s="121" customFormat="1" ht="11.25" customHeight="1">
      <c r="B182" s="596" t="s">
        <v>2697</v>
      </c>
      <c r="C182" s="121" t="s">
        <v>737</v>
      </c>
      <c r="E182" s="106"/>
      <c r="F182" s="61"/>
      <c r="G182" s="61"/>
      <c r="H182" s="61"/>
      <c r="I182" s="61"/>
      <c r="J182" s="63"/>
      <c r="K182" s="71"/>
      <c r="L182" s="67" t="str">
        <f>IF(M182&gt;14,"Over limit!","")</f>
        <v/>
      </c>
      <c r="N182" s="225" t="s">
        <v>2697</v>
      </c>
      <c r="O182" s="1666" t="s">
        <v>4061</v>
      </c>
      <c r="P182" s="324"/>
    </row>
    <row r="183" spans="1:18" s="121" customFormat="1" ht="11.25" customHeight="1">
      <c r="B183" s="596" t="s">
        <v>2699</v>
      </c>
      <c r="C183" s="121" t="s">
        <v>738</v>
      </c>
      <c r="N183" s="225" t="s">
        <v>2699</v>
      </c>
      <c r="O183" s="1667" t="s">
        <v>4061</v>
      </c>
      <c r="P183" s="473"/>
    </row>
    <row r="184" spans="1:18" s="121" customFormat="1" ht="11.25" customHeight="1">
      <c r="B184" s="596" t="s">
        <v>3321</v>
      </c>
      <c r="C184" s="121" t="s">
        <v>739</v>
      </c>
      <c r="N184" s="225" t="s">
        <v>3321</v>
      </c>
      <c r="O184" s="1667" t="s">
        <v>4061</v>
      </c>
      <c r="P184" s="473"/>
    </row>
    <row r="185" spans="1:18" s="121" customFormat="1" ht="11.25" customHeight="1">
      <c r="B185" s="596" t="s">
        <v>1645</v>
      </c>
      <c r="C185" s="121" t="s">
        <v>740</v>
      </c>
      <c r="N185" s="225" t="s">
        <v>1645</v>
      </c>
      <c r="O185" s="1667" t="s">
        <v>4061</v>
      </c>
      <c r="P185" s="473"/>
    </row>
    <row r="186" spans="1:18" s="121" customFormat="1" ht="11.25" customHeight="1">
      <c r="B186" s="596" t="s">
        <v>1646</v>
      </c>
      <c r="C186" s="121" t="s">
        <v>748</v>
      </c>
      <c r="N186" s="225" t="s">
        <v>1646</v>
      </c>
      <c r="O186" s="1668" t="s">
        <v>4061</v>
      </c>
      <c r="P186" s="325"/>
    </row>
    <row r="187" spans="1:18" s="121" customFormat="1" ht="6" customHeight="1">
      <c r="B187" s="596"/>
    </row>
    <row r="188" spans="1:18" s="50" customFormat="1" ht="11.25" customHeight="1">
      <c r="A188" s="171" t="s">
        <v>2693</v>
      </c>
      <c r="B188" s="231" t="s">
        <v>2547</v>
      </c>
      <c r="D188" s="813"/>
      <c r="E188" s="813"/>
      <c r="F188" s="40"/>
      <c r="G188" s="123"/>
      <c r="H188" s="123"/>
      <c r="I188" s="123"/>
      <c r="J188" s="813"/>
      <c r="K188" s="123"/>
      <c r="L188" s="40"/>
      <c r="M188" s="577">
        <v>4</v>
      </c>
      <c r="N188" s="654" t="s">
        <v>2693</v>
      </c>
      <c r="O188" s="186">
        <f>IF($I207&gt;=0.15, 4,IF($I207&gt;=0.1, 3,IF($I207&gt;=0.05, 2,IF($I207&gt;=0.02, 1,0))))</f>
        <v>2</v>
      </c>
      <c r="P188" s="186">
        <f>IF($L207&gt;=0.15, 4,IF($L207&gt;=0.1, 3,IF($L207&gt;=0.05, 2,IF($L207&gt;=0.02, 1,0))))</f>
        <v>0</v>
      </c>
    </row>
    <row r="189" spans="1:18" ht="12" customHeight="1">
      <c r="B189" s="483" t="s">
        <v>2697</v>
      </c>
      <c r="C189" s="602" t="s">
        <v>3439</v>
      </c>
      <c r="I189" s="1126" t="s">
        <v>2701</v>
      </c>
      <c r="J189" s="1126"/>
      <c r="L189" s="815" t="s">
        <v>2701</v>
      </c>
      <c r="M189" s="196"/>
      <c r="N189" s="225" t="s">
        <v>2697</v>
      </c>
    </row>
    <row r="190" spans="1:18" s="50" customFormat="1" ht="11.25" customHeight="1">
      <c r="A190" s="226"/>
      <c r="B190" s="132"/>
      <c r="C190" s="484" t="s">
        <v>3200</v>
      </c>
      <c r="D190" s="44" t="s">
        <v>1930</v>
      </c>
      <c r="H190" s="64"/>
      <c r="I190" s="1753"/>
      <c r="J190" s="1754"/>
      <c r="K190" s="228"/>
      <c r="L190" s="586"/>
      <c r="M190" s="88"/>
      <c r="N190" s="484" t="s">
        <v>3200</v>
      </c>
      <c r="O190" s="1666" t="s">
        <v>1960</v>
      </c>
      <c r="P190" s="324"/>
      <c r="R190" s="490"/>
    </row>
    <row r="191" spans="1:18" ht="11.25" customHeight="1">
      <c r="A191" s="227"/>
      <c r="B191" s="97"/>
      <c r="C191" s="506" t="s">
        <v>3201</v>
      </c>
      <c r="D191" s="44" t="s">
        <v>1931</v>
      </c>
      <c r="H191" s="64"/>
      <c r="I191" s="1753"/>
      <c r="J191" s="1754"/>
      <c r="L191" s="586"/>
      <c r="M191" s="88"/>
      <c r="N191" s="506" t="s">
        <v>3201</v>
      </c>
      <c r="O191" s="1667" t="s">
        <v>1960</v>
      </c>
      <c r="P191" s="473"/>
      <c r="R191" s="490"/>
    </row>
    <row r="192" spans="1:18" ht="11.25" customHeight="1">
      <c r="B192" s="596"/>
      <c r="C192" s="484" t="s">
        <v>3202</v>
      </c>
      <c r="D192" s="44" t="s">
        <v>3436</v>
      </c>
      <c r="H192" s="64"/>
      <c r="I192" s="1753"/>
      <c r="J192" s="1754"/>
      <c r="L192" s="586"/>
      <c r="M192" s="88"/>
      <c r="N192" s="484" t="s">
        <v>3202</v>
      </c>
      <c r="O192" s="1667" t="s">
        <v>1960</v>
      </c>
      <c r="P192" s="473"/>
      <c r="R192" s="490"/>
    </row>
    <row r="193" spans="1:18" ht="11.25" customHeight="1">
      <c r="A193" s="227"/>
      <c r="B193" s="596"/>
      <c r="C193" s="484" t="s">
        <v>3203</v>
      </c>
      <c r="D193" s="44" t="s">
        <v>3437</v>
      </c>
      <c r="I193" s="1753"/>
      <c r="J193" s="1754"/>
      <c r="L193" s="586"/>
      <c r="M193" s="88"/>
      <c r="N193" s="484" t="s">
        <v>3203</v>
      </c>
      <c r="O193" s="1667" t="s">
        <v>1960</v>
      </c>
      <c r="P193" s="473"/>
      <c r="R193" s="490"/>
    </row>
    <row r="194" spans="1:18" s="50" customFormat="1" ht="11.25" customHeight="1">
      <c r="A194" s="226"/>
      <c r="B194" s="596"/>
      <c r="C194" s="506" t="s">
        <v>3204</v>
      </c>
      <c r="D194" s="44" t="s">
        <v>1932</v>
      </c>
      <c r="H194" s="64"/>
      <c r="I194" s="1753"/>
      <c r="J194" s="1754"/>
      <c r="K194" s="228"/>
      <c r="L194" s="586"/>
      <c r="M194" s="88"/>
      <c r="N194" s="506" t="s">
        <v>3204</v>
      </c>
      <c r="O194" s="1667" t="s">
        <v>1960</v>
      </c>
      <c r="P194" s="473"/>
      <c r="R194" s="490"/>
    </row>
    <row r="195" spans="1:18" ht="11.25" customHeight="1">
      <c r="B195" s="596"/>
      <c r="C195" s="484" t="s">
        <v>3220</v>
      </c>
      <c r="D195" s="44" t="s">
        <v>1933</v>
      </c>
      <c r="H195" s="64"/>
      <c r="I195" s="1753"/>
      <c r="J195" s="1754"/>
      <c r="L195" s="586"/>
      <c r="M195" s="88"/>
      <c r="N195" s="484" t="s">
        <v>3220</v>
      </c>
      <c r="O195" s="1667" t="s">
        <v>1960</v>
      </c>
      <c r="P195" s="473"/>
      <c r="R195" s="490"/>
    </row>
    <row r="196" spans="1:18" ht="11.25" customHeight="1">
      <c r="A196" s="227"/>
      <c r="B196" s="596"/>
      <c r="C196" s="484" t="s">
        <v>3221</v>
      </c>
      <c r="D196" s="44" t="s">
        <v>1934</v>
      </c>
      <c r="H196" s="64"/>
      <c r="I196" s="1753"/>
      <c r="J196" s="1754"/>
      <c r="L196" s="586"/>
      <c r="M196" s="88"/>
      <c r="N196" s="484" t="s">
        <v>3221</v>
      </c>
      <c r="O196" s="1667" t="s">
        <v>1960</v>
      </c>
      <c r="P196" s="473"/>
      <c r="R196" s="490"/>
    </row>
    <row r="197" spans="1:18" ht="11.25" customHeight="1">
      <c r="B197" s="596"/>
      <c r="C197" s="505" t="s">
        <v>3228</v>
      </c>
      <c r="D197" s="44" t="s">
        <v>3698</v>
      </c>
      <c r="H197" s="64"/>
      <c r="I197" s="1753"/>
      <c r="J197" s="1754"/>
      <c r="L197" s="586"/>
      <c r="M197" s="88"/>
      <c r="N197" s="505" t="s">
        <v>3228</v>
      </c>
      <c r="O197" s="1667" t="s">
        <v>1960</v>
      </c>
      <c r="P197" s="473"/>
      <c r="R197" s="490"/>
    </row>
    <row r="198" spans="1:18" ht="11.25" customHeight="1">
      <c r="A198" s="227"/>
      <c r="B198" s="596"/>
      <c r="C198" s="505" t="s">
        <v>3229</v>
      </c>
      <c r="D198" s="44" t="s">
        <v>3699</v>
      </c>
      <c r="H198" s="64"/>
      <c r="I198" s="1753"/>
      <c r="J198" s="1754"/>
      <c r="L198" s="586"/>
      <c r="M198" s="88"/>
      <c r="N198" s="505" t="s">
        <v>3229</v>
      </c>
      <c r="O198" s="1667" t="s">
        <v>1960</v>
      </c>
      <c r="P198" s="473"/>
      <c r="R198" s="490"/>
    </row>
    <row r="199" spans="1:18" ht="11.25" customHeight="1">
      <c r="A199" s="227"/>
      <c r="B199" s="596"/>
      <c r="C199" s="505" t="s">
        <v>3230</v>
      </c>
      <c r="D199" s="44" t="s">
        <v>3700</v>
      </c>
      <c r="H199" s="64"/>
      <c r="I199" s="1753"/>
      <c r="J199" s="1754"/>
      <c r="L199" s="586"/>
      <c r="M199" s="88"/>
      <c r="N199" s="505" t="s">
        <v>3230</v>
      </c>
      <c r="O199" s="1667" t="s">
        <v>1960</v>
      </c>
      <c r="P199" s="473"/>
      <c r="R199" s="490"/>
    </row>
    <row r="200" spans="1:18" ht="11.25" customHeight="1">
      <c r="A200" s="227"/>
      <c r="B200" s="596"/>
      <c r="C200" s="505" t="s">
        <v>771</v>
      </c>
      <c r="D200" s="44" t="s">
        <v>3701</v>
      </c>
      <c r="H200" s="64"/>
      <c r="I200" s="1753">
        <v>333000</v>
      </c>
      <c r="J200" s="1754"/>
      <c r="L200" s="586"/>
      <c r="M200" s="88"/>
      <c r="N200" s="505" t="s">
        <v>771</v>
      </c>
      <c r="O200" s="1667" t="s">
        <v>4061</v>
      </c>
      <c r="P200" s="473"/>
      <c r="R200" s="490"/>
    </row>
    <row r="201" spans="1:18" ht="11.25" customHeight="1">
      <c r="A201" s="227"/>
      <c r="B201" s="596"/>
      <c r="C201" s="505" t="s">
        <v>3704</v>
      </c>
      <c r="D201" s="44" t="s">
        <v>3702</v>
      </c>
      <c r="H201" s="64"/>
      <c r="I201" s="1753"/>
      <c r="J201" s="1754"/>
      <c r="L201" s="586"/>
      <c r="M201" s="88"/>
      <c r="N201" s="505" t="s">
        <v>3704</v>
      </c>
      <c r="O201" s="1667" t="s">
        <v>4070</v>
      </c>
      <c r="P201" s="473"/>
      <c r="R201" s="490"/>
    </row>
    <row r="202" spans="1:18" ht="11.25" customHeight="1">
      <c r="A202" s="227"/>
      <c r="B202" s="596"/>
      <c r="C202" s="505" t="s">
        <v>3705</v>
      </c>
      <c r="D202" s="44" t="s">
        <v>3703</v>
      </c>
      <c r="H202" s="64"/>
      <c r="I202" s="1753">
        <v>220000</v>
      </c>
      <c r="J202" s="1754"/>
      <c r="L202" s="586"/>
      <c r="M202" s="88"/>
      <c r="N202" s="505" t="s">
        <v>3705</v>
      </c>
      <c r="O202" s="1667" t="s">
        <v>4061</v>
      </c>
      <c r="P202" s="473"/>
      <c r="R202" s="490"/>
    </row>
    <row r="203" spans="1:18" ht="11.25" customHeight="1" thickBot="1">
      <c r="A203" s="227"/>
      <c r="B203" s="596"/>
      <c r="C203" s="505" t="s">
        <v>3706</v>
      </c>
      <c r="D203" s="582" t="s">
        <v>3438</v>
      </c>
      <c r="E203" s="583"/>
      <c r="F203" s="583"/>
      <c r="G203" s="583"/>
      <c r="H203" s="584"/>
      <c r="I203" s="1755"/>
      <c r="J203" s="1756"/>
      <c r="L203" s="590"/>
      <c r="M203" s="88"/>
      <c r="N203" s="505" t="s">
        <v>3706</v>
      </c>
      <c r="O203" s="1668" t="s">
        <v>1960</v>
      </c>
      <c r="P203" s="325"/>
      <c r="R203" s="490"/>
    </row>
    <row r="204" spans="1:18" ht="12" customHeight="1" thickBot="1">
      <c r="A204" s="227"/>
      <c r="B204" s="596"/>
      <c r="D204" s="580" t="s">
        <v>3441</v>
      </c>
      <c r="H204" s="64"/>
      <c r="I204" s="1757">
        <f>SUM(I190:J203)</f>
        <v>553000</v>
      </c>
      <c r="J204" s="1758"/>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2699</v>
      </c>
      <c r="C206" s="602" t="s">
        <v>3440</v>
      </c>
      <c r="D206" s="580" t="s">
        <v>3442</v>
      </c>
      <c r="I206" s="1127">
        <f>'Part IV-Uses of Funds'!$G$129</f>
        <v>10830760</v>
      </c>
      <c r="J206" s="1128"/>
      <c r="M206" s="196"/>
      <c r="N206" s="31"/>
      <c r="O206" s="31"/>
      <c r="P206" s="31"/>
    </row>
    <row r="207" spans="1:18" ht="12" customHeight="1">
      <c r="B207" s="225"/>
      <c r="C207" s="579"/>
      <c r="D207" s="600" t="s">
        <v>3443</v>
      </c>
      <c r="G207" s="589"/>
      <c r="H207" s="589"/>
      <c r="I207" s="1119">
        <f>IF($I206=0,0,$I204/$I206)</f>
        <v>5.1058282151945016E-2</v>
      </c>
      <c r="J207" s="1120"/>
      <c r="L207" s="581">
        <f>IF($I206=0,0,$L204/$I206)</f>
        <v>0</v>
      </c>
      <c r="M207" s="196"/>
      <c r="N207" s="31"/>
      <c r="O207" s="31"/>
      <c r="P207" s="31"/>
    </row>
    <row r="208" spans="1:18" s="50" customFormat="1" ht="12.75" customHeight="1">
      <c r="A208" s="171" t="s">
        <v>2696</v>
      </c>
      <c r="B208" s="231" t="s">
        <v>3572</v>
      </c>
      <c r="D208" s="47"/>
      <c r="E208" s="44"/>
      <c r="F208" s="674"/>
      <c r="H208" s="44"/>
      <c r="I208" s="674"/>
      <c r="J208" s="38"/>
      <c r="K208" s="38"/>
      <c r="L208" s="38"/>
      <c r="M208" s="88">
        <v>1</v>
      </c>
      <c r="N208" s="654" t="s">
        <v>2696</v>
      </c>
      <c r="O208" s="1605"/>
      <c r="P208" s="84"/>
      <c r="Q208" s="507" t="s">
        <v>3629</v>
      </c>
    </row>
    <row r="209" spans="1:18" s="50" customFormat="1" ht="11.25" customHeight="1">
      <c r="A209" s="171"/>
      <c r="B209" s="1028" t="s">
        <v>3707</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9"/>
      <c r="F212" s="1760"/>
      <c r="G212" s="1760"/>
      <c r="H212" s="1761"/>
      <c r="K212" s="228"/>
      <c r="M212" s="7"/>
      <c r="N212" s="7"/>
      <c r="O212" s="7"/>
      <c r="P212" s="7"/>
    </row>
    <row r="213" spans="1:18" ht="12" customHeight="1">
      <c r="A213" s="227"/>
      <c r="B213" s="510" t="s">
        <v>3108</v>
      </c>
      <c r="D213" s="511"/>
      <c r="E213" s="1762"/>
      <c r="F213" s="1763"/>
      <c r="G213" s="1763"/>
      <c r="H213" s="1763"/>
      <c r="I213" s="1763"/>
      <c r="J213" s="1763"/>
      <c r="K213" s="1763"/>
      <c r="L213" s="1763"/>
      <c r="M213" s="1763"/>
      <c r="N213" s="1763"/>
      <c r="O213" s="1763"/>
      <c r="P213" s="1318"/>
    </row>
    <row r="214" spans="1:18" ht="12.6" customHeight="1">
      <c r="B214" s="44" t="s">
        <v>3545</v>
      </c>
      <c r="E214" s="585"/>
      <c r="I214" s="1764"/>
      <c r="J214" s="1765"/>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9"/>
      <c r="B216" s="1610"/>
      <c r="C216" s="1610"/>
      <c r="D216" s="1610"/>
      <c r="E216" s="1610"/>
      <c r="F216" s="1610"/>
      <c r="G216" s="1610"/>
      <c r="H216" s="1610"/>
      <c r="I216" s="1610"/>
      <c r="J216" s="1610"/>
      <c r="K216" s="1610"/>
      <c r="L216" s="1610"/>
      <c r="M216" s="1610"/>
      <c r="N216" s="1610"/>
      <c r="O216" s="1610"/>
      <c r="P216" s="1611"/>
      <c r="Q216" s="614" t="s">
        <v>1677</v>
      </c>
    </row>
    <row r="217" spans="1:18" s="123" customFormat="1" ht="10.9" customHeight="1">
      <c r="A217" s="49"/>
      <c r="B217" s="118" t="s">
        <v>2570</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3709</v>
      </c>
      <c r="D221" s="40"/>
      <c r="H221" s="64" t="s">
        <v>3084</v>
      </c>
      <c r="M221" s="88">
        <v>6</v>
      </c>
      <c r="N221" s="654" t="s">
        <v>2693</v>
      </c>
      <c r="O221" s="1666" t="s">
        <v>1960</v>
      </c>
      <c r="P221" s="324"/>
      <c r="R221" s="490"/>
    </row>
    <row r="222" spans="1:18" s="50" customFormat="1" ht="23.25" customHeight="1">
      <c r="A222" s="49"/>
      <c r="B222" s="1121" t="s">
        <v>3747</v>
      </c>
      <c r="C222" s="1122"/>
      <c r="D222" s="1122"/>
      <c r="E222" s="1122"/>
      <c r="F222" s="1122"/>
      <c r="G222" s="1122"/>
      <c r="H222" s="1122"/>
      <c r="I222" s="1122"/>
      <c r="J222" s="1122"/>
      <c r="K222" s="1122"/>
      <c r="L222" s="1122"/>
      <c r="M222" s="53"/>
      <c r="N222" s="73"/>
      <c r="O222" s="1668" t="s">
        <v>1960</v>
      </c>
      <c r="P222" s="325"/>
    </row>
    <row r="223" spans="1:18" s="50" customFormat="1" ht="12" customHeight="1">
      <c r="A223" s="171" t="s">
        <v>2696</v>
      </c>
      <c r="B223" s="213" t="s">
        <v>3708</v>
      </c>
      <c r="D223" s="40"/>
      <c r="E223" s="40"/>
      <c r="F223" s="40"/>
      <c r="R223" s="490"/>
    </row>
    <row r="224" spans="1:18" s="50" customFormat="1" ht="12" customHeight="1">
      <c r="A224" s="171"/>
      <c r="B224" s="64" t="s">
        <v>3084</v>
      </c>
      <c r="D224" s="40"/>
      <c r="M224" s="132">
        <v>3</v>
      </c>
      <c r="N224" s="654" t="s">
        <v>2696</v>
      </c>
      <c r="O224" s="1666" t="s">
        <v>1960</v>
      </c>
      <c r="P224" s="324"/>
      <c r="R224" s="490"/>
    </row>
    <row r="225" spans="1:18" s="50" customFormat="1" ht="12" customHeight="1">
      <c r="A225" s="171"/>
      <c r="B225" s="64" t="s">
        <v>3765</v>
      </c>
      <c r="D225" s="40"/>
      <c r="N225" s="654"/>
      <c r="O225" s="1668" t="s">
        <v>1960</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9"/>
      <c r="B227" s="1610"/>
      <c r="C227" s="1610"/>
      <c r="D227" s="1610"/>
      <c r="E227" s="1610"/>
      <c r="F227" s="1610"/>
      <c r="G227" s="1610"/>
      <c r="H227" s="1610"/>
      <c r="I227" s="1610"/>
      <c r="J227" s="1610"/>
      <c r="K227" s="1610"/>
      <c r="L227" s="1610"/>
      <c r="M227" s="1610"/>
      <c r="N227" s="1610"/>
      <c r="O227" s="1610"/>
      <c r="P227" s="1611"/>
      <c r="Q227" s="614" t="s">
        <v>1677</v>
      </c>
    </row>
    <row r="228" spans="1:18" s="123" customFormat="1" ht="10.5" customHeight="1">
      <c r="A228" s="49"/>
      <c r="B228" s="118" t="s">
        <v>2570</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3659</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3660</v>
      </c>
      <c r="D232" s="40"/>
      <c r="E232" s="40"/>
      <c r="F232" s="40"/>
      <c r="L232" s="685" t="str">
        <f>IF(OR($O232=$M232,$O232=0,$O232=""),"","* * Check Score! * *")</f>
        <v/>
      </c>
      <c r="M232" s="7">
        <v>3</v>
      </c>
      <c r="N232" s="654" t="s">
        <v>2693</v>
      </c>
      <c r="O232" s="1766">
        <v>3</v>
      </c>
      <c r="P232" s="621"/>
      <c r="Q232" s="507" t="s">
        <v>3629</v>
      </c>
      <c r="R232" s="130"/>
    </row>
    <row r="233" spans="1:18" s="50" customFormat="1" ht="33" customHeight="1">
      <c r="A233" s="171"/>
      <c r="B233" s="1159" t="s">
        <v>3710</v>
      </c>
      <c r="C233" s="1159"/>
      <c r="D233" s="1159"/>
      <c r="E233" s="1159"/>
      <c r="F233" s="1159"/>
      <c r="G233" s="1159"/>
      <c r="H233" s="1159"/>
      <c r="I233" s="1159"/>
      <c r="J233" s="1159"/>
      <c r="K233" s="1159"/>
      <c r="L233" s="1159"/>
      <c r="M233" s="490"/>
      <c r="N233" s="490"/>
      <c r="O233" s="1767" t="s">
        <v>4103</v>
      </c>
      <c r="P233" s="622"/>
      <c r="Q233" s="130"/>
      <c r="R233" s="490"/>
    </row>
    <row r="234" spans="1:18" s="50" customFormat="1" ht="12" customHeight="1">
      <c r="A234" s="171" t="s">
        <v>2696</v>
      </c>
      <c r="B234" s="213" t="s">
        <v>3661</v>
      </c>
      <c r="D234" s="813"/>
      <c r="F234" s="38"/>
      <c r="G234" s="123"/>
      <c r="H234" s="72"/>
      <c r="K234" s="123"/>
      <c r="L234" s="685" t="str">
        <f>IF(OR($O234=$M234,$O234=0,$O234=""),"","* * Check Score! * *")</f>
        <v/>
      </c>
      <c r="M234" s="7">
        <v>3</v>
      </c>
      <c r="N234" s="654" t="s">
        <v>2696</v>
      </c>
      <c r="O234" s="1737"/>
      <c r="P234" s="671"/>
      <c r="Q234" s="507" t="s">
        <v>3629</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9"/>
      <c r="B236" s="1610"/>
      <c r="C236" s="1610"/>
      <c r="D236" s="1610"/>
      <c r="E236" s="1610"/>
      <c r="F236" s="1610"/>
      <c r="G236" s="1610"/>
      <c r="H236" s="1610"/>
      <c r="I236" s="1610"/>
      <c r="J236" s="1610"/>
      <c r="K236" s="1610"/>
      <c r="L236" s="1610"/>
      <c r="M236" s="1610"/>
      <c r="N236" s="1610"/>
      <c r="O236" s="1610"/>
      <c r="P236" s="1611"/>
      <c r="Q236" s="614" t="s">
        <v>1677</v>
      </c>
    </row>
    <row r="237" spans="1:18" s="50" customFormat="1" ht="12" customHeight="1">
      <c r="B237" s="103" t="s">
        <v>2570</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3662</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2693</v>
      </c>
      <c r="C241" s="1093" t="s">
        <v>3711</v>
      </c>
      <c r="D241" s="1093"/>
      <c r="E241" s="1093"/>
      <c r="F241" s="1093"/>
      <c r="G241" s="1093"/>
      <c r="H241" s="1093"/>
      <c r="I241" s="1093"/>
      <c r="J241" s="1093"/>
      <c r="K241" s="1093"/>
      <c r="L241" s="1093"/>
      <c r="M241" s="545">
        <v>3</v>
      </c>
      <c r="N241" s="199" t="s">
        <v>2693</v>
      </c>
      <c r="O241" s="1766">
        <v>0</v>
      </c>
      <c r="P241" s="621"/>
      <c r="Q241" s="221" t="s">
        <v>3629</v>
      </c>
    </row>
    <row r="242" spans="1:17" s="544" customFormat="1" ht="22.5" customHeight="1">
      <c r="A242" s="592" t="s">
        <v>1788</v>
      </c>
      <c r="B242" s="603" t="s">
        <v>2696</v>
      </c>
      <c r="C242" s="1093" t="s">
        <v>3757</v>
      </c>
      <c r="D242" s="1093"/>
      <c r="E242" s="1093"/>
      <c r="F242" s="1093"/>
      <c r="G242" s="1093"/>
      <c r="H242" s="1093"/>
      <c r="I242" s="1093"/>
      <c r="J242" s="1093"/>
      <c r="K242" s="1093"/>
      <c r="L242" s="1093"/>
      <c r="M242" s="545">
        <v>1</v>
      </c>
      <c r="N242" s="199" t="s">
        <v>2696</v>
      </c>
      <c r="O242" s="1767">
        <v>0</v>
      </c>
      <c r="P242" s="622"/>
      <c r="Q242" s="221" t="s">
        <v>3629</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9"/>
      <c r="B244" s="1610"/>
      <c r="C244" s="1610"/>
      <c r="D244" s="1610"/>
      <c r="E244" s="1610"/>
      <c r="F244" s="1610"/>
      <c r="G244" s="1610"/>
      <c r="H244" s="1610"/>
      <c r="I244" s="1610"/>
      <c r="J244" s="1610"/>
      <c r="K244" s="1610"/>
      <c r="L244" s="1610"/>
      <c r="M244" s="1610"/>
      <c r="N244" s="1610"/>
      <c r="O244" s="1610"/>
      <c r="P244" s="1611"/>
      <c r="Q244" s="614" t="s">
        <v>1677</v>
      </c>
    </row>
    <row r="245" spans="1:17" s="50" customFormat="1" ht="12" customHeight="1">
      <c r="B245" s="103" t="s">
        <v>2570</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3444</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2693</v>
      </c>
      <c r="B249" s="213" t="s">
        <v>3445</v>
      </c>
      <c r="D249" s="1123" t="s">
        <v>3738</v>
      </c>
      <c r="E249" s="1123"/>
      <c r="F249" s="1123"/>
      <c r="G249" s="1123"/>
      <c r="H249" s="1123"/>
      <c r="I249" s="1123"/>
      <c r="J249" s="1123"/>
      <c r="K249" s="1123"/>
      <c r="L249" s="1123"/>
      <c r="M249" s="88">
        <v>6</v>
      </c>
      <c r="N249" s="78" t="s">
        <v>2693</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2697</v>
      </c>
      <c r="C250" s="161" t="s">
        <v>3446</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3586</v>
      </c>
      <c r="D251" s="510"/>
      <c r="E251" s="510"/>
      <c r="F251" s="510"/>
      <c r="G251" s="510"/>
      <c r="H251" s="510"/>
      <c r="I251" s="510"/>
      <c r="J251" s="811"/>
      <c r="K251" s="811"/>
      <c r="L251" s="811"/>
      <c r="M251" s="595"/>
      <c r="O251" s="1711"/>
      <c r="P251" s="84"/>
    </row>
    <row r="252" spans="1:17" s="544" customFormat="1" ht="12" customHeight="1">
      <c r="A252" s="594" t="s">
        <v>1788</v>
      </c>
      <c r="B252" s="603" t="s">
        <v>2699</v>
      </c>
      <c r="C252" s="161" t="s">
        <v>2354</v>
      </c>
      <c r="D252" s="510"/>
      <c r="E252" s="510"/>
      <c r="M252" s="595">
        <v>4</v>
      </c>
      <c r="N252" s="225" t="s">
        <v>2699</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3712</v>
      </c>
      <c r="D253" s="1093"/>
      <c r="E253" s="1093"/>
      <c r="F253" s="1093"/>
      <c r="G253" s="1093"/>
      <c r="H253" s="1093"/>
      <c r="I253" s="1093"/>
      <c r="J253" s="1093"/>
      <c r="K253" s="1093"/>
      <c r="L253" s="1093"/>
      <c r="M253" s="595"/>
      <c r="N253" s="545"/>
      <c r="O253" s="1768"/>
      <c r="P253" s="593"/>
    </row>
    <row r="254" spans="1:17" s="544" customFormat="1" ht="12" customHeight="1">
      <c r="A254" s="594" t="s">
        <v>1788</v>
      </c>
      <c r="B254" s="603" t="s">
        <v>3321</v>
      </c>
      <c r="C254" s="161" t="s">
        <v>2353</v>
      </c>
      <c r="D254" s="510"/>
      <c r="E254" s="510"/>
      <c r="F254" s="686"/>
      <c r="G254" s="686"/>
      <c r="H254" s="686"/>
      <c r="I254" s="686"/>
      <c r="J254" s="686"/>
      <c r="K254" s="686"/>
      <c r="L254" s="686"/>
      <c r="M254" s="595">
        <v>3</v>
      </c>
      <c r="N254" s="225" t="s">
        <v>3321</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3200</v>
      </c>
      <c r="C255" s="1074" t="s">
        <v>3587</v>
      </c>
      <c r="D255" s="1074"/>
      <c r="E255" s="1074"/>
      <c r="F255" s="1074"/>
      <c r="G255" s="1074"/>
      <c r="H255" s="1074"/>
      <c r="I255" s="1074"/>
      <c r="J255" s="1074"/>
      <c r="K255" s="1074"/>
      <c r="L255" s="1074"/>
      <c r="M255" s="545"/>
      <c r="N255" s="506" t="s">
        <v>3200</v>
      </c>
      <c r="O255" s="1769"/>
      <c r="P255" s="618"/>
    </row>
    <row r="256" spans="1:17" s="544" customFormat="1" ht="21.75" customHeight="1">
      <c r="A256" s="543"/>
      <c r="B256" s="506" t="s">
        <v>3201</v>
      </c>
      <c r="C256" s="1093" t="s">
        <v>3713</v>
      </c>
      <c r="D256" s="1093"/>
      <c r="E256" s="1093"/>
      <c r="F256" s="1093"/>
      <c r="G256" s="1093"/>
      <c r="H256" s="1093"/>
      <c r="I256" s="1093"/>
      <c r="J256" s="1093"/>
      <c r="K256" s="1093"/>
      <c r="L256" s="1093"/>
      <c r="M256" s="545"/>
      <c r="N256" s="506" t="s">
        <v>3201</v>
      </c>
      <c r="O256" s="1770"/>
      <c r="P256" s="619"/>
    </row>
    <row r="257" spans="1:18" s="544" customFormat="1" ht="21.75" customHeight="1">
      <c r="A257" s="543"/>
      <c r="B257" s="506" t="s">
        <v>3202</v>
      </c>
      <c r="C257" s="1093" t="s">
        <v>3461</v>
      </c>
      <c r="D257" s="1093"/>
      <c r="E257" s="1093"/>
      <c r="F257" s="1093"/>
      <c r="G257" s="1093"/>
      <c r="H257" s="1093"/>
      <c r="I257" s="1093"/>
      <c r="J257" s="1093"/>
      <c r="K257" s="1093"/>
      <c r="L257" s="1093"/>
      <c r="M257" s="545"/>
      <c r="N257" s="506" t="s">
        <v>3202</v>
      </c>
      <c r="O257" s="1770"/>
      <c r="P257" s="619"/>
    </row>
    <row r="258" spans="1:18" s="544" customFormat="1" ht="21.75" customHeight="1">
      <c r="A258" s="543"/>
      <c r="B258" s="680" t="s">
        <v>3203</v>
      </c>
      <c r="C258" s="1093" t="s">
        <v>3447</v>
      </c>
      <c r="D258" s="1093"/>
      <c r="E258" s="1093"/>
      <c r="F258" s="1093"/>
      <c r="G258" s="1093"/>
      <c r="H258" s="1093"/>
      <c r="I258" s="1093"/>
      <c r="J258" s="1093"/>
      <c r="K258" s="1093"/>
      <c r="L258" s="1093"/>
      <c r="M258" s="545"/>
      <c r="N258" s="680" t="s">
        <v>3203</v>
      </c>
      <c r="O258" s="1771"/>
      <c r="P258" s="620"/>
    </row>
    <row r="259" spans="1:18" ht="13.5" customHeight="1">
      <c r="A259" s="171" t="s">
        <v>2696</v>
      </c>
      <c r="B259" s="213" t="s">
        <v>3448</v>
      </c>
      <c r="D259" s="692"/>
      <c r="E259" s="50"/>
      <c r="F259" s="40"/>
      <c r="G259" s="140"/>
      <c r="H259" s="40"/>
      <c r="I259" s="40"/>
      <c r="J259" s="40"/>
      <c r="K259" s="40"/>
      <c r="L259" s="40"/>
      <c r="M259" s="674">
        <v>14</v>
      </c>
      <c r="N259" s="654" t="s">
        <v>2696</v>
      </c>
      <c r="O259" s="114">
        <f>MIN($M259,O260+O263+O264+O267+O270+O271)</f>
        <v>0</v>
      </c>
      <c r="P259" s="114">
        <f>MIN($M259,P260+P263+P264+P267+P270+P271)</f>
        <v>0</v>
      </c>
      <c r="R259" s="544"/>
    </row>
    <row r="260" spans="1:18" s="121" customFormat="1" ht="12.75" customHeight="1">
      <c r="B260" s="483" t="s">
        <v>2697</v>
      </c>
      <c r="C260" s="604" t="s">
        <v>3714</v>
      </c>
      <c r="L260" s="490"/>
      <c r="M260" s="8">
        <v>4</v>
      </c>
      <c r="N260" s="225" t="s">
        <v>2697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3200</v>
      </c>
      <c r="C261" s="1093" t="s">
        <v>3450</v>
      </c>
      <c r="D261" s="1093"/>
      <c r="E261" s="1093"/>
      <c r="F261" s="1093"/>
      <c r="G261" s="1093"/>
      <c r="H261" s="1093"/>
      <c r="I261" s="1093"/>
      <c r="J261" s="1093"/>
      <c r="K261" s="1093"/>
      <c r="L261" s="1093"/>
      <c r="M261" s="545">
        <v>4</v>
      </c>
      <c r="N261" s="506" t="s">
        <v>3200</v>
      </c>
      <c r="O261" s="1769"/>
      <c r="P261" s="618"/>
      <c r="Q261" s="221" t="s">
        <v>3629</v>
      </c>
    </row>
    <row r="262" spans="1:18" s="544" customFormat="1" ht="34.5" customHeight="1">
      <c r="A262" s="199" t="s">
        <v>3462</v>
      </c>
      <c r="B262" s="506" t="s">
        <v>3201</v>
      </c>
      <c r="C262" s="1093" t="s">
        <v>3715</v>
      </c>
      <c r="D262" s="1093"/>
      <c r="E262" s="1093"/>
      <c r="F262" s="1093"/>
      <c r="G262" s="1093"/>
      <c r="H262" s="1093"/>
      <c r="I262" s="1093"/>
      <c r="J262" s="1093"/>
      <c r="K262" s="1093"/>
      <c r="L262" s="1093"/>
      <c r="M262" s="545">
        <v>2</v>
      </c>
      <c r="N262" s="506" t="s">
        <v>3201</v>
      </c>
      <c r="O262" s="1771"/>
      <c r="P262" s="620"/>
      <c r="Q262" s="221" t="s">
        <v>3629</v>
      </c>
    </row>
    <row r="263" spans="1:18" s="121" customFormat="1" ht="12" customHeight="1">
      <c r="B263" s="483" t="s">
        <v>2699</v>
      </c>
      <c r="C263" s="604" t="s">
        <v>3449</v>
      </c>
      <c r="L263" s="490" t="str">
        <f>IF(OR($O263=$M263,$O263=0,$O263=""),"","* * Check Score! * *")</f>
        <v/>
      </c>
      <c r="M263" s="8">
        <v>1</v>
      </c>
      <c r="N263" s="225" t="s">
        <v>2699</v>
      </c>
      <c r="O263" s="1737"/>
      <c r="P263" s="671"/>
      <c r="Q263" s="221" t="s">
        <v>3629</v>
      </c>
    </row>
    <row r="264" spans="1:18" s="121" customFormat="1" ht="12" customHeight="1">
      <c r="B264" s="483" t="s">
        <v>3321</v>
      </c>
      <c r="C264" s="604" t="s">
        <v>3451</v>
      </c>
      <c r="L264" s="490" t="str">
        <f>IF(OR($O264&lt;=$M264,$O264=0,$O264=""),"","* * Check Score! * *")</f>
        <v/>
      </c>
      <c r="M264" s="8">
        <v>2</v>
      </c>
      <c r="N264" s="225" t="s">
        <v>3321</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3200</v>
      </c>
      <c r="C265" s="1093" t="s">
        <v>3453</v>
      </c>
      <c r="D265" s="1093"/>
      <c r="E265" s="1093"/>
      <c r="F265" s="1093"/>
      <c r="G265" s="1093"/>
      <c r="H265" s="1093"/>
      <c r="I265" s="1093"/>
      <c r="J265" s="1093"/>
      <c r="K265" s="1093"/>
      <c r="L265" s="1093"/>
      <c r="M265" s="545">
        <v>2</v>
      </c>
      <c r="N265" s="506" t="s">
        <v>3200</v>
      </c>
      <c r="O265" s="1766"/>
      <c r="P265" s="621"/>
      <c r="Q265" s="221" t="s">
        <v>3629</v>
      </c>
    </row>
    <row r="266" spans="1:18" s="544" customFormat="1" ht="12" customHeight="1">
      <c r="A266" s="199" t="s">
        <v>3462</v>
      </c>
      <c r="B266" s="506" t="s">
        <v>3201</v>
      </c>
      <c r="C266" s="1093" t="s">
        <v>3452</v>
      </c>
      <c r="D266" s="1093"/>
      <c r="E266" s="1093"/>
      <c r="F266" s="1093"/>
      <c r="G266" s="1093"/>
      <c r="H266" s="1093"/>
      <c r="I266" s="1093"/>
      <c r="J266" s="1093"/>
      <c r="K266" s="1093"/>
      <c r="L266" s="1093"/>
      <c r="M266" s="545">
        <v>1</v>
      </c>
      <c r="N266" s="506" t="s">
        <v>3201</v>
      </c>
      <c r="O266" s="1767"/>
      <c r="P266" s="622"/>
      <c r="Q266" s="221" t="s">
        <v>3629</v>
      </c>
    </row>
    <row r="267" spans="1:18" s="121" customFormat="1" ht="12" customHeight="1">
      <c r="B267" s="483" t="s">
        <v>1645</v>
      </c>
      <c r="C267" s="604" t="s">
        <v>3454</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3200</v>
      </c>
      <c r="C268" s="1093" t="s">
        <v>3716</v>
      </c>
      <c r="D268" s="1093"/>
      <c r="E268" s="1093"/>
      <c r="F268" s="1093"/>
      <c r="G268" s="1093"/>
      <c r="H268" s="1093"/>
      <c r="I268" s="1093"/>
      <c r="J268" s="1093"/>
      <c r="K268" s="1093"/>
      <c r="L268" s="1093"/>
      <c r="M268" s="545">
        <v>3</v>
      </c>
      <c r="N268" s="506" t="s">
        <v>3200</v>
      </c>
      <c r="O268" s="1766"/>
      <c r="P268" s="621"/>
      <c r="Q268" s="221" t="s">
        <v>3629</v>
      </c>
    </row>
    <row r="269" spans="1:18" s="544" customFormat="1" ht="12" customHeight="1">
      <c r="A269" s="199" t="s">
        <v>3462</v>
      </c>
      <c r="B269" s="506" t="s">
        <v>3201</v>
      </c>
      <c r="C269" s="1093" t="s">
        <v>3717</v>
      </c>
      <c r="D269" s="1093"/>
      <c r="E269" s="1093"/>
      <c r="F269" s="1093"/>
      <c r="G269" s="1093"/>
      <c r="H269" s="1093"/>
      <c r="I269" s="1093"/>
      <c r="J269" s="1093"/>
      <c r="K269" s="1093"/>
      <c r="L269" s="1093"/>
      <c r="M269" s="545">
        <v>2</v>
      </c>
      <c r="N269" s="506" t="s">
        <v>3201</v>
      </c>
      <c r="O269" s="1767"/>
      <c r="P269" s="622"/>
      <c r="Q269" s="221" t="s">
        <v>3629</v>
      </c>
    </row>
    <row r="270" spans="1:18" s="121" customFormat="1" ht="12" customHeight="1">
      <c r="B270" s="483" t="s">
        <v>1646</v>
      </c>
      <c r="C270" s="604" t="s">
        <v>3455</v>
      </c>
      <c r="F270" s="578" t="s">
        <v>3456</v>
      </c>
      <c r="J270" s="1157">
        <f>'Part IV-Uses of Funds'!$B$43/'Part IV-Uses of Funds'!$G$129</f>
        <v>0.65027292636897138</v>
      </c>
      <c r="K270" s="1158"/>
      <c r="L270" s="490"/>
      <c r="M270" s="8">
        <v>2</v>
      </c>
      <c r="N270" s="225" t="s">
        <v>1646</v>
      </c>
      <c r="O270" s="1711"/>
      <c r="P270" s="84"/>
      <c r="Q270" s="221" t="s">
        <v>3629</v>
      </c>
    </row>
    <row r="271" spans="1:18" s="121" customFormat="1" ht="12" customHeight="1">
      <c r="B271" s="483" t="s">
        <v>2588</v>
      </c>
      <c r="C271" s="604" t="s">
        <v>3718</v>
      </c>
      <c r="F271" s="578"/>
      <c r="L271" s="490"/>
      <c r="M271" s="8">
        <v>3</v>
      </c>
      <c r="N271" s="225" t="s">
        <v>2588</v>
      </c>
      <c r="O271" s="1711"/>
      <c r="P271" s="84"/>
      <c r="Q271" s="221" t="s">
        <v>3629</v>
      </c>
    </row>
    <row r="272" spans="1:18" s="50" customFormat="1" ht="12" customHeight="1">
      <c r="A272" s="171"/>
      <c r="B272" s="506"/>
      <c r="C272" s="1118" t="s">
        <v>3719</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9"/>
      <c r="B275" s="1610"/>
      <c r="C275" s="1610"/>
      <c r="D275" s="1610"/>
      <c r="E275" s="1610"/>
      <c r="F275" s="1610"/>
      <c r="G275" s="1610"/>
      <c r="H275" s="1610"/>
      <c r="I275" s="1610"/>
      <c r="J275" s="1610"/>
      <c r="K275" s="1610"/>
      <c r="L275" s="1610"/>
      <c r="M275" s="1610"/>
      <c r="N275" s="1610"/>
      <c r="O275" s="1610"/>
      <c r="P275" s="1611"/>
      <c r="Q275" s="614" t="s">
        <v>1677</v>
      </c>
    </row>
    <row r="276" spans="1:18" s="50" customFormat="1" ht="11.25" customHeight="1">
      <c r="A276" s="49"/>
      <c r="B276" s="103" t="s">
        <v>2570</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3334</v>
      </c>
      <c r="M280" s="49"/>
      <c r="N280" s="49"/>
      <c r="O280" s="1605" t="s">
        <v>4061</v>
      </c>
      <c r="P280" s="210"/>
    </row>
    <row r="281" spans="1:18" ht="12.6" customHeight="1">
      <c r="A281" s="171" t="s">
        <v>2693</v>
      </c>
      <c r="B281" s="229" t="s">
        <v>1881</v>
      </c>
      <c r="D281" s="40"/>
      <c r="E281" s="40"/>
      <c r="F281" s="40"/>
      <c r="G281" s="40"/>
      <c r="H281" s="40"/>
      <c r="I281" s="40"/>
      <c r="J281" s="40"/>
      <c r="K281" s="40"/>
      <c r="L281" s="40"/>
      <c r="M281" s="139"/>
      <c r="N281" s="654" t="s">
        <v>2693</v>
      </c>
      <c r="O281" s="1772">
        <v>10</v>
      </c>
      <c r="P281" s="508"/>
      <c r="Q281" s="221" t="s">
        <v>3629</v>
      </c>
    </row>
    <row r="282" spans="1:18" ht="12.6" customHeight="1">
      <c r="A282" s="171" t="s">
        <v>2696</v>
      </c>
      <c r="B282" s="229" t="s">
        <v>291</v>
      </c>
      <c r="D282" s="40"/>
      <c r="E282" s="40"/>
      <c r="F282" s="40"/>
      <c r="G282" s="813"/>
      <c r="H282" s="813"/>
      <c r="I282" s="813"/>
      <c r="J282" s="813"/>
      <c r="K282" s="813"/>
      <c r="M282" s="123"/>
      <c r="N282" s="654" t="s">
        <v>2696</v>
      </c>
      <c r="O282" s="1605" t="s">
        <v>4139</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9"/>
      <c r="B284" s="1610"/>
      <c r="C284" s="1610"/>
      <c r="D284" s="1610"/>
      <c r="E284" s="1610"/>
      <c r="F284" s="1610"/>
      <c r="G284" s="1610"/>
      <c r="H284" s="1610"/>
      <c r="I284" s="1610"/>
      <c r="J284" s="1610"/>
      <c r="K284" s="1610"/>
      <c r="L284" s="1610"/>
      <c r="M284" s="1610"/>
      <c r="N284" s="1610"/>
      <c r="O284" s="1610"/>
      <c r="P284" s="1611"/>
      <c r="Q284" s="614" t="s">
        <v>1677</v>
      </c>
      <c r="R284" s="615"/>
    </row>
    <row r="285" spans="1:18" s="123" customFormat="1" ht="11.25" customHeight="1">
      <c r="A285" s="79"/>
      <c r="B285" s="79" t="s">
        <v>2570</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3543</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53</v>
      </c>
      <c r="P288" s="194">
        <f>P8+P30+P38+P47+P56+P63+P86+P121+P136+P148+P156+P164+P169+P180+P220+P231+P240+P248+P279</f>
        <v>13</v>
      </c>
    </row>
    <row r="289" spans="1:19" s="49" customFormat="1" ht="13.5" customHeight="1">
      <c r="A289" s="63"/>
      <c r="B289" s="80"/>
      <c r="C289" s="63"/>
      <c r="D289" s="43"/>
      <c r="E289" s="43"/>
      <c r="F289" s="82"/>
      <c r="G289" s="82"/>
      <c r="H289" s="213" t="s">
        <v>3573</v>
      </c>
      <c r="I289" s="81"/>
      <c r="J289" s="81"/>
      <c r="K289" s="81"/>
      <c r="L289" s="50"/>
      <c r="M289" s="43"/>
      <c r="N289" s="2"/>
      <c r="O289" s="651">
        <f>O288-O248</f>
        <v>53</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2803</v>
      </c>
      <c r="D296" s="695"/>
      <c r="E296" s="695"/>
      <c r="F296" s="695"/>
      <c r="G296" s="695"/>
      <c r="H296" s="695"/>
      <c r="I296" s="695"/>
      <c r="J296" s="695" t="s">
        <v>2466</v>
      </c>
      <c r="K296" s="695"/>
      <c r="L296" s="695"/>
      <c r="M296" s="196"/>
      <c r="N296" s="148"/>
      <c r="Q296" s="138"/>
      <c r="R296" s="138"/>
      <c r="S296" s="138"/>
    </row>
    <row r="297" spans="1:19" ht="15">
      <c r="A297" s="196"/>
      <c r="B297" s="196"/>
      <c r="C297" s="624" t="s">
        <v>3340</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2330</v>
      </c>
      <c r="K298" s="624"/>
      <c r="L298" s="695"/>
      <c r="M298" s="196"/>
      <c r="N298" s="148"/>
      <c r="Q298" s="138"/>
      <c r="R298" s="138"/>
      <c r="S298" s="138"/>
    </row>
    <row r="299" spans="1:19" ht="15">
      <c r="A299" s="196"/>
      <c r="B299" s="196"/>
      <c r="C299" s="624" t="s">
        <v>2805</v>
      </c>
      <c r="D299" s="624"/>
      <c r="E299" s="624"/>
      <c r="F299" s="624"/>
      <c r="G299" s="624"/>
      <c r="H299" s="624"/>
      <c r="I299" s="624"/>
      <c r="J299" s="696" t="s">
        <v>2331</v>
      </c>
      <c r="K299" s="624"/>
      <c r="L299" s="695"/>
      <c r="M299" s="196"/>
      <c r="N299" s="148"/>
      <c r="Q299" s="138"/>
      <c r="R299" s="138"/>
      <c r="S299" s="138"/>
    </row>
    <row r="300" spans="1:19" ht="15">
      <c r="A300" s="196"/>
      <c r="B300" s="196"/>
      <c r="C300" s="697" t="s">
        <v>2806</v>
      </c>
      <c r="D300" s="624"/>
      <c r="E300" s="624"/>
      <c r="F300" s="624"/>
      <c r="G300" s="624"/>
      <c r="H300" s="624"/>
      <c r="I300" s="624"/>
      <c r="J300" s="696" t="s">
        <v>3285</v>
      </c>
      <c r="K300" s="624"/>
      <c r="L300" s="695"/>
      <c r="M300" s="196"/>
      <c r="N300" s="148"/>
      <c r="Q300" s="138"/>
      <c r="R300" s="138"/>
      <c r="S300" s="138"/>
    </row>
    <row r="301" spans="1:19" ht="15">
      <c r="A301" s="196"/>
      <c r="B301" s="196"/>
      <c r="C301" s="697" t="s">
        <v>2807</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2847</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2842</v>
      </c>
      <c r="D309" s="624"/>
      <c r="E309" s="624"/>
      <c r="F309" s="624"/>
      <c r="G309" s="624"/>
      <c r="H309" s="624"/>
      <c r="I309" s="624"/>
      <c r="J309" s="696" t="s">
        <v>2339</v>
      </c>
      <c r="K309" s="624"/>
      <c r="L309" s="695"/>
      <c r="M309" s="196"/>
      <c r="N309" s="148"/>
      <c r="Q309" s="138"/>
      <c r="R309" s="138"/>
      <c r="S309" s="138"/>
    </row>
    <row r="310" spans="1:19" ht="15">
      <c r="A310" s="196"/>
      <c r="B310" s="196"/>
      <c r="C310" s="698" t="s">
        <v>2843</v>
      </c>
      <c r="D310" s="624"/>
      <c r="E310" s="624"/>
      <c r="F310" s="624"/>
      <c r="G310" s="624"/>
      <c r="H310" s="624"/>
      <c r="I310" s="624"/>
      <c r="J310" s="696" t="s">
        <v>2340</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3008</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3164</v>
      </c>
      <c r="D318" s="695"/>
      <c r="E318" s="695"/>
      <c r="F318" s="695"/>
      <c r="G318" s="702" t="s">
        <v>1955</v>
      </c>
      <c r="H318" s="702" t="s">
        <v>1956</v>
      </c>
      <c r="I318" s="702" t="s">
        <v>1957</v>
      </c>
      <c r="J318" s="695"/>
      <c r="K318" s="695"/>
      <c r="L318" s="695"/>
      <c r="M318" s="196"/>
      <c r="N318" s="148"/>
    </row>
    <row r="319" spans="1:19" ht="38.25">
      <c r="A319" s="196"/>
      <c r="B319" s="196"/>
      <c r="C319" s="703" t="s">
        <v>3720</v>
      </c>
      <c r="D319" s="695"/>
      <c r="E319" s="695"/>
      <c r="F319" s="695"/>
      <c r="G319" s="704" t="s">
        <v>3307</v>
      </c>
      <c r="H319" s="704" t="s">
        <v>3308</v>
      </c>
      <c r="I319" s="704" t="s">
        <v>1607</v>
      </c>
      <c r="J319" s="695"/>
      <c r="K319" s="695"/>
      <c r="L319" s="695"/>
      <c r="M319" s="196"/>
      <c r="N319" s="148"/>
    </row>
    <row r="320" spans="1:19" ht="25.5">
      <c r="A320" s="196"/>
      <c r="B320" s="196"/>
      <c r="C320" s="703" t="s">
        <v>3725</v>
      </c>
      <c r="D320" s="695"/>
      <c r="E320" s="695"/>
      <c r="F320" s="695"/>
      <c r="G320" s="704" t="s">
        <v>2239</v>
      </c>
      <c r="H320" s="705" t="s">
        <v>1407</v>
      </c>
      <c r="I320" s="705" t="s">
        <v>1751</v>
      </c>
      <c r="J320" s="695"/>
      <c r="K320" s="695"/>
      <c r="L320" s="695"/>
      <c r="M320" s="196"/>
      <c r="N320" s="148"/>
    </row>
    <row r="321" spans="1:14">
      <c r="A321" s="196"/>
      <c r="B321" s="196"/>
      <c r="C321" s="703" t="s">
        <v>3722</v>
      </c>
      <c r="D321" s="695"/>
      <c r="E321" s="695"/>
      <c r="F321" s="695"/>
      <c r="G321" s="704" t="s">
        <v>2785</v>
      </c>
      <c r="H321" s="705" t="s">
        <v>1766</v>
      </c>
      <c r="I321" s="705" t="s">
        <v>1763</v>
      </c>
      <c r="J321" s="695"/>
      <c r="K321" s="695"/>
      <c r="L321" s="695"/>
      <c r="M321" s="196"/>
      <c r="N321" s="148"/>
    </row>
    <row r="322" spans="1:14">
      <c r="A322" s="196"/>
      <c r="B322" s="196"/>
      <c r="C322" s="703" t="s">
        <v>3726</v>
      </c>
      <c r="D322" s="695"/>
      <c r="E322" s="695"/>
      <c r="F322" s="695"/>
      <c r="G322" s="704" t="s">
        <v>2240</v>
      </c>
      <c r="H322" s="705" t="s">
        <v>3327</v>
      </c>
      <c r="I322" s="705" t="s">
        <v>1766</v>
      </c>
      <c r="J322" s="695"/>
      <c r="K322" s="695"/>
      <c r="L322" s="695"/>
      <c r="M322" s="196"/>
      <c r="N322" s="148"/>
    </row>
    <row r="323" spans="1:14" ht="25.5">
      <c r="A323" s="196"/>
      <c r="B323" s="196"/>
      <c r="C323" s="703" t="s">
        <v>3727</v>
      </c>
      <c r="D323" s="695"/>
      <c r="E323" s="695"/>
      <c r="F323" s="695"/>
      <c r="G323" s="704" t="s">
        <v>12</v>
      </c>
      <c r="H323" s="705" t="s">
        <v>3328</v>
      </c>
      <c r="I323" s="705" t="s">
        <v>3261</v>
      </c>
      <c r="J323" s="695"/>
      <c r="K323" s="695"/>
      <c r="L323" s="695"/>
      <c r="M323" s="196"/>
      <c r="N323" s="148"/>
    </row>
    <row r="324" spans="1:14">
      <c r="A324" s="196"/>
      <c r="B324" s="196"/>
      <c r="C324" s="703" t="s">
        <v>3723</v>
      </c>
      <c r="D324" s="695"/>
      <c r="E324" s="695"/>
      <c r="F324" s="695"/>
      <c r="G324" s="704" t="s">
        <v>1766</v>
      </c>
      <c r="H324" s="705" t="s">
        <v>2637</v>
      </c>
      <c r="I324" s="705" t="s">
        <v>3267</v>
      </c>
      <c r="J324" s="695"/>
      <c r="K324" s="695"/>
      <c r="L324" s="695"/>
      <c r="M324" s="196"/>
      <c r="N324" s="148"/>
    </row>
    <row r="325" spans="1:14">
      <c r="A325" s="196"/>
      <c r="B325" s="196"/>
      <c r="C325" s="703" t="s">
        <v>3628</v>
      </c>
      <c r="D325" s="695"/>
      <c r="E325" s="695"/>
      <c r="F325" s="695"/>
      <c r="G325" s="704" t="s">
        <v>1958</v>
      </c>
      <c r="H325" s="705" t="s">
        <v>3005</v>
      </c>
      <c r="I325" s="705" t="s">
        <v>3269</v>
      </c>
      <c r="J325" s="695"/>
      <c r="K325" s="695"/>
      <c r="L325" s="695"/>
      <c r="M325" s="196"/>
      <c r="N325" s="148"/>
    </row>
    <row r="326" spans="1:14">
      <c r="A326" s="196"/>
      <c r="B326" s="196"/>
      <c r="C326" s="703" t="s">
        <v>3724</v>
      </c>
      <c r="D326" s="695"/>
      <c r="E326" s="695"/>
      <c r="F326" s="695"/>
      <c r="G326" s="704" t="s">
        <v>1425</v>
      </c>
      <c r="H326" s="705" t="s">
        <v>3329</v>
      </c>
      <c r="I326" s="705" t="s">
        <v>3316</v>
      </c>
      <c r="J326" s="695"/>
      <c r="K326" s="695"/>
      <c r="L326" s="695"/>
      <c r="M326" s="196"/>
      <c r="N326" s="148"/>
    </row>
    <row r="327" spans="1:14">
      <c r="A327" s="196"/>
      <c r="B327" s="196"/>
      <c r="C327" s="695"/>
      <c r="D327" s="695"/>
      <c r="E327" s="695"/>
      <c r="F327" s="695"/>
      <c r="G327" s="704" t="s">
        <v>3269</v>
      </c>
      <c r="H327" s="705" t="s">
        <v>845</v>
      </c>
      <c r="I327" s="705" t="s">
        <v>214</v>
      </c>
      <c r="J327" s="695"/>
      <c r="K327" s="695"/>
      <c r="L327" s="695"/>
      <c r="M327" s="196"/>
      <c r="N327" s="148"/>
    </row>
    <row r="328" spans="1:14">
      <c r="A328" s="196"/>
      <c r="B328" s="196"/>
      <c r="C328" s="695"/>
      <c r="D328" s="695"/>
      <c r="E328" s="695"/>
      <c r="F328" s="695"/>
      <c r="G328" s="704" t="s">
        <v>2772</v>
      </c>
      <c r="H328" s="705" t="s">
        <v>2327</v>
      </c>
      <c r="I328" s="705" t="s">
        <v>1350</v>
      </c>
      <c r="J328" s="695"/>
      <c r="K328" s="695"/>
      <c r="L328" s="695"/>
      <c r="M328" s="196"/>
      <c r="N328" s="148"/>
    </row>
    <row r="329" spans="1:14" ht="25.5">
      <c r="A329" s="196"/>
      <c r="B329" s="196"/>
      <c r="C329" s="695"/>
      <c r="D329" s="695"/>
      <c r="E329" s="695"/>
      <c r="F329" s="695"/>
      <c r="G329" s="704" t="s">
        <v>781</v>
      </c>
      <c r="H329" s="705" t="s">
        <v>3330</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2994</v>
      </c>
      <c r="I331" s="705" t="s">
        <v>1273</v>
      </c>
      <c r="J331" s="695"/>
      <c r="K331" s="695"/>
      <c r="L331" s="695"/>
      <c r="M331" s="196"/>
      <c r="N331" s="148"/>
    </row>
    <row r="332" spans="1:14">
      <c r="A332" s="196"/>
      <c r="B332" s="196"/>
      <c r="C332" s="695"/>
      <c r="D332" s="695"/>
      <c r="E332" s="695"/>
      <c r="F332" s="695"/>
      <c r="G332" s="704" t="s">
        <v>582</v>
      </c>
      <c r="H332" s="705" t="s">
        <v>2597</v>
      </c>
      <c r="I332" s="705" t="s">
        <v>850</v>
      </c>
      <c r="J332" s="695"/>
      <c r="K332" s="695"/>
      <c r="L332" s="695"/>
      <c r="M332" s="196"/>
      <c r="N332" s="148"/>
    </row>
    <row r="333" spans="1:14" ht="51">
      <c r="A333" s="196"/>
      <c r="B333" s="196"/>
      <c r="C333" s="695"/>
      <c r="D333" s="695"/>
      <c r="E333" s="695"/>
      <c r="F333" s="695"/>
      <c r="G333" s="704" t="s">
        <v>255</v>
      </c>
      <c r="H333" s="705" t="s">
        <v>3333</v>
      </c>
      <c r="I333" s="705" t="s">
        <v>855</v>
      </c>
      <c r="J333" s="695"/>
      <c r="K333" s="695"/>
      <c r="L333" s="695"/>
      <c r="M333" s="196"/>
      <c r="N333" s="148"/>
    </row>
    <row r="334" spans="1:14">
      <c r="A334" s="196"/>
      <c r="B334" s="196"/>
      <c r="C334" s="695"/>
      <c r="D334" s="695"/>
      <c r="E334" s="695"/>
      <c r="F334" s="695"/>
      <c r="G334" s="704" t="s">
        <v>1642</v>
      </c>
      <c r="H334" s="705" t="s">
        <v>3326</v>
      </c>
      <c r="I334" s="705" t="s">
        <v>344</v>
      </c>
      <c r="J334" s="695"/>
      <c r="K334" s="695"/>
      <c r="L334" s="695"/>
      <c r="M334" s="196"/>
      <c r="N334" s="148"/>
    </row>
    <row r="335" spans="1:14" ht="25.5">
      <c r="A335" s="196"/>
      <c r="B335" s="196"/>
      <c r="C335" s="695"/>
      <c r="D335" s="695"/>
      <c r="E335" s="695"/>
      <c r="F335" s="695"/>
      <c r="G335" s="704" t="s">
        <v>1644</v>
      </c>
      <c r="H335" s="705" t="s">
        <v>3331</v>
      </c>
      <c r="I335" s="705" t="s">
        <v>353</v>
      </c>
      <c r="J335" s="695"/>
      <c r="K335" s="695"/>
      <c r="L335" s="695"/>
      <c r="M335" s="196"/>
      <c r="N335" s="148"/>
    </row>
    <row r="336" spans="1:14" ht="25.5">
      <c r="A336" s="196"/>
      <c r="B336" s="196"/>
      <c r="C336" s="695"/>
      <c r="D336" s="695"/>
      <c r="E336" s="695"/>
      <c r="F336" s="695"/>
      <c r="G336" s="704" t="s">
        <v>2242</v>
      </c>
      <c r="H336" s="705" t="s">
        <v>3332</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2583</v>
      </c>
      <c r="J342" s="695"/>
      <c r="K342" s="695"/>
      <c r="L342" s="695"/>
      <c r="M342" s="196"/>
      <c r="N342" s="148"/>
    </row>
    <row r="343" spans="1:14">
      <c r="A343" s="196"/>
      <c r="B343" s="196"/>
      <c r="C343" s="695"/>
      <c r="D343" s="695"/>
      <c r="E343" s="695"/>
      <c r="F343" s="695"/>
      <c r="G343" s="704" t="s">
        <v>688</v>
      </c>
      <c r="H343" s="705"/>
      <c r="I343" s="705" t="s">
        <v>2585</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2809</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2836</v>
      </c>
      <c r="H347" s="705"/>
      <c r="I347" s="705" t="s">
        <v>1519</v>
      </c>
      <c r="J347" s="695"/>
      <c r="K347" s="695"/>
      <c r="L347" s="695"/>
      <c r="M347" s="196"/>
      <c r="N347" s="148"/>
    </row>
    <row r="348" spans="1:14">
      <c r="A348" s="196"/>
      <c r="B348" s="196"/>
      <c r="C348" s="695"/>
      <c r="D348" s="695"/>
      <c r="E348" s="695"/>
      <c r="F348" s="695"/>
      <c r="G348" s="704" t="s">
        <v>2880</v>
      </c>
      <c r="H348" s="705"/>
      <c r="I348" s="705" t="s">
        <v>2887</v>
      </c>
      <c r="J348" s="695"/>
      <c r="K348" s="695"/>
      <c r="L348" s="695"/>
      <c r="M348" s="196"/>
      <c r="N348" s="148"/>
    </row>
    <row r="349" spans="1:14">
      <c r="A349" s="196"/>
      <c r="B349" s="196"/>
      <c r="C349" s="695"/>
      <c r="D349" s="695"/>
      <c r="E349" s="695"/>
      <c r="F349" s="695"/>
      <c r="G349" s="704" t="s">
        <v>2994</v>
      </c>
      <c r="H349" s="705"/>
      <c r="I349" s="705" t="s">
        <v>2892</v>
      </c>
      <c r="J349" s="695"/>
      <c r="K349" s="695"/>
      <c r="L349" s="695"/>
      <c r="M349" s="196"/>
      <c r="N349" s="148"/>
    </row>
    <row r="350" spans="1:14" ht="51">
      <c r="A350" s="196"/>
      <c r="B350" s="196"/>
      <c r="C350" s="706"/>
      <c r="D350" s="695"/>
      <c r="E350" s="695"/>
      <c r="F350" s="695"/>
      <c r="G350" s="704" t="s">
        <v>2244</v>
      </c>
      <c r="H350" s="705"/>
      <c r="I350" s="705" t="s">
        <v>2894</v>
      </c>
      <c r="J350" s="695"/>
      <c r="K350" s="695"/>
      <c r="L350" s="695"/>
      <c r="M350" s="196"/>
      <c r="N350" s="148"/>
    </row>
    <row r="351" spans="1:14" ht="13.5">
      <c r="A351" s="196"/>
      <c r="B351" s="196"/>
      <c r="C351" s="706"/>
      <c r="D351" s="706"/>
      <c r="E351" s="695"/>
      <c r="F351" s="695"/>
      <c r="G351" s="704" t="s">
        <v>2984</v>
      </c>
      <c r="H351" s="626"/>
      <c r="I351" s="705" t="s">
        <v>2898</v>
      </c>
      <c r="J351" s="695"/>
      <c r="K351" s="695"/>
      <c r="L351" s="695"/>
      <c r="M351" s="196"/>
      <c r="N351" s="148"/>
    </row>
    <row r="352" spans="1:14" ht="13.5">
      <c r="A352" s="196"/>
      <c r="B352" s="196"/>
      <c r="C352" s="706"/>
      <c r="D352" s="706"/>
      <c r="E352" s="695"/>
      <c r="F352" s="695"/>
      <c r="G352" s="704" t="s">
        <v>2986</v>
      </c>
      <c r="H352" s="626"/>
      <c r="I352" s="705" t="s">
        <v>2902</v>
      </c>
      <c r="J352" s="695"/>
      <c r="K352" s="695"/>
      <c r="L352" s="695"/>
      <c r="M352" s="196"/>
      <c r="N352" s="148"/>
    </row>
    <row r="353" spans="1:14" ht="13.5">
      <c r="A353" s="196"/>
      <c r="B353" s="196"/>
      <c r="C353" s="706"/>
      <c r="D353" s="707"/>
      <c r="E353" s="695"/>
      <c r="F353" s="695"/>
      <c r="G353" s="704" t="s">
        <v>2841</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3064</v>
      </c>
      <c r="H355" s="695"/>
      <c r="I355" s="705" t="s">
        <v>2627</v>
      </c>
      <c r="J355" s="695"/>
      <c r="K355" s="695"/>
      <c r="L355" s="695"/>
      <c r="M355" s="196"/>
      <c r="N355" s="148"/>
    </row>
    <row r="356" spans="1:14">
      <c r="A356" s="196"/>
      <c r="B356" s="196"/>
      <c r="C356" s="706"/>
      <c r="D356" s="695"/>
      <c r="E356" s="695"/>
      <c r="F356" s="695"/>
      <c r="G356" s="704" t="s">
        <v>2987</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3155</v>
      </c>
      <c r="J358" s="695"/>
      <c r="K358" s="695"/>
      <c r="L358" s="695"/>
      <c r="M358" s="196"/>
      <c r="N358" s="148"/>
    </row>
    <row r="359" spans="1:14" ht="13.5">
      <c r="A359" s="196"/>
      <c r="B359" s="196"/>
      <c r="C359" s="695"/>
      <c r="D359" s="695"/>
      <c r="E359" s="695"/>
      <c r="F359" s="695"/>
      <c r="G359" s="627" t="s">
        <v>2394</v>
      </c>
      <c r="H359" s="695"/>
      <c r="I359" s="626" t="s">
        <v>3157</v>
      </c>
      <c r="J359" s="695"/>
      <c r="K359" s="695"/>
      <c r="L359" s="695"/>
      <c r="M359" s="196"/>
      <c r="N359" s="148"/>
    </row>
    <row r="360" spans="1:14" ht="13.5">
      <c r="A360" s="196"/>
      <c r="B360" s="196"/>
      <c r="C360" s="695"/>
      <c r="D360" s="695"/>
      <c r="E360" s="695"/>
      <c r="F360" s="695"/>
      <c r="G360" s="627" t="s">
        <v>2399</v>
      </c>
      <c r="H360" s="695"/>
      <c r="I360" s="626" t="s">
        <v>3159</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57:L57"/>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3746</v>
      </c>
    </row>
    <row r="2" spans="1:6" ht="16.5">
      <c r="A2" s="1282" t="str">
        <f>'Part I-Project Information'!F23</f>
        <v>The Villas at Stanford</v>
      </c>
    </row>
    <row r="3" spans="1:6" ht="16.5">
      <c r="A3" s="1282" t="str">
        <f>CONCATENATE('Part I-Project Information'!F26,", ", 'Part I-Project Information'!J27," County")</f>
        <v>Kennesaw, Cobb County</v>
      </c>
    </row>
    <row r="4" spans="1:6" ht="16.5">
      <c r="A4" s="1773" t="str">
        <f>IF('Part IX A-Scoring Criteria'!$O$221="Yes",'Part IX A-Scoring Criteria'!B221,IF('Part IX A-Scoring Criteria'!O223="Yes",'Part IX A-Scoring Criteria'!B223,""))</f>
        <v/>
      </c>
    </row>
    <row r="5" spans="1:6" ht="6.75" customHeight="1"/>
    <row r="6" spans="1:6" ht="113.25" customHeight="1">
      <c r="A6" s="1283" t="s">
        <v>4165</v>
      </c>
      <c r="B6" s="1160" t="s">
        <v>3590</v>
      </c>
      <c r="C6" s="816"/>
      <c r="D6" s="816"/>
      <c r="E6" s="816"/>
      <c r="F6" s="816"/>
    </row>
    <row r="7" spans="1:6" ht="6.6" customHeight="1">
      <c r="A7" s="1283"/>
      <c r="B7" s="1160"/>
      <c r="C7" s="816"/>
      <c r="D7" s="816"/>
      <c r="E7" s="816"/>
      <c r="F7" s="816"/>
    </row>
    <row r="8" spans="1:6" ht="134.25" customHeight="1">
      <c r="A8" s="1283"/>
      <c r="C8" s="1774"/>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75"/>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76" customWidth="1"/>
    <col min="2" max="12" width="7.28515625" style="1776" customWidth="1"/>
    <col min="13" max="13" width="8.7109375" style="1776" customWidth="1"/>
    <col min="14" max="15" width="5.85546875" style="1776" customWidth="1"/>
    <col min="16" max="16384" width="8.85546875" style="1776"/>
  </cols>
  <sheetData>
    <row r="1" spans="1:26" ht="19.5">
      <c r="N1" s="1777" t="s">
        <v>1950</v>
      </c>
      <c r="O1" s="1777"/>
      <c r="P1" s="1777"/>
      <c r="Q1" s="1777"/>
      <c r="R1" s="1777"/>
      <c r="S1" s="1777"/>
      <c r="T1" s="1777"/>
      <c r="U1" s="1777"/>
      <c r="V1" s="1777"/>
      <c r="W1" s="1777"/>
      <c r="X1" s="1777"/>
      <c r="Y1" s="1777"/>
      <c r="Z1" s="1777"/>
    </row>
    <row r="3" spans="1:26">
      <c r="N3" s="1778" t="s">
        <v>1951</v>
      </c>
      <c r="O3" s="1778"/>
      <c r="P3" s="1778"/>
      <c r="Q3" s="1778"/>
      <c r="R3" s="1778"/>
      <c r="S3" s="1778"/>
      <c r="T3" s="1778"/>
      <c r="U3" s="1778"/>
      <c r="V3" s="1778"/>
      <c r="W3" s="1778"/>
      <c r="X3" s="1778"/>
      <c r="Y3" s="1778"/>
      <c r="Z3" s="1778"/>
    </row>
    <row r="4" spans="1:26">
      <c r="N4" s="1779" t="s">
        <v>1952</v>
      </c>
      <c r="O4" s="1779"/>
      <c r="P4" s="1779"/>
      <c r="Q4" s="1779"/>
      <c r="R4" s="1779"/>
      <c r="S4" s="1779"/>
      <c r="T4" s="1779"/>
      <c r="U4" s="1779"/>
      <c r="V4" s="1779"/>
      <c r="W4" s="1779"/>
      <c r="X4" s="1779"/>
      <c r="Y4" s="1779"/>
      <c r="Z4" s="1779"/>
    </row>
    <row r="6" spans="1:26">
      <c r="B6" s="1780"/>
      <c r="C6" s="1780"/>
      <c r="D6" s="1780"/>
      <c r="E6" s="1780"/>
      <c r="F6" s="1780"/>
      <c r="G6" s="1780"/>
      <c r="H6" s="1780"/>
      <c r="I6" s="1780"/>
      <c r="J6" s="1780"/>
      <c r="K6" s="1780"/>
      <c r="L6" s="1780"/>
      <c r="M6" s="1780"/>
      <c r="N6" s="1781" t="s">
        <v>891</v>
      </c>
    </row>
    <row r="7" spans="1:26" ht="57" customHeight="1">
      <c r="A7" s="1782" t="s">
        <v>3913</v>
      </c>
      <c r="B7" s="1782"/>
      <c r="C7" s="1782"/>
      <c r="D7" s="1782"/>
      <c r="E7" s="1782"/>
      <c r="F7" s="1782"/>
      <c r="G7" s="1782"/>
      <c r="H7" s="1782"/>
      <c r="I7" s="1782"/>
      <c r="J7" s="1782"/>
      <c r="K7" s="1782"/>
      <c r="L7" s="1782"/>
      <c r="M7" s="1782"/>
    </row>
    <row r="8" spans="1:26" ht="11.45" customHeight="1">
      <c r="A8" s="1780"/>
      <c r="B8" s="1780"/>
      <c r="C8" s="1780"/>
      <c r="D8" s="1780"/>
      <c r="E8" s="1780"/>
      <c r="F8" s="1780"/>
      <c r="G8" s="1780"/>
      <c r="H8" s="1780"/>
      <c r="I8" s="1780"/>
      <c r="J8" s="1780"/>
      <c r="K8" s="1780"/>
      <c r="L8" s="1780"/>
      <c r="M8" s="1780"/>
    </row>
    <row r="9" spans="1:26">
      <c r="A9" s="1780" t="s">
        <v>896</v>
      </c>
      <c r="B9" s="1780"/>
      <c r="C9" s="1780"/>
      <c r="D9" s="1780"/>
      <c r="E9" s="1780"/>
      <c r="F9" s="1780"/>
      <c r="G9" s="1780"/>
      <c r="H9" s="1780"/>
      <c r="I9" s="1780"/>
      <c r="J9" s="1780"/>
      <c r="K9" s="1780"/>
      <c r="L9" s="1780"/>
      <c r="M9" s="1780"/>
    </row>
    <row r="10" spans="1:26" ht="11.45" customHeight="1">
      <c r="A10" s="1780"/>
      <c r="B10" s="1780"/>
      <c r="C10" s="1780"/>
      <c r="D10" s="1780"/>
      <c r="E10" s="1780"/>
      <c r="F10" s="1780"/>
      <c r="G10" s="1780"/>
      <c r="H10" s="1780"/>
      <c r="I10" s="1780"/>
      <c r="J10" s="1780"/>
      <c r="K10" s="1780"/>
      <c r="L10" s="1780"/>
      <c r="M10" s="1780"/>
    </row>
    <row r="11" spans="1:26">
      <c r="A11" s="1783" t="s">
        <v>2613</v>
      </c>
      <c r="B11" s="1783"/>
      <c r="C11" s="1783"/>
      <c r="D11" s="1783"/>
      <c r="E11" s="1783"/>
      <c r="F11" s="1783"/>
      <c r="G11" s="1783"/>
      <c r="H11" s="1783"/>
      <c r="I11" s="1783"/>
      <c r="J11" s="1783"/>
      <c r="K11" s="1783"/>
      <c r="L11" s="1783"/>
      <c r="M11" s="1783"/>
    </row>
    <row r="12" spans="1:26" ht="6.75" customHeight="1">
      <c r="A12" s="1783"/>
      <c r="B12" s="1783"/>
      <c r="C12" s="1783"/>
      <c r="D12" s="1783"/>
      <c r="E12" s="1783"/>
      <c r="F12" s="1783"/>
      <c r="G12" s="1783"/>
      <c r="H12" s="1783"/>
      <c r="I12" s="1783"/>
      <c r="J12" s="1783"/>
      <c r="K12" s="1783"/>
      <c r="L12" s="1783"/>
      <c r="M12" s="1783"/>
    </row>
    <row r="13" spans="1:26" ht="44.25" customHeight="1">
      <c r="A13" s="1784" t="s">
        <v>3914</v>
      </c>
      <c r="B13" s="1784"/>
      <c r="C13" s="1784"/>
      <c r="D13" s="1784"/>
      <c r="E13" s="1784"/>
      <c r="F13" s="1784"/>
      <c r="G13" s="1784"/>
      <c r="H13" s="1784"/>
      <c r="I13" s="1784"/>
      <c r="J13" s="1784"/>
      <c r="K13" s="1784"/>
      <c r="L13" s="1784"/>
      <c r="M13" s="1784"/>
    </row>
    <row r="14" spans="1:26" ht="3" customHeight="1">
      <c r="A14" s="1783"/>
      <c r="B14" s="1783"/>
      <c r="C14" s="1783"/>
      <c r="D14" s="1783"/>
      <c r="E14" s="1783"/>
      <c r="F14" s="1783"/>
      <c r="G14" s="1783"/>
      <c r="H14" s="1783"/>
      <c r="I14" s="1783"/>
      <c r="J14" s="1783"/>
      <c r="K14" s="1783"/>
      <c r="L14" s="1783"/>
      <c r="M14" s="1783"/>
    </row>
    <row r="15" spans="1:26" ht="87.75" customHeight="1">
      <c r="A15" s="1785" t="s">
        <v>2430</v>
      </c>
      <c r="B15" s="1786" t="s">
        <v>3915</v>
      </c>
      <c r="C15" s="1786"/>
      <c r="D15" s="1786"/>
      <c r="E15" s="1786"/>
      <c r="F15" s="1786"/>
      <c r="G15" s="1786"/>
      <c r="H15" s="1786"/>
      <c r="I15" s="1786"/>
      <c r="J15" s="1786"/>
      <c r="K15" s="1786"/>
      <c r="L15" s="1786"/>
      <c r="M15" s="1786"/>
    </row>
    <row r="16" spans="1:26" ht="3" customHeight="1">
      <c r="A16" s="1783"/>
      <c r="B16" s="1783"/>
      <c r="C16" s="1783"/>
      <c r="D16" s="1783"/>
      <c r="E16" s="1783"/>
      <c r="F16" s="1783"/>
      <c r="G16" s="1783"/>
      <c r="H16" s="1783"/>
      <c r="I16" s="1783"/>
      <c r="J16" s="1783"/>
      <c r="K16" s="1783"/>
      <c r="L16" s="1783"/>
      <c r="M16" s="1783"/>
    </row>
    <row r="17" spans="1:13" ht="58.5" customHeight="1">
      <c r="A17" s="1785" t="s">
        <v>2431</v>
      </c>
      <c r="B17" s="1786" t="s">
        <v>3916</v>
      </c>
      <c r="C17" s="1786"/>
      <c r="D17" s="1786"/>
      <c r="E17" s="1786"/>
      <c r="F17" s="1786"/>
      <c r="G17" s="1786"/>
      <c r="H17" s="1786"/>
      <c r="I17" s="1786"/>
      <c r="J17" s="1786"/>
      <c r="K17" s="1786"/>
      <c r="L17" s="1786"/>
      <c r="M17" s="1786"/>
    </row>
    <row r="18" spans="1:13" ht="3" customHeight="1">
      <c r="A18" s="1783"/>
      <c r="B18" s="1783"/>
      <c r="C18" s="1783"/>
      <c r="D18" s="1783"/>
      <c r="E18" s="1783"/>
      <c r="F18" s="1783"/>
      <c r="G18" s="1783"/>
      <c r="H18" s="1783"/>
      <c r="I18" s="1783"/>
      <c r="J18" s="1783"/>
      <c r="K18" s="1783"/>
      <c r="L18" s="1783"/>
      <c r="M18" s="1783"/>
    </row>
    <row r="19" spans="1:13" ht="115.5" customHeight="1">
      <c r="A19" s="1785" t="s">
        <v>2432</v>
      </c>
      <c r="B19" s="1786" t="s">
        <v>824</v>
      </c>
      <c r="C19" s="1786"/>
      <c r="D19" s="1786"/>
      <c r="E19" s="1786"/>
      <c r="F19" s="1786"/>
      <c r="G19" s="1786"/>
      <c r="H19" s="1786"/>
      <c r="I19" s="1786"/>
      <c r="J19" s="1786"/>
      <c r="K19" s="1786"/>
      <c r="L19" s="1786"/>
      <c r="M19" s="1786"/>
    </row>
    <row r="20" spans="1:13" ht="3" customHeight="1">
      <c r="A20" s="1783"/>
      <c r="B20" s="1783"/>
      <c r="C20" s="1783"/>
      <c r="D20" s="1783"/>
      <c r="E20" s="1783"/>
      <c r="F20" s="1783"/>
      <c r="G20" s="1783"/>
      <c r="H20" s="1783"/>
      <c r="I20" s="1783"/>
      <c r="J20" s="1783"/>
      <c r="K20" s="1783"/>
      <c r="L20" s="1783"/>
      <c r="M20" s="1783"/>
    </row>
    <row r="21" spans="1:13" ht="115.5" customHeight="1">
      <c r="A21" s="1785" t="s">
        <v>3118</v>
      </c>
      <c r="B21" s="1786" t="s">
        <v>3917</v>
      </c>
      <c r="C21" s="1786"/>
      <c r="D21" s="1786"/>
      <c r="E21" s="1786"/>
      <c r="F21" s="1786"/>
      <c r="G21" s="1786"/>
      <c r="H21" s="1786"/>
      <c r="I21" s="1786"/>
      <c r="J21" s="1786"/>
      <c r="K21" s="1786"/>
      <c r="L21" s="1786"/>
      <c r="M21" s="1786"/>
    </row>
    <row r="22" spans="1:13" ht="3" customHeight="1">
      <c r="A22" s="1783"/>
      <c r="B22" s="1783"/>
      <c r="C22" s="1783"/>
      <c r="D22" s="1783"/>
      <c r="E22" s="1783"/>
      <c r="F22" s="1783"/>
      <c r="G22" s="1783"/>
      <c r="H22" s="1783"/>
      <c r="I22" s="1783"/>
      <c r="J22" s="1783"/>
      <c r="K22" s="1783"/>
      <c r="L22" s="1783"/>
      <c r="M22" s="1783"/>
    </row>
    <row r="23" spans="1:13" ht="44.25" customHeight="1">
      <c r="A23" s="1785" t="s">
        <v>2009</v>
      </c>
      <c r="B23" s="1786" t="s">
        <v>869</v>
      </c>
      <c r="C23" s="1786"/>
      <c r="D23" s="1786"/>
      <c r="E23" s="1786"/>
      <c r="F23" s="1786"/>
      <c r="G23" s="1786"/>
      <c r="H23" s="1786"/>
      <c r="I23" s="1786"/>
      <c r="J23" s="1786"/>
      <c r="K23" s="1786"/>
      <c r="L23" s="1786"/>
      <c r="M23" s="1786"/>
    </row>
    <row r="24" spans="1:13" ht="144.75" customHeight="1">
      <c r="A24" s="1785" t="s">
        <v>2010</v>
      </c>
      <c r="B24" s="1786" t="s">
        <v>3918</v>
      </c>
      <c r="C24" s="1786"/>
      <c r="D24" s="1786"/>
      <c r="E24" s="1786"/>
      <c r="F24" s="1786"/>
      <c r="G24" s="1786"/>
      <c r="H24" s="1786"/>
      <c r="I24" s="1786"/>
      <c r="J24" s="1786"/>
      <c r="K24" s="1786"/>
      <c r="L24" s="1786"/>
      <c r="M24" s="1786"/>
    </row>
    <row r="25" spans="1:13" ht="3" customHeight="1">
      <c r="A25" s="1783"/>
      <c r="B25" s="1783"/>
      <c r="C25" s="1783"/>
      <c r="D25" s="1783"/>
      <c r="E25" s="1783"/>
      <c r="F25" s="1783"/>
      <c r="G25" s="1783"/>
      <c r="H25" s="1783"/>
      <c r="I25" s="1783"/>
      <c r="J25" s="1783"/>
      <c r="K25" s="1783"/>
      <c r="L25" s="1783"/>
      <c r="M25" s="1783"/>
    </row>
    <row r="26" spans="1:13" ht="44.25" customHeight="1">
      <c r="A26" s="1785" t="s">
        <v>104</v>
      </c>
      <c r="B26" s="1786" t="s">
        <v>3919</v>
      </c>
      <c r="C26" s="1786"/>
      <c r="D26" s="1786"/>
      <c r="E26" s="1786"/>
      <c r="F26" s="1786"/>
      <c r="G26" s="1786"/>
      <c r="H26" s="1786"/>
      <c r="I26" s="1786"/>
      <c r="J26" s="1786"/>
      <c r="K26" s="1786"/>
      <c r="L26" s="1786"/>
      <c r="M26" s="1786"/>
    </row>
    <row r="27" spans="1:13" ht="3" customHeight="1">
      <c r="A27" s="1783"/>
      <c r="B27" s="1783"/>
      <c r="C27" s="1783"/>
      <c r="D27" s="1783"/>
      <c r="E27" s="1783"/>
      <c r="F27" s="1783"/>
      <c r="G27" s="1783"/>
      <c r="H27" s="1783"/>
      <c r="I27" s="1783"/>
      <c r="J27" s="1783"/>
      <c r="K27" s="1783"/>
      <c r="L27" s="1783"/>
      <c r="M27" s="1783"/>
    </row>
    <row r="28" spans="1:13" ht="15" customHeight="1">
      <c r="A28" s="1785" t="s">
        <v>678</v>
      </c>
      <c r="B28" s="1786" t="s">
        <v>1911</v>
      </c>
      <c r="C28" s="1786"/>
      <c r="D28" s="1786"/>
      <c r="E28" s="1786"/>
      <c r="F28" s="1786"/>
      <c r="G28" s="1786"/>
      <c r="H28" s="1786"/>
      <c r="I28" s="1786"/>
      <c r="J28" s="1786"/>
      <c r="K28" s="1786"/>
      <c r="L28" s="1786"/>
      <c r="M28" s="1786"/>
    </row>
    <row r="29" spans="1:13" ht="4.5" customHeight="1">
      <c r="A29" s="1783"/>
      <c r="B29" s="1783"/>
      <c r="C29" s="1783"/>
      <c r="D29" s="1783"/>
      <c r="E29" s="1783"/>
      <c r="F29" s="1783"/>
      <c r="G29" s="1783"/>
      <c r="H29" s="1783"/>
      <c r="I29" s="1783"/>
      <c r="J29" s="1783"/>
      <c r="K29" s="1783"/>
      <c r="L29" s="1783"/>
      <c r="M29" s="1783"/>
    </row>
    <row r="30" spans="1:13" ht="15" customHeight="1">
      <c r="A30" s="1783" t="s">
        <v>1912</v>
      </c>
      <c r="B30" s="1783"/>
      <c r="C30" s="1783"/>
      <c r="D30" s="1783"/>
      <c r="E30" s="1783"/>
      <c r="F30" s="1783"/>
      <c r="G30" s="1783"/>
      <c r="H30" s="1783"/>
      <c r="I30" s="1783"/>
      <c r="J30" s="1783"/>
      <c r="K30" s="1783"/>
      <c r="L30" s="1783"/>
      <c r="M30" s="1783"/>
    </row>
    <row r="31" spans="1:13" ht="3" customHeight="1">
      <c r="A31" s="1783"/>
      <c r="B31" s="1783"/>
      <c r="C31" s="1783"/>
      <c r="D31" s="1783"/>
      <c r="E31" s="1783"/>
      <c r="F31" s="1783"/>
      <c r="G31" s="1783"/>
      <c r="H31" s="1783"/>
      <c r="I31" s="1783"/>
      <c r="J31" s="1783"/>
      <c r="K31" s="1783"/>
      <c r="L31" s="1783"/>
      <c r="M31" s="1783"/>
    </row>
    <row r="32" spans="1:13" ht="28.5" customHeight="1">
      <c r="A32" s="1787" t="s">
        <v>1913</v>
      </c>
      <c r="B32" s="1786" t="s">
        <v>3920</v>
      </c>
      <c r="C32" s="1786"/>
      <c r="D32" s="1786"/>
      <c r="E32" s="1786"/>
      <c r="F32" s="1786"/>
      <c r="G32" s="1786"/>
      <c r="H32" s="1786"/>
      <c r="I32" s="1786"/>
      <c r="J32" s="1786"/>
      <c r="K32" s="1786"/>
      <c r="L32" s="1786"/>
      <c r="M32" s="1786"/>
    </row>
    <row r="33" spans="1:13" ht="3" customHeight="1">
      <c r="A33" s="1783"/>
      <c r="B33" s="1783"/>
      <c r="C33" s="1783"/>
      <c r="D33" s="1783"/>
      <c r="E33" s="1783"/>
      <c r="F33" s="1783"/>
      <c r="G33" s="1783"/>
      <c r="H33" s="1783"/>
      <c r="I33" s="1783"/>
      <c r="J33" s="1783"/>
      <c r="K33" s="1783"/>
      <c r="L33" s="1783"/>
      <c r="M33" s="1783"/>
    </row>
    <row r="34" spans="1:13" ht="43.5" customHeight="1">
      <c r="A34" s="1787" t="s">
        <v>1913</v>
      </c>
      <c r="B34" s="1786" t="s">
        <v>3921</v>
      </c>
      <c r="C34" s="1786"/>
      <c r="D34" s="1786"/>
      <c r="E34" s="1786"/>
      <c r="F34" s="1786"/>
      <c r="G34" s="1786"/>
      <c r="H34" s="1786"/>
      <c r="I34" s="1786"/>
      <c r="J34" s="1786"/>
      <c r="K34" s="1786"/>
      <c r="L34" s="1786"/>
      <c r="M34" s="1786"/>
    </row>
    <row r="35" spans="1:13" ht="3" customHeight="1">
      <c r="A35" s="1783"/>
      <c r="B35" s="1783"/>
      <c r="C35" s="1783"/>
      <c r="D35" s="1783"/>
      <c r="E35" s="1783"/>
      <c r="F35" s="1783"/>
      <c r="G35" s="1783"/>
      <c r="H35" s="1783"/>
      <c r="I35" s="1783"/>
      <c r="J35" s="1783"/>
      <c r="K35" s="1783"/>
      <c r="L35" s="1783"/>
      <c r="M35" s="1783"/>
    </row>
    <row r="36" spans="1:13" ht="72.75" customHeight="1">
      <c r="A36" s="1787" t="s">
        <v>1913</v>
      </c>
      <c r="B36" s="1786" t="s">
        <v>3922</v>
      </c>
      <c r="C36" s="1786"/>
      <c r="D36" s="1786"/>
      <c r="E36" s="1786"/>
      <c r="F36" s="1786"/>
      <c r="G36" s="1786"/>
      <c r="H36" s="1786"/>
      <c r="I36" s="1786"/>
      <c r="J36" s="1786"/>
      <c r="K36" s="1786"/>
      <c r="L36" s="1786"/>
      <c r="M36" s="1786"/>
    </row>
    <row r="37" spans="1:13" ht="9" customHeight="1">
      <c r="A37" s="1783"/>
      <c r="B37" s="1783"/>
      <c r="C37" s="1783"/>
      <c r="D37" s="1783"/>
      <c r="E37" s="1783"/>
      <c r="F37" s="1783"/>
      <c r="G37" s="1783"/>
      <c r="H37" s="1783"/>
      <c r="I37" s="1783"/>
      <c r="J37" s="1783"/>
      <c r="K37" s="1783"/>
      <c r="L37" s="1783"/>
      <c r="M37" s="1783"/>
    </row>
    <row r="38" spans="1:13" ht="29.25" customHeight="1">
      <c r="A38" s="1786" t="s">
        <v>1342</v>
      </c>
      <c r="B38" s="1786"/>
      <c r="C38" s="1786"/>
      <c r="D38" s="1786"/>
      <c r="E38" s="1786"/>
      <c r="F38" s="1786"/>
      <c r="G38" s="1786"/>
      <c r="H38" s="1786"/>
      <c r="I38" s="1786"/>
      <c r="J38" s="1786"/>
      <c r="K38" s="1786"/>
      <c r="L38" s="1786"/>
      <c r="M38" s="1786"/>
    </row>
    <row r="39" spans="1:13" ht="3" customHeight="1">
      <c r="A39" s="1783"/>
      <c r="B39" s="1783"/>
      <c r="C39" s="1783"/>
      <c r="D39" s="1783"/>
      <c r="E39" s="1783"/>
      <c r="F39" s="1783"/>
      <c r="G39" s="1783"/>
      <c r="H39" s="1783"/>
      <c r="I39" s="1783"/>
      <c r="J39" s="1783"/>
      <c r="K39" s="1783"/>
      <c r="L39" s="1783"/>
      <c r="M39" s="1783"/>
    </row>
    <row r="40" spans="1:13" ht="29.25" customHeight="1">
      <c r="A40" s="1786" t="s">
        <v>3923</v>
      </c>
      <c r="B40" s="1786"/>
      <c r="C40" s="1786"/>
      <c r="D40" s="1786"/>
      <c r="E40" s="1786"/>
      <c r="F40" s="1786"/>
      <c r="G40" s="1786"/>
      <c r="H40" s="1786"/>
      <c r="I40" s="1786"/>
      <c r="J40" s="1786"/>
      <c r="K40" s="1786"/>
      <c r="L40" s="1786"/>
      <c r="M40" s="1786"/>
    </row>
    <row r="41" spans="1:13" ht="3" customHeight="1">
      <c r="A41" s="1783"/>
      <c r="B41" s="1783"/>
      <c r="C41" s="1783"/>
      <c r="D41" s="1783"/>
      <c r="E41" s="1783"/>
      <c r="F41" s="1783"/>
      <c r="G41" s="1783"/>
      <c r="H41" s="1783"/>
      <c r="I41" s="1783"/>
      <c r="J41" s="1783"/>
      <c r="K41" s="1783"/>
      <c r="L41" s="1783"/>
      <c r="M41" s="1783"/>
    </row>
    <row r="42" spans="1:13">
      <c r="A42" s="1783" t="s">
        <v>1318</v>
      </c>
      <c r="B42" s="1783"/>
      <c r="C42" s="1783"/>
      <c r="D42" s="1783"/>
      <c r="E42" s="1783"/>
      <c r="F42" s="1783"/>
      <c r="G42" s="1783"/>
      <c r="H42" s="1783"/>
      <c r="I42" s="1783"/>
      <c r="J42" s="1783"/>
      <c r="K42" s="1783"/>
      <c r="L42" s="1783"/>
      <c r="M42" s="1783"/>
    </row>
    <row r="43" spans="1:13">
      <c r="A43" s="1788"/>
      <c r="B43" s="1788"/>
      <c r="C43" s="1788"/>
      <c r="D43" s="1788"/>
      <c r="E43" s="1788"/>
      <c r="F43" s="1788"/>
      <c r="G43" s="1788"/>
      <c r="H43" s="1788"/>
      <c r="I43" s="1788"/>
      <c r="J43" s="1788"/>
      <c r="K43" s="1788"/>
      <c r="L43" s="1788"/>
      <c r="M43" s="1788"/>
    </row>
    <row r="44" spans="1:13">
      <c r="A44" s="1789" t="s">
        <v>4079</v>
      </c>
      <c r="B44" s="1789"/>
      <c r="C44" s="1789"/>
      <c r="D44" s="1789"/>
      <c r="E44" s="1789"/>
      <c r="F44" s="1789"/>
      <c r="G44" s="1790"/>
      <c r="H44" s="1789" t="s">
        <v>4120</v>
      </c>
      <c r="I44" s="1789"/>
      <c r="J44" s="1789"/>
      <c r="K44" s="1789"/>
      <c r="L44" s="1789"/>
      <c r="M44" s="1789"/>
    </row>
    <row r="45" spans="1:13" ht="12" customHeight="1">
      <c r="A45" s="1791" t="s">
        <v>1319</v>
      </c>
      <c r="B45" s="1791"/>
      <c r="C45" s="1791"/>
      <c r="D45" s="1791"/>
      <c r="E45" s="1791"/>
      <c r="F45" s="1791"/>
      <c r="G45" s="1790"/>
      <c r="H45" s="1791" t="s">
        <v>2690</v>
      </c>
      <c r="I45" s="1791"/>
      <c r="J45" s="1791"/>
      <c r="K45" s="1791"/>
      <c r="L45" s="1791"/>
      <c r="M45" s="1791"/>
    </row>
    <row r="46" spans="1:13">
      <c r="A46" s="1790"/>
      <c r="B46" s="1790"/>
      <c r="C46" s="1790"/>
      <c r="D46" s="1790"/>
      <c r="E46" s="1790"/>
      <c r="F46" s="1790"/>
      <c r="G46" s="1790"/>
      <c r="H46" s="1790"/>
      <c r="I46" s="1790"/>
      <c r="J46" s="1790"/>
      <c r="K46" s="1790"/>
      <c r="L46" s="1790"/>
      <c r="M46" s="1790"/>
    </row>
    <row r="47" spans="1:13">
      <c r="A47" s="1789"/>
      <c r="B47" s="1789"/>
      <c r="C47" s="1789"/>
      <c r="D47" s="1789"/>
      <c r="E47" s="1789"/>
      <c r="F47" s="1789"/>
      <c r="G47" s="1790"/>
      <c r="H47" s="1792">
        <v>41432</v>
      </c>
      <c r="I47" s="1792"/>
      <c r="J47" s="1792"/>
      <c r="K47" s="1792"/>
      <c r="L47" s="1792"/>
      <c r="M47" s="1792"/>
    </row>
    <row r="48" spans="1:13" ht="12" customHeight="1">
      <c r="A48" s="1791" t="s">
        <v>1320</v>
      </c>
      <c r="B48" s="1791"/>
      <c r="C48" s="1791"/>
      <c r="D48" s="1791"/>
      <c r="E48" s="1791"/>
      <c r="F48" s="1791"/>
      <c r="G48" s="1790"/>
      <c r="H48" s="1791" t="s">
        <v>1321</v>
      </c>
      <c r="I48" s="1791"/>
      <c r="J48" s="1791"/>
      <c r="K48" s="1791"/>
      <c r="L48" s="1791"/>
      <c r="M48" s="1791"/>
    </row>
    <row r="49" spans="1:13" ht="11.45" customHeight="1">
      <c r="A49" s="1783"/>
      <c r="B49" s="1783"/>
      <c r="C49" s="1783"/>
      <c r="D49" s="1783"/>
      <c r="E49" s="1783"/>
      <c r="F49" s="1783"/>
      <c r="G49" s="1783"/>
      <c r="H49" s="1783"/>
      <c r="I49" s="1783"/>
      <c r="J49" s="1783"/>
      <c r="K49" s="1783"/>
      <c r="L49" s="1783"/>
      <c r="M49" s="1783"/>
    </row>
    <row r="50" spans="1:13" ht="11.45" customHeight="1">
      <c r="A50" s="1780"/>
      <c r="B50" s="1780"/>
      <c r="C50" s="1780"/>
      <c r="D50" s="1780"/>
      <c r="E50" s="1780"/>
      <c r="F50" s="1780"/>
      <c r="G50" s="1780"/>
      <c r="H50" s="1793" t="s">
        <v>1322</v>
      </c>
      <c r="I50" s="1793"/>
      <c r="J50" s="1793"/>
      <c r="K50" s="1793"/>
      <c r="L50" s="1793"/>
      <c r="M50" s="1793"/>
    </row>
    <row r="51" spans="1:13" ht="11.45" customHeight="1">
      <c r="A51" s="1780"/>
      <c r="B51" s="1780"/>
      <c r="C51" s="1780"/>
      <c r="D51" s="1780"/>
      <c r="E51" s="1780"/>
      <c r="F51" s="1780"/>
      <c r="G51" s="1780"/>
    </row>
    <row r="52" spans="1:13" ht="11.45" customHeight="1">
      <c r="A52" s="1780"/>
      <c r="B52" s="1780"/>
      <c r="C52" s="1780"/>
      <c r="D52" s="1780"/>
      <c r="E52" s="1780"/>
      <c r="F52" s="1780"/>
      <c r="G52" s="1780"/>
      <c r="H52" s="1780"/>
      <c r="I52" s="1780"/>
      <c r="J52" s="1780"/>
      <c r="K52" s="1780"/>
      <c r="L52" s="1780"/>
      <c r="M52" s="1780"/>
    </row>
    <row r="53" spans="1:13" ht="11.45" customHeight="1">
      <c r="A53" s="1780"/>
      <c r="B53" s="1780"/>
      <c r="C53" s="1780"/>
      <c r="D53" s="1780"/>
      <c r="E53" s="1780"/>
      <c r="F53" s="1780"/>
      <c r="G53" s="1780"/>
      <c r="H53" s="1780"/>
      <c r="I53" s="1780"/>
      <c r="J53" s="1780"/>
      <c r="K53" s="1780"/>
      <c r="L53" s="1780"/>
      <c r="M53" s="1780"/>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Q58" sqref="Q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3172</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3139</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3205</v>
      </c>
      <c r="L10" s="363" t="s">
        <v>3206</v>
      </c>
      <c r="M10" s="363" t="s">
        <v>3207</v>
      </c>
      <c r="N10" s="363" t="s">
        <v>3208</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10958526</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12054366</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2614</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3535</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3639</v>
      </c>
      <c r="K31" s="218"/>
      <c r="L31" s="218"/>
      <c r="M31" s="218"/>
      <c r="N31" s="218"/>
      <c r="O31" s="218"/>
      <c r="P31" s="216"/>
      <c r="Q31" s="359">
        <v>25000</v>
      </c>
      <c r="R31" s="368" t="s">
        <v>673</v>
      </c>
      <c r="S31" s="369"/>
      <c r="T31" s="369"/>
      <c r="U31" s="369"/>
    </row>
    <row r="32" spans="1:21" s="353" customFormat="1" ht="11.45" customHeight="1">
      <c r="A32" s="218"/>
      <c r="B32" s="218" t="s">
        <v>2671</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1369</v>
      </c>
      <c r="R35" s="359">
        <v>500000</v>
      </c>
      <c r="S35" s="369"/>
      <c r="T35" s="369"/>
      <c r="U35" s="369"/>
    </row>
    <row r="36" spans="1:21" s="353" customFormat="1" ht="11.45" customHeight="1">
      <c r="A36" s="218"/>
      <c r="B36" s="218" t="s">
        <v>2750</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2751</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3536</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3635</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3540</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3537</v>
      </c>
      <c r="G45" s="218"/>
      <c r="H45" s="216"/>
      <c r="I45" s="216"/>
      <c r="J45" s="218" t="s">
        <v>3538</v>
      </c>
      <c r="K45" s="218"/>
      <c r="L45" s="218"/>
      <c r="M45" s="218"/>
      <c r="N45" s="218"/>
      <c r="O45" s="218"/>
      <c r="P45" s="216"/>
      <c r="Q45" s="368">
        <v>1500</v>
      </c>
      <c r="R45" s="368" t="s">
        <v>2426</v>
      </c>
      <c r="S45" s="369"/>
      <c r="T45" s="369"/>
      <c r="U45" s="369"/>
    </row>
    <row r="46" spans="1:21" s="353" customFormat="1" ht="11.45" customHeight="1">
      <c r="A46" s="218"/>
      <c r="B46" s="218" t="s">
        <v>2565</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3022</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3126</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3127</v>
      </c>
      <c r="K53" s="218"/>
      <c r="L53" s="218"/>
      <c r="M53" s="218"/>
      <c r="N53" s="218"/>
      <c r="O53" s="218"/>
      <c r="P53" s="216"/>
      <c r="Q53" s="1161" t="s">
        <v>3128</v>
      </c>
      <c r="R53" s="1161"/>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3174</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3531</v>
      </c>
      <c r="B71" s="218"/>
      <c r="C71" s="218"/>
      <c r="D71" s="216"/>
      <c r="E71" s="216"/>
      <c r="F71" s="218" t="s">
        <v>3396</v>
      </c>
      <c r="G71" s="218"/>
      <c r="H71" s="216"/>
      <c r="I71" s="216"/>
      <c r="J71" s="218" t="s">
        <v>3533</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3395</v>
      </c>
      <c r="G72" s="218"/>
      <c r="H72" s="216"/>
      <c r="I72" s="216"/>
      <c r="J72" s="218" t="s">
        <v>3533</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3533</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3532</v>
      </c>
      <c r="G74" s="218"/>
      <c r="H74" s="216"/>
      <c r="I74" s="216"/>
      <c r="J74" s="218" t="s">
        <v>3534</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2755</v>
      </c>
      <c r="D97" s="612">
        <v>64900</v>
      </c>
      <c r="E97" s="369"/>
      <c r="F97" s="369"/>
    </row>
    <row r="98" spans="3:6" ht="10.5" customHeight="1">
      <c r="C98" s="493" t="s">
        <v>3383</v>
      </c>
      <c r="D98" s="612">
        <v>48300</v>
      </c>
      <c r="E98" s="369"/>
      <c r="F98" s="369"/>
    </row>
    <row r="99" spans="3:6" ht="10.5" customHeight="1">
      <c r="C99" s="492" t="s">
        <v>2994</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3262</v>
      </c>
      <c r="D117" s="612">
        <v>33300</v>
      </c>
      <c r="E117" s="369"/>
      <c r="F117" s="369"/>
    </row>
    <row r="118" spans="3:6" ht="10.5" customHeight="1">
      <c r="C118" s="493" t="s">
        <v>3265</v>
      </c>
      <c r="D118" s="612">
        <v>48200</v>
      </c>
      <c r="E118" s="369"/>
      <c r="F118" s="369"/>
    </row>
    <row r="119" spans="3:6" ht="10.5" customHeight="1">
      <c r="C119" s="493" t="s">
        <v>3268</v>
      </c>
      <c r="D119" s="612">
        <v>42400</v>
      </c>
      <c r="E119" s="369"/>
      <c r="F119" s="369"/>
    </row>
    <row r="120" spans="3:6" ht="10.5" customHeight="1">
      <c r="C120" s="493" t="s">
        <v>3314</v>
      </c>
      <c r="D120" s="612">
        <v>41500</v>
      </c>
      <c r="E120" s="369"/>
      <c r="F120" s="369"/>
    </row>
    <row r="121" spans="3:6" ht="10.5" customHeight="1">
      <c r="C121" s="493" t="s">
        <v>3317</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2969</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3381</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2884</v>
      </c>
      <c r="D162" s="612">
        <v>50200</v>
      </c>
      <c r="E162" s="369"/>
      <c r="F162" s="369"/>
    </row>
    <row r="163" spans="3:6" ht="10.5" customHeight="1">
      <c r="C163" s="493" t="s">
        <v>2886</v>
      </c>
      <c r="D163" s="612">
        <v>47000</v>
      </c>
      <c r="E163" s="369"/>
      <c r="F163" s="369"/>
    </row>
    <row r="164" spans="3:6" ht="10.5" customHeight="1">
      <c r="C164" s="492" t="s">
        <v>2888</v>
      </c>
      <c r="D164" s="612">
        <v>40700</v>
      </c>
      <c r="E164" s="369"/>
      <c r="F164" s="369"/>
    </row>
    <row r="165" spans="3:6" ht="10.5" customHeight="1">
      <c r="C165" s="492" t="s">
        <v>2891</v>
      </c>
      <c r="D165" s="612">
        <v>44400</v>
      </c>
      <c r="E165" s="369"/>
      <c r="F165" s="369"/>
    </row>
    <row r="166" spans="3:6" ht="10.5" customHeight="1">
      <c r="C166" s="493" t="s">
        <v>2893</v>
      </c>
      <c r="D166" s="612">
        <v>44300</v>
      </c>
      <c r="E166" s="369"/>
      <c r="F166" s="369"/>
    </row>
    <row r="167" spans="3:6" ht="10.5" customHeight="1">
      <c r="C167" s="493" t="s">
        <v>2895</v>
      </c>
      <c r="D167" s="612">
        <v>44000</v>
      </c>
      <c r="E167" s="369"/>
      <c r="F167" s="369"/>
    </row>
    <row r="168" spans="3:6" ht="10.5" customHeight="1">
      <c r="C168" s="493" t="s">
        <v>2897</v>
      </c>
      <c r="D168" s="612">
        <v>46400</v>
      </c>
      <c r="E168" s="369"/>
      <c r="F168" s="369"/>
    </row>
    <row r="169" spans="3:6" ht="10.5" customHeight="1">
      <c r="C169" s="493" t="s">
        <v>2899</v>
      </c>
      <c r="D169" s="612">
        <v>31200</v>
      </c>
      <c r="E169" s="369"/>
      <c r="F169" s="369"/>
    </row>
    <row r="170" spans="3:6" ht="10.5" customHeight="1">
      <c r="C170" s="493" t="s">
        <v>2901</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3154</v>
      </c>
      <c r="D189" s="612">
        <v>43100</v>
      </c>
      <c r="E189" s="369"/>
      <c r="F189" s="369"/>
    </row>
    <row r="190" spans="3:6" ht="10.5" customHeight="1">
      <c r="C190" s="492" t="s">
        <v>3156</v>
      </c>
      <c r="D190" s="612">
        <v>41600</v>
      </c>
      <c r="E190" s="369"/>
      <c r="F190" s="369"/>
    </row>
    <row r="191" spans="3:6" ht="10.5" customHeight="1">
      <c r="C191" s="492" t="s">
        <v>3158</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The Villas at Stanford</v>
      </c>
    </row>
    <row r="3" spans="1:6" ht="16.5">
      <c r="A3" s="1282" t="str">
        <f>CONCATENATE('Part I-Project Information'!F26,", ", 'Part I-Project Information'!J27," County")</f>
        <v>Kennesaw, Cobb County</v>
      </c>
    </row>
    <row r="4" spans="1:6" ht="12" customHeight="1"/>
    <row r="5" spans="1:6" ht="111" customHeight="1">
      <c r="A5" s="1283" t="s">
        <v>4156</v>
      </c>
      <c r="B5" s="816" t="s">
        <v>3593</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146.25" customHeight="1">
      <c r="A17" s="1283"/>
    </row>
    <row r="18" spans="1:1" ht="6.6" customHeight="1">
      <c r="A18" s="1283"/>
    </row>
    <row r="19" spans="1:1" ht="93" customHeight="1">
      <c r="A19" s="1283"/>
    </row>
    <row r="20" spans="1:1" ht="44.25"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- 2013-005 The Villas at Stanford, Kennesaw, Cobb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3117</v>
      </c>
      <c r="F3" s="388"/>
      <c r="G3" s="352" t="s">
        <v>568</v>
      </c>
      <c r="L3" s="387"/>
      <c r="O3" s="825" t="s">
        <v>3547</v>
      </c>
      <c r="P3" s="825"/>
    </row>
    <row r="4" spans="1:16" s="386" customFormat="1" ht="12" customHeight="1" thickBot="1">
      <c r="A4" s="687"/>
      <c r="B4" s="389"/>
      <c r="C4" s="389"/>
      <c r="F4" s="390"/>
      <c r="G4" s="352" t="s">
        <v>569</v>
      </c>
      <c r="H4" s="792"/>
      <c r="I4" s="792"/>
      <c r="J4" s="792"/>
      <c r="O4" s="1284" t="s">
        <v>4183</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3130</v>
      </c>
      <c r="D6" s="353"/>
      <c r="E6" s="391"/>
      <c r="F6" s="392" t="s">
        <v>2407</v>
      </c>
      <c r="J6" s="833">
        <f>'Part IV-Uses of Funds'!J172</f>
        <v>862115</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2753</v>
      </c>
      <c r="F9" s="1286" t="s">
        <v>4062</v>
      </c>
      <c r="G9" s="1287"/>
      <c r="H9" s="1288"/>
      <c r="I9" s="426"/>
      <c r="J9" s="773" t="s">
        <v>3963</v>
      </c>
      <c r="K9" s="398"/>
      <c r="L9" s="792"/>
      <c r="O9" s="1289" t="s">
        <v>4121</v>
      </c>
      <c r="P9" s="1290"/>
    </row>
    <row r="10" spans="1:16" s="386" customFormat="1" ht="12.75" customHeight="1">
      <c r="A10" s="687"/>
      <c r="B10" s="389"/>
      <c r="H10" s="792"/>
      <c r="J10" s="774" t="s">
        <v>3730</v>
      </c>
      <c r="K10" s="350"/>
      <c r="M10" s="792"/>
      <c r="O10" s="1291" t="s">
        <v>4070</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3028</v>
      </c>
      <c r="F14" s="1293" t="s">
        <v>4063</v>
      </c>
      <c r="G14" s="1294"/>
      <c r="H14" s="1294"/>
      <c r="I14" s="1294"/>
      <c r="J14" s="1294"/>
      <c r="K14" s="1294"/>
      <c r="L14" s="1295"/>
      <c r="M14" s="778" t="s">
        <v>2690</v>
      </c>
      <c r="N14" s="1293" t="s">
        <v>4064</v>
      </c>
      <c r="O14" s="1294"/>
      <c r="P14" s="1295"/>
    </row>
    <row r="15" spans="1:16" s="386" customFormat="1" ht="13.15" customHeight="1">
      <c r="C15" s="392" t="s">
        <v>2691</v>
      </c>
      <c r="F15" s="1293" t="s">
        <v>4065</v>
      </c>
      <c r="G15" s="1294"/>
      <c r="H15" s="1294"/>
      <c r="I15" s="1294"/>
      <c r="J15" s="1294"/>
      <c r="K15" s="1294"/>
      <c r="L15" s="1295"/>
      <c r="M15" s="778" t="s">
        <v>2413</v>
      </c>
      <c r="O15" s="1296">
        <v>2564174920</v>
      </c>
      <c r="P15" s="1297"/>
    </row>
    <row r="16" spans="1:16" s="386" customFormat="1" ht="13.15" customHeight="1">
      <c r="C16" s="392" t="s">
        <v>798</v>
      </c>
      <c r="F16" s="1298" t="s">
        <v>4066</v>
      </c>
      <c r="G16" s="1299"/>
      <c r="H16" s="1300"/>
      <c r="M16" s="778" t="s">
        <v>2497</v>
      </c>
      <c r="O16" s="1301">
        <v>2566233944</v>
      </c>
      <c r="P16" s="1302"/>
    </row>
    <row r="17" spans="1:16" s="386" customFormat="1" ht="13.15" customHeight="1">
      <c r="C17" s="392" t="s">
        <v>2494</v>
      </c>
      <c r="F17" s="1303" t="s">
        <v>1232</v>
      </c>
      <c r="I17" s="792" t="s">
        <v>2952</v>
      </c>
      <c r="J17" s="1304">
        <v>359713484</v>
      </c>
      <c r="K17" s="1305"/>
      <c r="M17" s="778" t="s">
        <v>2689</v>
      </c>
      <c r="O17" s="1301">
        <v>4047887162</v>
      </c>
      <c r="P17" s="1302"/>
    </row>
    <row r="18" spans="1:16" s="386" customFormat="1" ht="13.15" customHeight="1">
      <c r="B18" s="786"/>
      <c r="C18" s="392" t="s">
        <v>2412</v>
      </c>
      <c r="F18" s="1301">
        <v>2564174920</v>
      </c>
      <c r="G18" s="1306"/>
      <c r="H18" s="1302"/>
      <c r="I18" s="781" t="s">
        <v>2411</v>
      </c>
      <c r="J18" s="1307">
        <v>224</v>
      </c>
      <c r="K18" s="792" t="s">
        <v>2694</v>
      </c>
      <c r="L18" s="1293" t="s">
        <v>4067</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4068</v>
      </c>
      <c r="G23" s="1309"/>
      <c r="H23" s="1309"/>
      <c r="I23" s="1309"/>
      <c r="J23" s="1309"/>
      <c r="K23" s="1309"/>
      <c r="L23" s="1310"/>
      <c r="M23" s="778" t="s">
        <v>2909</v>
      </c>
      <c r="O23" s="1293" t="s">
        <v>4070</v>
      </c>
      <c r="P23" s="1295"/>
    </row>
    <row r="24" spans="1:16" s="386" customFormat="1" ht="13.15" customHeight="1">
      <c r="A24" s="399"/>
      <c r="B24" s="389"/>
      <c r="C24" s="386" t="s">
        <v>3600</v>
      </c>
      <c r="D24" s="400"/>
      <c r="F24" s="1293" t="s">
        <v>4069</v>
      </c>
      <c r="G24" s="1294"/>
      <c r="H24" s="1294"/>
      <c r="I24" s="1294"/>
      <c r="J24" s="1294"/>
      <c r="K24" s="1294"/>
      <c r="L24" s="1295"/>
      <c r="M24" s="778" t="s">
        <v>2764</v>
      </c>
      <c r="O24" s="1293" t="s">
        <v>4070</v>
      </c>
      <c r="P24" s="1295"/>
    </row>
    <row r="25" spans="1:16" s="386" customFormat="1" ht="13.15" customHeight="1">
      <c r="A25" s="399"/>
      <c r="B25" s="389"/>
      <c r="C25" s="386" t="s">
        <v>3744</v>
      </c>
      <c r="D25" s="400"/>
      <c r="F25" s="1293" t="s">
        <v>4069</v>
      </c>
      <c r="G25" s="1294"/>
      <c r="H25" s="1294"/>
      <c r="I25" s="1294"/>
      <c r="J25" s="1294"/>
      <c r="K25" s="1294"/>
      <c r="L25" s="1295"/>
      <c r="M25" s="778" t="s">
        <v>3745</v>
      </c>
      <c r="O25" s="1311"/>
      <c r="P25" s="1312"/>
    </row>
    <row r="26" spans="1:16" s="386" customFormat="1" ht="13.15" customHeight="1">
      <c r="A26" s="687"/>
      <c r="B26" s="389"/>
      <c r="C26" s="386" t="s">
        <v>798</v>
      </c>
      <c r="F26" s="1293" t="s">
        <v>603</v>
      </c>
      <c r="G26" s="1294"/>
      <c r="H26" s="1295"/>
      <c r="I26" s="404" t="s">
        <v>3601</v>
      </c>
      <c r="J26" s="1304">
        <v>301442812</v>
      </c>
      <c r="K26" s="1305"/>
      <c r="L26" s="472" t="str">
        <f>IF(AND(NOT(F23=""),NOT(F26="Select from list"),J26=""),"Enter Zip!","")</f>
        <v/>
      </c>
      <c r="M26" s="778" t="s">
        <v>3009</v>
      </c>
      <c r="O26" s="1313">
        <v>2.65</v>
      </c>
      <c r="P26" s="1314"/>
    </row>
    <row r="27" spans="1:16" s="386" customFormat="1" ht="13.15" customHeight="1">
      <c r="A27" s="687"/>
      <c r="B27" s="389"/>
      <c r="C27" s="824" t="s">
        <v>2763</v>
      </c>
      <c r="D27" s="824"/>
      <c r="F27" s="1315" t="s">
        <v>4061</v>
      </c>
      <c r="I27" s="401" t="s">
        <v>799</v>
      </c>
      <c r="J27" s="1316" t="str">
        <f>IF($F$26="","",VLOOKUP($F$26,$N$177:$O$780,2,FALSE))</f>
        <v>Cobb</v>
      </c>
      <c r="K27" s="1317"/>
      <c r="M27" s="402" t="s">
        <v>3021</v>
      </c>
      <c r="O27" s="1293">
        <v>302.27</v>
      </c>
      <c r="P27" s="1318"/>
    </row>
    <row r="28" spans="1:16" s="386" customFormat="1" ht="13.15" customHeight="1">
      <c r="A28" s="687"/>
      <c r="B28" s="389"/>
      <c r="C28" s="386" t="s">
        <v>2018</v>
      </c>
      <c r="F28" s="1319" t="s">
        <v>4070</v>
      </c>
      <c r="H28" s="394" t="s">
        <v>3409</v>
      </c>
      <c r="I28" s="565" t="str">
        <f>VLOOKUP($J$27,$C$177:$F$336,4)</f>
        <v>MSA</v>
      </c>
      <c r="J28" s="1320" t="str">
        <f>IF($F$26="","",VLOOKUP($J$27,$C$177:$H$336,3,FALSE))</f>
        <v>Atlanta-Sandy Springs-Marietta</v>
      </c>
      <c r="K28" s="1321"/>
      <c r="L28" s="1322"/>
      <c r="M28" s="778" t="s">
        <v>578</v>
      </c>
      <c r="N28" s="1323" t="s">
        <v>4070</v>
      </c>
      <c r="O28" s="394" t="s">
        <v>579</v>
      </c>
      <c r="P28" s="1323" t="s">
        <v>4070</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3761</v>
      </c>
      <c r="F30" s="832" t="s">
        <v>3954</v>
      </c>
      <c r="G30" s="832"/>
      <c r="H30" s="831" t="s">
        <v>1041</v>
      </c>
      <c r="I30" s="831"/>
      <c r="J30" s="831" t="s">
        <v>1042</v>
      </c>
      <c r="K30" s="831"/>
      <c r="L30" s="764" t="s">
        <v>3602</v>
      </c>
    </row>
    <row r="31" spans="1:16" s="386" customFormat="1" ht="13.15" customHeight="1">
      <c r="A31" s="687"/>
      <c r="B31" s="389"/>
      <c r="C31" s="386" t="s">
        <v>3953</v>
      </c>
      <c r="D31" s="389"/>
      <c r="F31" s="1324">
        <v>11</v>
      </c>
      <c r="G31" s="1325"/>
      <c r="H31" s="1324">
        <v>37</v>
      </c>
      <c r="I31" s="1325"/>
      <c r="J31" s="1324">
        <v>35</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3952</v>
      </c>
      <c r="N32" s="843" t="s">
        <v>3950</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4071</v>
      </c>
      <c r="G34" s="1327"/>
      <c r="H34" s="1327"/>
      <c r="I34" s="1327"/>
      <c r="J34" s="1328"/>
      <c r="K34" s="1329"/>
      <c r="M34" s="749" t="s">
        <v>3618</v>
      </c>
      <c r="N34" s="1330" t="s">
        <v>4075</v>
      </c>
      <c r="O34" s="1331"/>
      <c r="P34" s="1332"/>
    </row>
    <row r="35" spans="1:19" s="386" customFormat="1" ht="13.15" customHeight="1">
      <c r="A35" s="687"/>
      <c r="B35" s="687"/>
      <c r="C35" s="386" t="s">
        <v>818</v>
      </c>
      <c r="F35" s="1333" t="s">
        <v>4072</v>
      </c>
      <c r="G35" s="1334"/>
      <c r="H35" s="1335"/>
      <c r="I35" s="782" t="s">
        <v>2690</v>
      </c>
      <c r="J35" s="1330" t="s">
        <v>4073</v>
      </c>
      <c r="K35" s="1331"/>
      <c r="L35" s="1332"/>
      <c r="M35" s="392" t="s">
        <v>2495</v>
      </c>
      <c r="N35" s="1333" t="s">
        <v>4076</v>
      </c>
      <c r="O35" s="1334"/>
      <c r="P35" s="1335"/>
    </row>
    <row r="36" spans="1:19" s="386" customFormat="1" ht="13.15" customHeight="1">
      <c r="A36" s="687"/>
      <c r="B36" s="687"/>
      <c r="C36" s="386" t="s">
        <v>2691</v>
      </c>
      <c r="F36" s="1333" t="s">
        <v>4074</v>
      </c>
      <c r="G36" s="1334"/>
      <c r="H36" s="1334"/>
      <c r="I36" s="1334"/>
      <c r="J36" s="1336"/>
      <c r="K36" s="1337"/>
      <c r="M36" s="424" t="s">
        <v>798</v>
      </c>
      <c r="N36" s="1330" t="s">
        <v>603</v>
      </c>
      <c r="O36" s="1331"/>
      <c r="P36" s="1332"/>
    </row>
    <row r="37" spans="1:19" s="386" customFormat="1" ht="13.15" customHeight="1">
      <c r="A37" s="687"/>
      <c r="B37" s="687"/>
      <c r="C37" s="778" t="s">
        <v>2952</v>
      </c>
      <c r="F37" s="1338">
        <v>301442812</v>
      </c>
      <c r="G37" s="1339"/>
      <c r="H37" s="781" t="s">
        <v>2692</v>
      </c>
      <c r="I37" s="1340">
        <v>7704248274</v>
      </c>
      <c r="J37" s="1341"/>
      <c r="K37" s="1342"/>
      <c r="M37" s="392" t="s">
        <v>2497</v>
      </c>
      <c r="N37" s="1343">
        <v>6784602844</v>
      </c>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2489</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2693</v>
      </c>
      <c r="C41" s="389" t="s">
        <v>3023</v>
      </c>
      <c r="F41" s="1307" t="s">
        <v>4070</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2696</v>
      </c>
      <c r="C43" s="389" t="s">
        <v>909</v>
      </c>
      <c r="K43" s="761"/>
      <c r="L43" s="786"/>
      <c r="M43" s="763"/>
      <c r="N43" s="763"/>
      <c r="O43" s="763"/>
      <c r="P43" s="763"/>
      <c r="Q43" s="792"/>
    </row>
    <row r="44" spans="1:19" ht="13.15" customHeight="1">
      <c r="B44" s="687"/>
      <c r="C44" s="386" t="s">
        <v>3022</v>
      </c>
      <c r="D44" s="386"/>
      <c r="E44" s="386"/>
      <c r="F44" s="407">
        <f>'Part VI-Revenues &amp; Expenses'!$M$74</f>
        <v>74</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3739</v>
      </c>
      <c r="H46" s="386" t="s">
        <v>380</v>
      </c>
      <c r="M46" s="1345"/>
      <c r="Q46" s="792"/>
    </row>
    <row r="47" spans="1:19" s="386" customFormat="1" ht="3.6" customHeight="1">
      <c r="A47" s="687"/>
      <c r="P47" s="786"/>
    </row>
    <row r="48" spans="1:19" s="386" customFormat="1" ht="13.15" customHeight="1">
      <c r="A48" s="687"/>
      <c r="B48" s="399" t="s">
        <v>1054</v>
      </c>
      <c r="C48" s="398" t="s">
        <v>3002</v>
      </c>
      <c r="D48" s="786"/>
      <c r="I48" s="826" t="s">
        <v>1859</v>
      </c>
      <c r="J48" s="399" t="s">
        <v>2829</v>
      </c>
      <c r="K48" s="409" t="s">
        <v>3029</v>
      </c>
      <c r="M48" s="786"/>
      <c r="N48" s="786"/>
      <c r="O48" s="786"/>
      <c r="P48" s="792"/>
      <c r="Q48" s="792"/>
      <c r="R48" s="792"/>
      <c r="S48" s="786"/>
    </row>
    <row r="49" spans="1:16" s="386" customFormat="1" ht="13.15" customHeight="1">
      <c r="A49" s="687"/>
      <c r="B49" s="783"/>
      <c r="C49" s="396" t="s">
        <v>3003</v>
      </c>
      <c r="D49" s="786"/>
      <c r="E49" s="786"/>
      <c r="H49" s="410">
        <f>SUM(H50:H51)</f>
        <v>74</v>
      </c>
      <c r="I49" s="827"/>
      <c r="J49" s="687"/>
      <c r="K49" s="396" t="s">
        <v>3030</v>
      </c>
      <c r="M49" s="786"/>
      <c r="N49" s="786"/>
      <c r="O49" s="786"/>
      <c r="P49" s="410">
        <f>'Part VI-Revenues &amp; Expenses'!$M$96</f>
        <v>70700</v>
      </c>
    </row>
    <row r="50" spans="1:16" s="386" customFormat="1" ht="13.15" customHeight="1">
      <c r="A50" s="687"/>
      <c r="B50" s="406"/>
      <c r="D50" s="411" t="s">
        <v>419</v>
      </c>
      <c r="E50" s="411"/>
      <c r="H50" s="410">
        <f>'Part VI-Revenues &amp; Expenses'!$M$57</f>
        <v>12</v>
      </c>
      <c r="I50" s="410">
        <f>'Part VI-Revenues &amp; Expenses'!$M$65</f>
        <v>0</v>
      </c>
      <c r="K50" s="396" t="s">
        <v>277</v>
      </c>
      <c r="M50" s="786"/>
      <c r="N50" s="786"/>
      <c r="O50" s="786"/>
      <c r="P50" s="410">
        <f>'Part VI-Revenues &amp; Expenses'!$M$97</f>
        <v>0</v>
      </c>
    </row>
    <row r="51" spans="1:16" s="386" customFormat="1" ht="13.15" customHeight="1">
      <c r="A51" s="687"/>
      <c r="D51" s="411" t="s">
        <v>2520</v>
      </c>
      <c r="E51" s="411"/>
      <c r="H51" s="410">
        <f>'Part VI-Revenues &amp; Expenses'!$M$56</f>
        <v>62</v>
      </c>
      <c r="I51" s="410">
        <f>'Part VI-Revenues &amp; Expenses'!$M$64</f>
        <v>0</v>
      </c>
      <c r="K51" s="396" t="s">
        <v>3031</v>
      </c>
      <c r="M51" s="786"/>
      <c r="N51" s="786"/>
      <c r="O51" s="786"/>
      <c r="P51" s="410">
        <f>+P49+P50</f>
        <v>70700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3170</v>
      </c>
      <c r="D53" s="786"/>
      <c r="E53" s="786"/>
      <c r="H53" s="410">
        <f>+H49+H52</f>
        <v>74</v>
      </c>
      <c r="J53" s="687"/>
      <c r="K53" s="396" t="s">
        <v>1861</v>
      </c>
      <c r="M53" s="786"/>
      <c r="N53" s="786"/>
      <c r="O53" s="786"/>
      <c r="P53" s="410">
        <f>+P51+P52</f>
        <v>70700</v>
      </c>
    </row>
    <row r="54" spans="1:16" s="386" customFormat="1" ht="13.15" customHeight="1">
      <c r="A54" s="687"/>
      <c r="C54" s="396" t="s">
        <v>3171</v>
      </c>
      <c r="D54" s="786"/>
      <c r="E54" s="786"/>
      <c r="H54" s="410">
        <f>'Part VI-Revenues &amp; Expenses'!$M$61</f>
        <v>0</v>
      </c>
      <c r="J54" s="687"/>
    </row>
    <row r="55" spans="1:16" s="386" customFormat="1" ht="13.15" customHeight="1">
      <c r="A55" s="687"/>
      <c r="C55" s="396" t="s">
        <v>2488</v>
      </c>
      <c r="D55" s="786"/>
      <c r="E55" s="786"/>
      <c r="H55" s="410">
        <f>+H53+H54</f>
        <v>74</v>
      </c>
      <c r="J55" s="786"/>
    </row>
    <row r="56" spans="1:16" s="386" customFormat="1" ht="3" customHeight="1">
      <c r="A56" s="687"/>
      <c r="I56" s="792"/>
      <c r="L56" s="792"/>
      <c r="M56" s="792"/>
      <c r="N56" s="786"/>
      <c r="P56" s="397"/>
    </row>
    <row r="57" spans="1:16" s="386" customFormat="1" ht="13.15" customHeight="1">
      <c r="A57" s="687"/>
      <c r="B57" s="687" t="s">
        <v>2428</v>
      </c>
      <c r="C57" s="398" t="s">
        <v>3024</v>
      </c>
      <c r="D57" s="411" t="s">
        <v>2707</v>
      </c>
      <c r="G57" s="786"/>
      <c r="H57" s="1346">
        <v>1</v>
      </c>
      <c r="K57" s="396" t="s">
        <v>1536</v>
      </c>
      <c r="O57" s="786"/>
      <c r="P57" s="1346">
        <v>13585</v>
      </c>
    </row>
    <row r="58" spans="1:16" s="386" customFormat="1" ht="13.15" customHeight="1">
      <c r="A58" s="687"/>
      <c r="B58" s="687"/>
      <c r="D58" s="783" t="s">
        <v>2708</v>
      </c>
      <c r="H58" s="1346">
        <v>0</v>
      </c>
      <c r="I58" s="786"/>
      <c r="K58" s="396" t="s">
        <v>276</v>
      </c>
      <c r="O58" s="786"/>
      <c r="P58" s="410">
        <f>+P53+P57</f>
        <v>84285</v>
      </c>
    </row>
    <row r="59" spans="1:16" s="386" customFormat="1" ht="13.15" customHeight="1">
      <c r="A59" s="687"/>
      <c r="B59" s="687"/>
      <c r="D59" s="783" t="s">
        <v>2709</v>
      </c>
      <c r="H59" s="410">
        <f>+H57+H58</f>
        <v>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68</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2693</v>
      </c>
      <c r="C65" s="350" t="s">
        <v>3592</v>
      </c>
      <c r="D65" s="779"/>
      <c r="E65" s="779"/>
      <c r="F65" s="786"/>
      <c r="G65" s="792"/>
      <c r="H65" s="1347" t="s">
        <v>4077</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2696</v>
      </c>
      <c r="C67" s="398" t="s">
        <v>1851</v>
      </c>
      <c r="D67" s="786"/>
      <c r="E67" s="411"/>
      <c r="F67" s="783" t="s">
        <v>1189</v>
      </c>
      <c r="H67" s="1346">
        <v>4</v>
      </c>
      <c r="K67" s="824" t="s">
        <v>687</v>
      </c>
      <c r="L67" s="824"/>
      <c r="P67" s="414">
        <f>IF('Part VI-Revenues &amp; Expenses'!$M$62=0,0,$H67/'Part VI-Revenues &amp; Expenses'!$M$62)</f>
        <v>5.4054054054054057E-2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2543</v>
      </c>
      <c r="D69" s="411"/>
      <c r="E69" s="411"/>
      <c r="F69" s="783" t="s">
        <v>1189</v>
      </c>
      <c r="H69" s="1346">
        <v>2</v>
      </c>
      <c r="K69" s="824" t="s">
        <v>687</v>
      </c>
      <c r="L69" s="824"/>
      <c r="P69" s="414">
        <f>IF('Part VI-Revenues &amp; Expenses'!$M$62=0,0,$H69/'Part VI-Revenues &amp; Expenses'!$M$62)</f>
        <v>2.7027027027027029E-2</v>
      </c>
    </row>
    <row r="70" spans="1:16" s="386" customFormat="1" ht="3" customHeight="1">
      <c r="A70" s="687"/>
      <c r="B70" s="687"/>
      <c r="D70" s="783"/>
      <c r="E70" s="783"/>
      <c r="F70" s="783"/>
      <c r="I70" s="792"/>
      <c r="K70" s="778"/>
      <c r="L70" s="778"/>
      <c r="M70" s="792"/>
      <c r="P70" s="792"/>
    </row>
    <row r="71" spans="1:16" s="386" customFormat="1" ht="13.15" customHeight="1">
      <c r="A71" s="687"/>
      <c r="B71" s="687" t="s">
        <v>2829</v>
      </c>
      <c r="C71" s="398" t="s">
        <v>1714</v>
      </c>
      <c r="D71" s="411"/>
      <c r="E71" s="411"/>
      <c r="F71" s="783" t="s">
        <v>1715</v>
      </c>
      <c r="H71" s="1346"/>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3132</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2693</v>
      </c>
      <c r="C75" s="350" t="s">
        <v>3131</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2696</v>
      </c>
      <c r="C77" s="389" t="s">
        <v>1991</v>
      </c>
      <c r="K77" s="392" t="s">
        <v>1263</v>
      </c>
      <c r="N77" s="416"/>
      <c r="P77" s="1307" t="s">
        <v>4070</v>
      </c>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2754</v>
      </c>
      <c r="D79" s="783"/>
    </row>
    <row r="80" spans="1:16" s="386" customFormat="1" ht="3" customHeight="1">
      <c r="A80" s="687"/>
      <c r="B80" s="687"/>
      <c r="D80" s="783"/>
      <c r="N80" s="786"/>
      <c r="P80" s="397"/>
    </row>
    <row r="81" spans="1:16" s="386" customFormat="1" ht="13.15" customHeight="1">
      <c r="A81" s="415"/>
      <c r="B81" s="687" t="s">
        <v>2693</v>
      </c>
      <c r="C81" s="389" t="s">
        <v>3636</v>
      </c>
      <c r="F81" s="411" t="s">
        <v>3396</v>
      </c>
      <c r="H81" s="1307" t="s">
        <v>4070</v>
      </c>
      <c r="I81" s="394" t="s">
        <v>3395</v>
      </c>
      <c r="J81" s="1307" t="s">
        <v>4070</v>
      </c>
      <c r="L81" s="394" t="s">
        <v>565</v>
      </c>
      <c r="M81" s="1307" t="s">
        <v>4070</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2696</v>
      </c>
      <c r="C83" s="389" t="s">
        <v>3637</v>
      </c>
      <c r="F83" s="778" t="s">
        <v>3532</v>
      </c>
      <c r="H83" s="1307" t="s">
        <v>4070</v>
      </c>
      <c r="I83" s="672" t="s">
        <v>3638</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2494</v>
      </c>
      <c r="I90" s="1307"/>
      <c r="J90" s="417" t="s">
        <v>2952</v>
      </c>
      <c r="K90" s="1304"/>
      <c r="L90" s="1355"/>
      <c r="M90" s="353"/>
      <c r="N90" s="353"/>
      <c r="O90" s="353"/>
      <c r="P90" s="353"/>
    </row>
    <row r="91" spans="1:16" s="386" customFormat="1" ht="13.15" customHeight="1">
      <c r="C91" s="386" t="s">
        <v>2911</v>
      </c>
      <c r="E91" s="1293"/>
      <c r="F91" s="1354"/>
      <c r="G91" s="1355"/>
      <c r="H91" s="792" t="s">
        <v>2690</v>
      </c>
      <c r="I91" s="1293"/>
      <c r="J91" s="1354"/>
      <c r="K91" s="1355"/>
      <c r="L91" s="799" t="s">
        <v>2694</v>
      </c>
      <c r="M91" s="1293"/>
      <c r="N91" s="1354"/>
      <c r="O91" s="1354"/>
      <c r="P91" s="1355"/>
    </row>
    <row r="92" spans="1:16" s="386" customFormat="1" ht="13.15" customHeight="1">
      <c r="C92" s="392" t="s">
        <v>2910</v>
      </c>
      <c r="E92" s="1301"/>
      <c r="F92" s="1306"/>
      <c r="G92" s="1302"/>
      <c r="H92" s="792" t="s">
        <v>2497</v>
      </c>
      <c r="I92" s="1340"/>
      <c r="J92" s="1355"/>
      <c r="K92" s="417" t="s">
        <v>2498</v>
      </c>
      <c r="L92" s="1340"/>
      <c r="M92" s="1355"/>
      <c r="N92" s="417" t="s">
        <v>2689</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2868</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79" t="s">
        <v>1852</v>
      </c>
      <c r="D98" s="783"/>
      <c r="E98" s="783"/>
      <c r="F98" s="792"/>
      <c r="G98" s="792"/>
      <c r="H98" s="1356">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79" t="s">
        <v>451</v>
      </c>
      <c r="D100" s="783"/>
      <c r="E100" s="783"/>
      <c r="F100" s="792"/>
      <c r="G100" s="792"/>
      <c r="H100" s="1357">
        <v>1644449</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2849</v>
      </c>
      <c r="D103" s="783"/>
      <c r="F103" s="783" t="s">
        <v>1546</v>
      </c>
      <c r="G103" s="792"/>
      <c r="H103" s="792"/>
      <c r="I103" s="792"/>
      <c r="J103" s="783" t="s">
        <v>2849</v>
      </c>
      <c r="K103" s="783"/>
      <c r="M103" s="783" t="s">
        <v>1546</v>
      </c>
      <c r="N103" s="792"/>
      <c r="O103" s="792"/>
      <c r="P103" s="792"/>
    </row>
    <row r="104" spans="1:16" s="386" customFormat="1" ht="13.15" customHeight="1">
      <c r="A104" s="687"/>
      <c r="B104" s="687"/>
      <c r="C104" s="1358" t="s">
        <v>4083</v>
      </c>
      <c r="D104" s="1359"/>
      <c r="E104" s="1359"/>
      <c r="F104" s="1359" t="s">
        <v>4126</v>
      </c>
      <c r="G104" s="1359"/>
      <c r="H104" s="1359"/>
      <c r="I104" s="1360"/>
      <c r="J104" s="1358" t="s">
        <v>4079</v>
      </c>
      <c r="K104" s="1359"/>
      <c r="L104" s="1359"/>
      <c r="M104" s="1359" t="s">
        <v>4127</v>
      </c>
      <c r="N104" s="1359"/>
      <c r="O104" s="1359"/>
      <c r="P104" s="1360"/>
    </row>
    <row r="105" spans="1:16" s="386" customFormat="1" ht="13.15" customHeight="1">
      <c r="A105" s="687"/>
      <c r="B105" s="687"/>
      <c r="C105" s="1361" t="s">
        <v>4084</v>
      </c>
      <c r="D105" s="1362"/>
      <c r="E105" s="1362"/>
      <c r="F105" s="1362" t="s">
        <v>4126</v>
      </c>
      <c r="G105" s="1362"/>
      <c r="H105" s="1362"/>
      <c r="I105" s="1363"/>
      <c r="J105" s="1361">
        <v>7</v>
      </c>
      <c r="K105" s="1362"/>
      <c r="L105" s="1362"/>
      <c r="M105" s="1362"/>
      <c r="N105" s="1362"/>
      <c r="O105" s="1362"/>
      <c r="P105" s="1363"/>
    </row>
    <row r="106" spans="1:16" s="386" customFormat="1" ht="13.15" customHeight="1">
      <c r="A106" s="687"/>
      <c r="B106" s="687"/>
      <c r="C106" s="1361" t="s">
        <v>4079</v>
      </c>
      <c r="D106" s="1362"/>
      <c r="E106" s="1362"/>
      <c r="F106" s="1362" t="s">
        <v>4126</v>
      </c>
      <c r="G106" s="1362"/>
      <c r="H106" s="1362"/>
      <c r="I106" s="1363"/>
      <c r="J106" s="1361">
        <v>8</v>
      </c>
      <c r="K106" s="1362"/>
      <c r="L106" s="1362"/>
      <c r="M106" s="1362"/>
      <c r="N106" s="1362"/>
      <c r="O106" s="1362"/>
      <c r="P106" s="1363"/>
    </row>
    <row r="107" spans="1:16" s="386" customFormat="1" ht="13.15" customHeight="1">
      <c r="A107" s="687"/>
      <c r="B107" s="687"/>
      <c r="C107" s="1361" t="s">
        <v>4083</v>
      </c>
      <c r="D107" s="1362"/>
      <c r="E107" s="1362"/>
      <c r="F107" s="1362" t="s">
        <v>4127</v>
      </c>
      <c r="G107" s="1362"/>
      <c r="H107" s="1362"/>
      <c r="I107" s="1363"/>
      <c r="J107" s="1361">
        <v>9</v>
      </c>
      <c r="K107" s="1362"/>
      <c r="L107" s="1362"/>
      <c r="M107" s="1362"/>
      <c r="N107" s="1362"/>
      <c r="O107" s="1362"/>
      <c r="P107" s="1363"/>
    </row>
    <row r="108" spans="1:16" s="386" customFormat="1" ht="13.15" customHeight="1">
      <c r="A108" s="687"/>
      <c r="B108" s="687"/>
      <c r="C108" s="1364" t="s">
        <v>4084</v>
      </c>
      <c r="D108" s="1365"/>
      <c r="E108" s="1365"/>
      <c r="F108" s="1365" t="s">
        <v>4127</v>
      </c>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22" t="s">
        <v>2550</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2849</v>
      </c>
      <c r="D112" s="783"/>
      <c r="F112" s="783" t="s">
        <v>1546</v>
      </c>
      <c r="G112" s="792"/>
      <c r="H112" s="792"/>
      <c r="I112" s="792"/>
      <c r="J112" s="783" t="s">
        <v>2849</v>
      </c>
      <c r="K112" s="783"/>
      <c r="M112" s="783" t="s">
        <v>1546</v>
      </c>
      <c r="N112" s="792"/>
      <c r="O112" s="792"/>
      <c r="P112" s="792"/>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3183</v>
      </c>
      <c r="D119" s="412"/>
      <c r="E119" s="412"/>
      <c r="F119" s="412"/>
      <c r="H119" s="1307" t="s">
        <v>4070</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2693</v>
      </c>
      <c r="C121" s="393" t="s">
        <v>2403</v>
      </c>
      <c r="H121" s="1307" t="s">
        <v>4070</v>
      </c>
      <c r="M121" s="792"/>
      <c r="N121" s="786"/>
      <c r="O121" s="786"/>
      <c r="P121" s="397"/>
    </row>
    <row r="122" spans="1:16" s="386" customFormat="1" ht="13.15" customHeight="1">
      <c r="A122" s="687"/>
      <c r="B122" s="687"/>
      <c r="C122" s="783" t="s">
        <v>3185</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3186</v>
      </c>
      <c r="D124" s="783"/>
      <c r="E124" s="783"/>
      <c r="F124" s="792"/>
      <c r="H124" s="1367"/>
      <c r="K124" s="353" t="s">
        <v>2971</v>
      </c>
      <c r="O124" s="1293" t="s">
        <v>617</v>
      </c>
      <c r="P124" s="1295"/>
    </row>
    <row r="125" spans="1:16" s="386" customFormat="1" ht="13.15" customHeight="1">
      <c r="A125" s="687"/>
      <c r="B125" s="687"/>
      <c r="C125" s="783" t="s">
        <v>3184</v>
      </c>
      <c r="F125" s="792"/>
      <c r="H125" s="1356" t="s">
        <v>4070</v>
      </c>
      <c r="K125" s="353" t="s">
        <v>2972</v>
      </c>
      <c r="O125" s="1293" t="s">
        <v>617</v>
      </c>
      <c r="P125" s="1295"/>
    </row>
    <row r="126" spans="1:16" s="386" customFormat="1" ht="13.15" customHeight="1">
      <c r="A126" s="687"/>
      <c r="B126" s="687"/>
      <c r="C126" s="783" t="s">
        <v>2882</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2696</v>
      </c>
      <c r="C128" s="779" t="s">
        <v>3270</v>
      </c>
      <c r="D128" s="783"/>
      <c r="E128" s="783"/>
      <c r="F128" s="792"/>
      <c r="H128" s="1356" t="s">
        <v>4070</v>
      </c>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3603</v>
      </c>
      <c r="D130" s="783"/>
      <c r="E130" s="783"/>
      <c r="F130" s="792"/>
      <c r="G130" s="792"/>
      <c r="N130" s="786"/>
      <c r="O130" s="786"/>
      <c r="P130" s="397"/>
    </row>
    <row r="131" spans="1:16" s="386" customFormat="1" ht="13.15" customHeight="1">
      <c r="A131" s="687"/>
      <c r="B131" s="687"/>
      <c r="C131" s="783" t="s">
        <v>911</v>
      </c>
      <c r="D131" s="783"/>
      <c r="E131" s="783"/>
      <c r="F131" s="792"/>
      <c r="G131" s="792"/>
      <c r="H131" s="1356" t="s">
        <v>4070</v>
      </c>
      <c r="K131" s="783" t="s">
        <v>1992</v>
      </c>
      <c r="L131" s="783"/>
      <c r="M131" s="792"/>
      <c r="N131" s="792"/>
      <c r="O131" s="1356" t="s">
        <v>4070</v>
      </c>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2693</v>
      </c>
      <c r="C135" s="403" t="s">
        <v>2521</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t="s">
        <v>4070</v>
      </c>
      <c r="N136" s="786"/>
      <c r="O136" s="786"/>
      <c r="P136" s="397"/>
    </row>
    <row r="137" spans="1:16" s="386" customFormat="1" ht="12.6" customHeight="1">
      <c r="A137" s="687"/>
      <c r="B137" s="687"/>
      <c r="C137" s="386" t="s">
        <v>795</v>
      </c>
      <c r="K137" s="1346"/>
      <c r="L137" s="392" t="s">
        <v>2490</v>
      </c>
      <c r="P137" s="421">
        <f>IF('Part VI-Revenues &amp; Expenses'!$M$60=0,0,$K137/'Part VI-Revenues &amp; Expenses'!$M$60)</f>
        <v>0</v>
      </c>
    </row>
    <row r="138" spans="1:16" s="386" customFormat="1" ht="12.6" customHeight="1">
      <c r="A138" s="687"/>
      <c r="B138" s="687"/>
      <c r="C138" s="386" t="s">
        <v>2883</v>
      </c>
      <c r="K138" s="1346"/>
      <c r="L138" s="392" t="s">
        <v>2490</v>
      </c>
      <c r="P138" s="421">
        <f>IF('Part VI-Revenues &amp; Expenses'!$M$60=0,0,$K138/'Part VI-Revenues &amp; Expenses'!$M$60)</f>
        <v>0</v>
      </c>
    </row>
    <row r="139" spans="1:16" s="386" customFormat="1" ht="12.6" customHeight="1">
      <c r="A139" s="687"/>
      <c r="B139" s="687"/>
      <c r="C139" s="386" t="s">
        <v>2491</v>
      </c>
      <c r="E139" s="1293"/>
      <c r="F139" s="1294"/>
      <c r="G139" s="1294"/>
      <c r="H139" s="1294"/>
      <c r="I139" s="1294"/>
      <c r="J139" s="1294"/>
      <c r="K139" s="1295"/>
      <c r="L139" s="422" t="s">
        <v>2492</v>
      </c>
      <c r="M139" s="1293"/>
      <c r="N139" s="1294"/>
      <c r="O139" s="1294"/>
      <c r="P139" s="1295"/>
    </row>
    <row r="140" spans="1:16" s="386" customFormat="1" ht="12.6" customHeight="1">
      <c r="A140" s="687"/>
      <c r="B140" s="687"/>
      <c r="C140" s="392" t="s">
        <v>2493</v>
      </c>
      <c r="D140" s="400"/>
      <c r="E140" s="1293"/>
      <c r="F140" s="1294"/>
      <c r="G140" s="1294"/>
      <c r="H140" s="1294"/>
      <c r="I140" s="1294"/>
      <c r="J140" s="1294"/>
      <c r="K140" s="1368"/>
      <c r="L140" s="778" t="s">
        <v>2495</v>
      </c>
      <c r="M140" s="1308"/>
      <c r="N140" s="1309"/>
      <c r="O140" s="1309"/>
      <c r="P140" s="1310"/>
    </row>
    <row r="141" spans="1:16" s="386" customFormat="1" ht="12.6" customHeight="1">
      <c r="A141" s="687"/>
      <c r="B141" s="687"/>
      <c r="C141" s="392" t="s">
        <v>798</v>
      </c>
      <c r="E141" s="1293"/>
      <c r="F141" s="1294"/>
      <c r="G141" s="1294"/>
      <c r="H141" s="1295"/>
      <c r="I141" s="417" t="s">
        <v>2952</v>
      </c>
      <c r="J141" s="1304"/>
      <c r="K141" s="1305"/>
      <c r="L141" s="422" t="s">
        <v>2498</v>
      </c>
      <c r="M141" s="1301"/>
      <c r="N141" s="1306"/>
      <c r="O141" s="1302"/>
    </row>
    <row r="142" spans="1:16" s="386" customFormat="1" ht="12.6" customHeight="1">
      <c r="A142" s="687"/>
      <c r="B142" s="687"/>
      <c r="C142" s="392" t="s">
        <v>2496</v>
      </c>
      <c r="E142" s="1301"/>
      <c r="F142" s="1306"/>
      <c r="G142" s="1302"/>
      <c r="H142" s="423" t="s">
        <v>2497</v>
      </c>
      <c r="I142" s="1301"/>
      <c r="J142" s="1306"/>
      <c r="K142" s="1302"/>
      <c r="L142" s="424" t="s">
        <v>2689</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2696</v>
      </c>
      <c r="C144" s="779" t="s">
        <v>3616</v>
      </c>
      <c r="D144" s="779"/>
      <c r="E144" s="779"/>
      <c r="F144" s="779"/>
      <c r="G144" s="779"/>
      <c r="I144" s="1356" t="s">
        <v>4070</v>
      </c>
      <c r="J144" s="820" t="s">
        <v>1067</v>
      </c>
      <c r="K144" s="821"/>
      <c r="L144" s="1356"/>
      <c r="M144" s="817" t="s">
        <v>3055</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3617</v>
      </c>
      <c r="D146" s="779"/>
      <c r="E146" s="779"/>
      <c r="F146" s="779"/>
      <c r="G146" s="779"/>
      <c r="I146" s="1356" t="s">
        <v>4061</v>
      </c>
      <c r="J146" s="820" t="s">
        <v>1067</v>
      </c>
      <c r="K146" s="821"/>
      <c r="L146" s="1356">
        <v>2035</v>
      </c>
      <c r="M146" s="817" t="s">
        <v>3055</v>
      </c>
      <c r="N146" s="818"/>
      <c r="O146" s="819"/>
      <c r="P146" s="1367">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4070</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2829</v>
      </c>
      <c r="C150" s="841" t="s">
        <v>2688</v>
      </c>
      <c r="D150" s="841"/>
      <c r="E150" s="841"/>
      <c r="F150" s="841"/>
      <c r="G150" s="779"/>
      <c r="I150" s="1356" t="s">
        <v>4070</v>
      </c>
      <c r="J150" s="428" t="s">
        <v>3935</v>
      </c>
      <c r="L150" s="840" t="s">
        <v>1924</v>
      </c>
      <c r="M150" s="840"/>
      <c r="N150" s="779"/>
      <c r="O150" s="779"/>
      <c r="P150" s="1369"/>
    </row>
    <row r="151" spans="1:16" s="386" customFormat="1" ht="12.6" customHeight="1">
      <c r="B151" s="687"/>
      <c r="L151" s="824" t="s">
        <v>1190</v>
      </c>
      <c r="M151" s="824"/>
      <c r="N151" s="779"/>
      <c r="O151" s="779"/>
      <c r="P151" s="1369"/>
    </row>
    <row r="152" spans="1:16" s="386" customFormat="1" ht="12.6" customHeight="1">
      <c r="A152" s="687"/>
      <c r="B152" s="687"/>
      <c r="L152" s="824" t="s">
        <v>2486</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2932</v>
      </c>
      <c r="D154" s="398"/>
      <c r="E154" s="786"/>
      <c r="F154" s="786"/>
      <c r="I154" s="1356" t="s">
        <v>4070</v>
      </c>
      <c r="L154" s="786" t="s">
        <v>3670</v>
      </c>
      <c r="M154" s="786"/>
      <c r="P154" s="1356" t="s">
        <v>4070</v>
      </c>
    </row>
    <row r="155" spans="1:16" s="386" customFormat="1" ht="12.6" customHeight="1">
      <c r="A155" s="687"/>
      <c r="B155" s="687"/>
      <c r="C155" s="786" t="s">
        <v>2934</v>
      </c>
      <c r="I155" s="1356" t="s">
        <v>4070</v>
      </c>
      <c r="L155" s="786" t="s">
        <v>2076</v>
      </c>
      <c r="M155" s="786"/>
      <c r="N155" s="786"/>
      <c r="P155" s="1356" t="s">
        <v>4070</v>
      </c>
    </row>
    <row r="156" spans="1:16" s="386" customFormat="1" ht="12.6" customHeight="1">
      <c r="A156" s="687"/>
      <c r="C156" s="786" t="s">
        <v>3669</v>
      </c>
      <c r="I156" s="1356" t="s">
        <v>4070</v>
      </c>
      <c r="L156" s="786" t="s">
        <v>1995</v>
      </c>
      <c r="M156" s="786"/>
      <c r="N156" s="786"/>
      <c r="P156" s="1356" t="s">
        <v>4070</v>
      </c>
    </row>
    <row r="157" spans="1:16" s="386" customFormat="1" ht="12.6" customHeight="1">
      <c r="A157" s="687"/>
      <c r="B157" s="687"/>
      <c r="C157" s="786" t="s">
        <v>1716</v>
      </c>
      <c r="D157" s="429"/>
      <c r="I157" s="1356" t="s">
        <v>4070</v>
      </c>
      <c r="K157" s="398"/>
      <c r="L157" s="786" t="s">
        <v>3589</v>
      </c>
      <c r="N157" s="1370"/>
      <c r="O157" s="1371"/>
      <c r="P157" s="1356" t="s">
        <v>4070</v>
      </c>
    </row>
    <row r="158" spans="1:16" s="386" customFormat="1" ht="12.6" customHeight="1">
      <c r="A158" s="687"/>
      <c r="B158" s="389"/>
      <c r="C158" s="786" t="s">
        <v>2505</v>
      </c>
      <c r="I158" s="1356" t="s">
        <v>4070</v>
      </c>
      <c r="J158" s="428" t="s">
        <v>3936</v>
      </c>
      <c r="O158" s="1372"/>
      <c r="P158" s="1373"/>
    </row>
    <row r="159" spans="1:16" s="386" customFormat="1" ht="12.6" customHeight="1">
      <c r="A159" s="687"/>
      <c r="B159" s="687"/>
      <c r="C159" s="786" t="s">
        <v>3668</v>
      </c>
      <c r="I159" s="1356" t="s">
        <v>4070</v>
      </c>
      <c r="J159" s="428" t="s">
        <v>3936</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3022</v>
      </c>
      <c r="D164" s="783"/>
      <c r="E164" s="783"/>
      <c r="F164" s="792"/>
      <c r="G164" s="792"/>
      <c r="H164" s="1352"/>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2977</v>
      </c>
      <c r="L166" s="415" t="s">
        <v>83</v>
      </c>
    </row>
    <row r="167" spans="1:21" ht="114" customHeight="1">
      <c r="A167" s="1374" t="s">
        <v>4182</v>
      </c>
      <c r="B167" s="1375"/>
      <c r="C167" s="1375"/>
      <c r="D167" s="1375"/>
      <c r="E167" s="1375"/>
      <c r="F167" s="1375"/>
      <c r="G167" s="1375"/>
      <c r="H167" s="1375"/>
      <c r="I167" s="1375"/>
      <c r="J167" s="1376"/>
      <c r="K167" s="1377"/>
      <c r="L167" s="1378"/>
      <c r="M167" s="1378"/>
      <c r="N167" s="1378"/>
      <c r="O167" s="1378"/>
      <c r="P167" s="1379"/>
      <c r="Q167" s="816" t="s">
        <v>3593</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3160</v>
      </c>
      <c r="K176" s="724"/>
      <c r="L176" s="727"/>
      <c r="M176" s="728"/>
      <c r="N176" s="728" t="s">
        <v>798</v>
      </c>
      <c r="O176" s="729" t="s">
        <v>799</v>
      </c>
      <c r="P176" s="728" t="s">
        <v>2856</v>
      </c>
      <c r="T176" s="730" t="s">
        <v>545</v>
      </c>
      <c r="U176" s="729" t="s">
        <v>799</v>
      </c>
    </row>
    <row r="177" spans="2:21" s="723" customFormat="1" ht="12" customHeight="1">
      <c r="B177" s="626" t="s">
        <v>1232</v>
      </c>
      <c r="C177" s="626" t="s">
        <v>1631</v>
      </c>
      <c r="D177" s="626" t="s">
        <v>1632</v>
      </c>
      <c r="E177" s="731" t="s">
        <v>1633</v>
      </c>
      <c r="F177" s="731" t="s">
        <v>3410</v>
      </c>
      <c r="G177" s="732" t="s">
        <v>1572</v>
      </c>
      <c r="H177" s="733" t="s">
        <v>458</v>
      </c>
      <c r="I177" s="734"/>
      <c r="J177" s="735" t="s">
        <v>1979</v>
      </c>
      <c r="K177" s="736"/>
      <c r="L177" s="727"/>
      <c r="M177" s="728"/>
      <c r="N177" s="737" t="s">
        <v>3161</v>
      </c>
      <c r="O177" s="737" t="s">
        <v>2660</v>
      </c>
      <c r="P177" s="626" t="s">
        <v>2078</v>
      </c>
      <c r="T177" s="737" t="s">
        <v>1653</v>
      </c>
      <c r="U177" s="737" t="s">
        <v>1515</v>
      </c>
    </row>
    <row r="178" spans="2:21" s="723" customFormat="1" ht="12" customHeight="1">
      <c r="B178" s="626" t="s">
        <v>1233</v>
      </c>
      <c r="C178" s="626" t="s">
        <v>2472</v>
      </c>
      <c r="D178" s="626" t="s">
        <v>1632</v>
      </c>
      <c r="E178" s="731" t="s">
        <v>2473</v>
      </c>
      <c r="F178" s="731" t="s">
        <v>3410</v>
      </c>
      <c r="G178" s="732" t="s">
        <v>1573</v>
      </c>
      <c r="H178" s="733" t="s">
        <v>458</v>
      </c>
      <c r="I178" s="734"/>
      <c r="J178" s="735" t="s">
        <v>1981</v>
      </c>
      <c r="K178" s="736"/>
      <c r="L178" s="727"/>
      <c r="M178" s="728"/>
      <c r="N178" s="737" t="s">
        <v>1980</v>
      </c>
      <c r="O178" s="737" t="s">
        <v>3266</v>
      </c>
      <c r="P178" s="626" t="s">
        <v>2079</v>
      </c>
      <c r="T178" s="737" t="s">
        <v>715</v>
      </c>
      <c r="U178" s="737" t="s">
        <v>176</v>
      </c>
    </row>
    <row r="179" spans="2:21" s="723" customFormat="1" ht="12" customHeight="1">
      <c r="B179" s="626" t="s">
        <v>1234</v>
      </c>
      <c r="C179" s="626" t="s">
        <v>2474</v>
      </c>
      <c r="D179" s="626" t="s">
        <v>1632</v>
      </c>
      <c r="E179" s="731" t="s">
        <v>2475</v>
      </c>
      <c r="F179" s="731" t="s">
        <v>3410</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3411</v>
      </c>
      <c r="G180" s="732" t="s">
        <v>1575</v>
      </c>
      <c r="H180" s="733" t="s">
        <v>459</v>
      </c>
      <c r="I180" s="739"/>
      <c r="J180" s="735" t="s">
        <v>2794</v>
      </c>
      <c r="K180" s="736"/>
      <c r="L180" s="727"/>
      <c r="M180" s="728"/>
      <c r="N180" s="737" t="s">
        <v>590</v>
      </c>
      <c r="O180" s="737" t="s">
        <v>3316</v>
      </c>
      <c r="P180" s="626" t="s">
        <v>2081</v>
      </c>
      <c r="T180" s="737" t="s">
        <v>2072</v>
      </c>
      <c r="U180" s="737" t="s">
        <v>3315</v>
      </c>
    </row>
    <row r="181" spans="2:21" s="723" customFormat="1" ht="12" customHeight="1">
      <c r="B181" s="626" t="s">
        <v>1236</v>
      </c>
      <c r="C181" s="626" t="s">
        <v>2478</v>
      </c>
      <c r="D181" s="626" t="s">
        <v>1769</v>
      </c>
      <c r="E181" s="738" t="s">
        <v>172</v>
      </c>
      <c r="F181" s="738" t="s">
        <v>3410</v>
      </c>
      <c r="G181" s="732" t="s">
        <v>1576</v>
      </c>
      <c r="H181" s="733" t="s">
        <v>458</v>
      </c>
      <c r="I181" s="739"/>
      <c r="J181" s="735" t="s">
        <v>2796</v>
      </c>
      <c r="K181" s="736"/>
      <c r="L181" s="727"/>
      <c r="M181" s="728"/>
      <c r="N181" s="737" t="s">
        <v>2795</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3410</v>
      </c>
      <c r="G182" s="732" t="s">
        <v>2522</v>
      </c>
      <c r="H182" s="733" t="s">
        <v>458</v>
      </c>
      <c r="I182" s="734"/>
      <c r="J182" s="735" t="s">
        <v>2798</v>
      </c>
      <c r="K182" s="736"/>
      <c r="L182" s="727"/>
      <c r="M182" s="728"/>
      <c r="N182" s="737" t="s">
        <v>2797</v>
      </c>
      <c r="O182" s="737" t="s">
        <v>201</v>
      </c>
      <c r="P182" s="626" t="s">
        <v>2083</v>
      </c>
      <c r="T182" s="737" t="s">
        <v>2839</v>
      </c>
      <c r="U182" s="737" t="s">
        <v>112</v>
      </c>
    </row>
    <row r="183" spans="2:21" s="723" customFormat="1" ht="12" customHeight="1">
      <c r="B183" s="626" t="s">
        <v>1238</v>
      </c>
      <c r="C183" s="626" t="s">
        <v>1747</v>
      </c>
      <c r="D183" s="626" t="s">
        <v>1769</v>
      </c>
      <c r="E183" s="738" t="s">
        <v>1152</v>
      </c>
      <c r="F183" s="738" t="s">
        <v>3411</v>
      </c>
      <c r="G183" s="732" t="s">
        <v>3372</v>
      </c>
      <c r="H183" s="733" t="s">
        <v>459</v>
      </c>
      <c r="I183" s="739"/>
      <c r="J183" s="735" t="s">
        <v>2800</v>
      </c>
      <c r="K183" s="736"/>
      <c r="L183" s="727"/>
      <c r="M183" s="728"/>
      <c r="N183" s="737" t="s">
        <v>2799</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3411</v>
      </c>
      <c r="G184" s="732" t="s">
        <v>3372</v>
      </c>
      <c r="H184" s="733" t="s">
        <v>459</v>
      </c>
      <c r="I184" s="739"/>
      <c r="J184" s="735" t="s">
        <v>2802</v>
      </c>
      <c r="K184" s="736"/>
      <c r="L184" s="727"/>
      <c r="M184" s="728"/>
      <c r="N184" s="737" t="s">
        <v>2801</v>
      </c>
      <c r="O184" s="737" t="s">
        <v>1751</v>
      </c>
      <c r="P184" s="626" t="s">
        <v>2085</v>
      </c>
      <c r="Q184" s="732"/>
    </row>
    <row r="185" spans="2:21" s="723" customFormat="1" ht="12" customHeight="1">
      <c r="B185" s="626" t="s">
        <v>1240</v>
      </c>
      <c r="C185" s="626" t="s">
        <v>1749</v>
      </c>
      <c r="D185" s="626" t="s">
        <v>1632</v>
      </c>
      <c r="E185" s="731" t="s">
        <v>1750</v>
      </c>
      <c r="F185" s="731" t="s">
        <v>3410</v>
      </c>
      <c r="G185" s="732" t="s">
        <v>3373</v>
      </c>
      <c r="H185" s="733" t="s">
        <v>458</v>
      </c>
      <c r="I185" s="734"/>
      <c r="J185" s="735" t="s">
        <v>2672</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3410</v>
      </c>
      <c r="G186" s="732" t="s">
        <v>3374</v>
      </c>
      <c r="H186" s="733" t="s">
        <v>458</v>
      </c>
      <c r="I186" s="734"/>
      <c r="J186" s="735" t="s">
        <v>197</v>
      </c>
      <c r="K186" s="627"/>
      <c r="L186" s="626"/>
      <c r="M186" s="728"/>
      <c r="N186" s="737" t="s">
        <v>2673</v>
      </c>
      <c r="O186" s="737" t="s">
        <v>550</v>
      </c>
      <c r="P186" s="626" t="s">
        <v>2087</v>
      </c>
      <c r="Q186" s="732"/>
    </row>
    <row r="187" spans="2:21" s="723" customFormat="1" ht="12" customHeight="1">
      <c r="B187" s="626" t="s">
        <v>1242</v>
      </c>
      <c r="C187" s="626" t="s">
        <v>1753</v>
      </c>
      <c r="D187" s="626" t="s">
        <v>1769</v>
      </c>
      <c r="E187" s="738" t="s">
        <v>1754</v>
      </c>
      <c r="F187" s="738" t="s">
        <v>3411</v>
      </c>
      <c r="G187" s="732" t="s">
        <v>3375</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3410</v>
      </c>
      <c r="G188" s="732" t="s">
        <v>3376</v>
      </c>
      <c r="H188" s="733" t="s">
        <v>458</v>
      </c>
      <c r="I188" s="739"/>
      <c r="J188" s="735" t="s">
        <v>570</v>
      </c>
      <c r="K188" s="736"/>
      <c r="L188" s="727"/>
      <c r="M188" s="728"/>
      <c r="N188" s="737" t="s">
        <v>200</v>
      </c>
      <c r="O188" s="737" t="s">
        <v>3157</v>
      </c>
      <c r="P188" s="626" t="s">
        <v>2089</v>
      </c>
      <c r="Q188" s="732"/>
    </row>
    <row r="189" spans="2:21" s="723" customFormat="1" ht="12" customHeight="1">
      <c r="B189" s="626" t="s">
        <v>1244</v>
      </c>
      <c r="C189" s="626" t="s">
        <v>1757</v>
      </c>
      <c r="D189" s="626" t="s">
        <v>1632</v>
      </c>
      <c r="E189" s="731" t="s">
        <v>12</v>
      </c>
      <c r="F189" s="731" t="s">
        <v>3411</v>
      </c>
      <c r="G189" s="732" t="s">
        <v>3377</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3411</v>
      </c>
      <c r="G190" s="732" t="s">
        <v>3378</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3411</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3410</v>
      </c>
      <c r="G192" s="732" t="s">
        <v>3393</v>
      </c>
      <c r="H192" s="733" t="s">
        <v>458</v>
      </c>
      <c r="I192" s="739"/>
      <c r="J192" s="735" t="s">
        <v>2988</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3411</v>
      </c>
      <c r="G193" s="732" t="s">
        <v>3394</v>
      </c>
      <c r="H193" s="733" t="s">
        <v>459</v>
      </c>
      <c r="I193" s="739"/>
      <c r="J193" s="735" t="s">
        <v>2990</v>
      </c>
      <c r="K193" s="736"/>
      <c r="L193" s="727"/>
      <c r="M193" s="728"/>
      <c r="N193" s="737" t="s">
        <v>2989</v>
      </c>
      <c r="O193" s="737" t="s">
        <v>3267</v>
      </c>
      <c r="P193" s="626" t="s">
        <v>2094</v>
      </c>
      <c r="Q193" s="732"/>
    </row>
    <row r="194" spans="2:17" s="723" customFormat="1" ht="12" customHeight="1">
      <c r="B194" s="626" t="s">
        <v>1249</v>
      </c>
      <c r="C194" s="626" t="s">
        <v>1765</v>
      </c>
      <c r="D194" s="626" t="s">
        <v>1769</v>
      </c>
      <c r="E194" s="738" t="s">
        <v>1441</v>
      </c>
      <c r="F194" s="738" t="s">
        <v>3411</v>
      </c>
      <c r="G194" s="732" t="s">
        <v>1682</v>
      </c>
      <c r="H194" s="733" t="s">
        <v>459</v>
      </c>
      <c r="I194" s="739"/>
      <c r="J194" s="735" t="s">
        <v>402</v>
      </c>
      <c r="K194" s="736"/>
      <c r="L194" s="727"/>
      <c r="M194" s="728"/>
      <c r="N194" s="737" t="s">
        <v>2551</v>
      </c>
      <c r="O194" s="737" t="s">
        <v>2894</v>
      </c>
      <c r="P194" s="626" t="s">
        <v>2095</v>
      </c>
      <c r="Q194" s="732"/>
    </row>
    <row r="195" spans="2:17" s="723" customFormat="1" ht="12" customHeight="1">
      <c r="B195" s="626" t="s">
        <v>1250</v>
      </c>
      <c r="C195" s="626" t="s">
        <v>1766</v>
      </c>
      <c r="D195" s="626" t="s">
        <v>1632</v>
      </c>
      <c r="E195" s="731" t="s">
        <v>1767</v>
      </c>
      <c r="F195" s="731" t="s">
        <v>3410</v>
      </c>
      <c r="G195" s="732" t="s">
        <v>1683</v>
      </c>
      <c r="H195" s="733" t="s">
        <v>458</v>
      </c>
      <c r="I195" s="734"/>
      <c r="J195" s="735" t="s">
        <v>404</v>
      </c>
      <c r="K195" s="736"/>
      <c r="L195" s="727"/>
      <c r="M195" s="728"/>
      <c r="N195" s="737" t="s">
        <v>403</v>
      </c>
      <c r="O195" s="737" t="s">
        <v>2894</v>
      </c>
      <c r="P195" s="626" t="s">
        <v>2096</v>
      </c>
      <c r="Q195" s="732"/>
    </row>
    <row r="196" spans="2:17" s="723" customFormat="1" ht="12" customHeight="1">
      <c r="B196" s="626" t="s">
        <v>1251</v>
      </c>
      <c r="C196" s="626" t="s">
        <v>1768</v>
      </c>
      <c r="D196" s="626" t="s">
        <v>1632</v>
      </c>
      <c r="E196" s="738" t="s">
        <v>1035</v>
      </c>
      <c r="F196" s="738" t="s">
        <v>3410</v>
      </c>
      <c r="G196" s="732" t="s">
        <v>1684</v>
      </c>
      <c r="H196" s="733" t="s">
        <v>458</v>
      </c>
      <c r="I196" s="739"/>
      <c r="J196" s="735" t="s">
        <v>3341</v>
      </c>
      <c r="K196" s="736"/>
      <c r="L196" s="727"/>
      <c r="M196" s="728"/>
      <c r="N196" s="737" t="s">
        <v>3342</v>
      </c>
      <c r="O196" s="737" t="s">
        <v>3320</v>
      </c>
      <c r="P196" s="626" t="s">
        <v>2097</v>
      </c>
      <c r="Q196" s="732"/>
    </row>
    <row r="197" spans="2:17" s="723" customFormat="1" ht="12" customHeight="1">
      <c r="B197" s="626" t="s">
        <v>1252</v>
      </c>
      <c r="C197" s="626" t="s">
        <v>1036</v>
      </c>
      <c r="D197" s="626" t="s">
        <v>1632</v>
      </c>
      <c r="E197" s="731" t="s">
        <v>1037</v>
      </c>
      <c r="F197" s="731" t="s">
        <v>3410</v>
      </c>
      <c r="G197" s="732" t="s">
        <v>2401</v>
      </c>
      <c r="H197" s="733" t="s">
        <v>458</v>
      </c>
      <c r="I197" s="734"/>
      <c r="J197" s="735" t="s">
        <v>3343</v>
      </c>
      <c r="K197" s="736"/>
      <c r="L197" s="727"/>
      <c r="M197" s="728"/>
      <c r="N197" s="737" t="s">
        <v>3344</v>
      </c>
      <c r="O197" s="737" t="s">
        <v>1505</v>
      </c>
      <c r="P197" s="626" t="s">
        <v>2098</v>
      </c>
      <c r="Q197" s="732"/>
    </row>
    <row r="198" spans="2:17" s="723" customFormat="1" ht="12" customHeight="1">
      <c r="B198" s="626" t="s">
        <v>1253</v>
      </c>
      <c r="C198" s="626" t="s">
        <v>1038</v>
      </c>
      <c r="D198" s="626" t="s">
        <v>1769</v>
      </c>
      <c r="E198" s="738" t="s">
        <v>1152</v>
      </c>
      <c r="F198" s="738" t="s">
        <v>3411</v>
      </c>
      <c r="G198" s="732" t="s">
        <v>3372</v>
      </c>
      <c r="H198" s="733" t="s">
        <v>459</v>
      </c>
      <c r="I198" s="739"/>
      <c r="J198" s="735" t="s">
        <v>3345</v>
      </c>
      <c r="K198" s="736"/>
      <c r="L198" s="727"/>
      <c r="M198" s="728"/>
      <c r="N198" s="737" t="s">
        <v>3346</v>
      </c>
      <c r="O198" s="737" t="s">
        <v>355</v>
      </c>
      <c r="P198" s="626" t="s">
        <v>2099</v>
      </c>
      <c r="Q198" s="732"/>
    </row>
    <row r="199" spans="2:17" s="723" customFormat="1" ht="12" customHeight="1">
      <c r="B199" s="626" t="s">
        <v>1254</v>
      </c>
      <c r="C199" s="626" t="s">
        <v>1977</v>
      </c>
      <c r="D199" s="626" t="s">
        <v>1745</v>
      </c>
      <c r="E199" s="738" t="s">
        <v>1978</v>
      </c>
      <c r="F199" s="738" t="s">
        <v>3411</v>
      </c>
      <c r="G199" s="732" t="s">
        <v>2370</v>
      </c>
      <c r="H199" s="733" t="s">
        <v>459</v>
      </c>
      <c r="I199" s="739"/>
      <c r="J199" s="735" t="s">
        <v>3347</v>
      </c>
      <c r="K199" s="736"/>
      <c r="L199" s="727"/>
      <c r="M199" s="728"/>
      <c r="N199" s="737" t="s">
        <v>3348</v>
      </c>
      <c r="O199" s="737" t="s">
        <v>3264</v>
      </c>
      <c r="P199" s="626" t="s">
        <v>2100</v>
      </c>
      <c r="Q199" s="732"/>
    </row>
    <row r="200" spans="2:17" s="723" customFormat="1" ht="12" customHeight="1">
      <c r="B200" s="626" t="s">
        <v>1255</v>
      </c>
      <c r="C200" s="626" t="s">
        <v>173</v>
      </c>
      <c r="D200" s="626" t="s">
        <v>1632</v>
      </c>
      <c r="E200" s="731" t="s">
        <v>174</v>
      </c>
      <c r="F200" s="731" t="s">
        <v>3410</v>
      </c>
      <c r="G200" s="732" t="s">
        <v>2371</v>
      </c>
      <c r="H200" s="733" t="s">
        <v>458</v>
      </c>
      <c r="I200" s="734"/>
      <c r="J200" s="735" t="s">
        <v>3349</v>
      </c>
      <c r="K200" s="736"/>
      <c r="L200" s="727"/>
      <c r="M200" s="728"/>
      <c r="N200" s="737" t="s">
        <v>3350</v>
      </c>
      <c r="O200" s="737" t="s">
        <v>1766</v>
      </c>
      <c r="P200" s="626" t="s">
        <v>2101</v>
      </c>
      <c r="Q200" s="732"/>
    </row>
    <row r="201" spans="2:17" s="723" customFormat="1" ht="12" customHeight="1">
      <c r="B201" s="626" t="s">
        <v>1256</v>
      </c>
      <c r="C201" s="626" t="s">
        <v>175</v>
      </c>
      <c r="D201" s="626" t="s">
        <v>1632</v>
      </c>
      <c r="E201" s="738" t="s">
        <v>1760</v>
      </c>
      <c r="F201" s="738" t="s">
        <v>3411</v>
      </c>
      <c r="G201" s="732" t="s">
        <v>1909</v>
      </c>
      <c r="H201" s="733" t="s">
        <v>459</v>
      </c>
      <c r="I201" s="739"/>
      <c r="J201" s="735" t="s">
        <v>3351</v>
      </c>
      <c r="K201" s="736"/>
      <c r="L201" s="727"/>
      <c r="M201" s="728"/>
      <c r="N201" s="737" t="s">
        <v>3353</v>
      </c>
      <c r="O201" s="737" t="s">
        <v>3387</v>
      </c>
      <c r="P201" s="626" t="s">
        <v>2102</v>
      </c>
      <c r="Q201" s="732"/>
    </row>
    <row r="202" spans="2:17" s="723" customFormat="1" ht="12" customHeight="1">
      <c r="B202" s="626" t="s">
        <v>1776</v>
      </c>
      <c r="C202" s="626" t="s">
        <v>176</v>
      </c>
      <c r="D202" s="626" t="s">
        <v>1769</v>
      </c>
      <c r="E202" s="738" t="s">
        <v>177</v>
      </c>
      <c r="F202" s="738" t="s">
        <v>3411</v>
      </c>
      <c r="G202" s="732" t="s">
        <v>2372</v>
      </c>
      <c r="H202" s="733" t="s">
        <v>459</v>
      </c>
      <c r="I202" s="739"/>
      <c r="J202" s="735" t="s">
        <v>3352</v>
      </c>
      <c r="K202" s="736"/>
      <c r="L202" s="727"/>
      <c r="M202" s="728"/>
      <c r="N202" s="737" t="s">
        <v>3355</v>
      </c>
      <c r="O202" s="737" t="s">
        <v>2625</v>
      </c>
      <c r="P202" s="626" t="s">
        <v>2103</v>
      </c>
      <c r="Q202" s="732"/>
    </row>
    <row r="203" spans="2:17" s="723" customFormat="1" ht="12" customHeight="1">
      <c r="B203" s="626" t="s">
        <v>1777</v>
      </c>
      <c r="C203" s="626" t="s">
        <v>178</v>
      </c>
      <c r="D203" s="626" t="s">
        <v>1745</v>
      </c>
      <c r="E203" s="731" t="s">
        <v>179</v>
      </c>
      <c r="F203" s="731" t="s">
        <v>3410</v>
      </c>
      <c r="G203" s="732" t="s">
        <v>2373</v>
      </c>
      <c r="H203" s="733" t="s">
        <v>458</v>
      </c>
      <c r="I203" s="734"/>
      <c r="J203" s="735" t="s">
        <v>3354</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3411</v>
      </c>
      <c r="G204" s="732" t="s">
        <v>3372</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2756</v>
      </c>
      <c r="F205" s="731" t="s">
        <v>3411</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3261</v>
      </c>
      <c r="D206" s="626" t="s">
        <v>1632</v>
      </c>
      <c r="E206" s="731" t="s">
        <v>3262</v>
      </c>
      <c r="F206" s="731" t="s">
        <v>3410</v>
      </c>
      <c r="G206" s="732" t="s">
        <v>801</v>
      </c>
      <c r="H206" s="733" t="s">
        <v>458</v>
      </c>
      <c r="I206" s="734"/>
      <c r="J206" s="735" t="s">
        <v>1169</v>
      </c>
      <c r="K206" s="627"/>
      <c r="L206" s="727"/>
      <c r="M206" s="728"/>
      <c r="N206" s="737" t="s">
        <v>2785</v>
      </c>
      <c r="O206" s="737" t="s">
        <v>1747</v>
      </c>
      <c r="P206" s="626" t="s">
        <v>2106</v>
      </c>
      <c r="Q206" s="732"/>
    </row>
    <row r="207" spans="2:17" s="723" customFormat="1" ht="12" customHeight="1">
      <c r="B207" s="626" t="s">
        <v>1781</v>
      </c>
      <c r="C207" s="626" t="s">
        <v>3263</v>
      </c>
      <c r="D207" s="626" t="s">
        <v>1769</v>
      </c>
      <c r="E207" s="738" t="s">
        <v>1152</v>
      </c>
      <c r="F207" s="738" t="s">
        <v>3411</v>
      </c>
      <c r="G207" s="732" t="s">
        <v>3372</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3264</v>
      </c>
      <c r="D208" s="626" t="s">
        <v>1632</v>
      </c>
      <c r="E208" s="731" t="s">
        <v>3265</v>
      </c>
      <c r="F208" s="731" t="s">
        <v>3410</v>
      </c>
      <c r="G208" s="732" t="s">
        <v>802</v>
      </c>
      <c r="H208" s="733" t="s">
        <v>458</v>
      </c>
      <c r="I208" s="734"/>
      <c r="J208" s="735" t="s">
        <v>2786</v>
      </c>
      <c r="K208" s="627"/>
      <c r="L208" s="727"/>
      <c r="M208" s="728"/>
      <c r="N208" s="737" t="s">
        <v>2788</v>
      </c>
      <c r="O208" s="737" t="s">
        <v>3266</v>
      </c>
      <c r="P208" s="626" t="s">
        <v>2107</v>
      </c>
      <c r="Q208" s="732"/>
    </row>
    <row r="209" spans="2:19" s="723" customFormat="1" ht="12" customHeight="1">
      <c r="B209" s="626" t="s">
        <v>1783</v>
      </c>
      <c r="C209" s="626" t="s">
        <v>3266</v>
      </c>
      <c r="D209" s="626" t="s">
        <v>1745</v>
      </c>
      <c r="E209" s="738" t="s">
        <v>1152</v>
      </c>
      <c r="F209" s="738" t="s">
        <v>3411</v>
      </c>
      <c r="G209" s="732" t="s">
        <v>3372</v>
      </c>
      <c r="H209" s="733" t="s">
        <v>459</v>
      </c>
      <c r="I209" s="739"/>
      <c r="J209" s="735" t="s">
        <v>2787</v>
      </c>
      <c r="K209" s="627"/>
      <c r="L209" s="727"/>
      <c r="M209" s="728"/>
      <c r="N209" s="737" t="s">
        <v>2710</v>
      </c>
      <c r="O209" s="737" t="s">
        <v>2890</v>
      </c>
      <c r="P209" s="626" t="s">
        <v>2108</v>
      </c>
      <c r="Q209" s="732"/>
    </row>
    <row r="210" spans="2:19" s="723" customFormat="1" ht="12" customHeight="1">
      <c r="B210" s="626" t="s">
        <v>1784</v>
      </c>
      <c r="C210" s="626" t="s">
        <v>3267</v>
      </c>
      <c r="D210" s="626" t="s">
        <v>1632</v>
      </c>
      <c r="E210" s="731" t="s">
        <v>3268</v>
      </c>
      <c r="F210" s="731" t="s">
        <v>3410</v>
      </c>
      <c r="G210" s="732" t="s">
        <v>803</v>
      </c>
      <c r="H210" s="733" t="s">
        <v>458</v>
      </c>
      <c r="I210" s="734"/>
      <c r="J210" s="735" t="s">
        <v>2789</v>
      </c>
      <c r="K210" s="627"/>
      <c r="L210" s="727"/>
      <c r="M210" s="728"/>
      <c r="N210" s="737" t="s">
        <v>2790</v>
      </c>
      <c r="O210" s="737" t="s">
        <v>360</v>
      </c>
      <c r="P210" s="626" t="s">
        <v>2109</v>
      </c>
      <c r="Q210" s="732"/>
    </row>
    <row r="211" spans="2:19" s="723" customFormat="1" ht="12" customHeight="1">
      <c r="B211" s="626" t="s">
        <v>1785</v>
      </c>
      <c r="C211" s="626" t="s">
        <v>3269</v>
      </c>
      <c r="D211" s="626" t="s">
        <v>1632</v>
      </c>
      <c r="E211" s="731" t="s">
        <v>3314</v>
      </c>
      <c r="F211" s="731" t="s">
        <v>3410</v>
      </c>
      <c r="G211" s="732" t="s">
        <v>804</v>
      </c>
      <c r="H211" s="733" t="s">
        <v>458</v>
      </c>
      <c r="I211" s="734"/>
      <c r="J211" s="735" t="s">
        <v>2820</v>
      </c>
      <c r="K211" s="627"/>
      <c r="L211" s="727"/>
      <c r="M211" s="728"/>
      <c r="N211" s="737" t="s">
        <v>2821</v>
      </c>
      <c r="O211" s="737" t="s">
        <v>808</v>
      </c>
      <c r="P211" s="626" t="s">
        <v>2110</v>
      </c>
      <c r="Q211" s="732"/>
    </row>
    <row r="212" spans="2:19" s="723" customFormat="1" ht="12" customHeight="1">
      <c r="B212" s="626" t="s">
        <v>1786</v>
      </c>
      <c r="C212" s="626" t="s">
        <v>3315</v>
      </c>
      <c r="D212" s="626" t="s">
        <v>1769</v>
      </c>
      <c r="E212" s="738" t="s">
        <v>1153</v>
      </c>
      <c r="F212" s="738" t="s">
        <v>3411</v>
      </c>
      <c r="G212" s="732" t="s">
        <v>3394</v>
      </c>
      <c r="H212" s="733" t="s">
        <v>459</v>
      </c>
      <c r="I212" s="739"/>
      <c r="J212" s="735" t="s">
        <v>2822</v>
      </c>
      <c r="K212" s="627"/>
      <c r="L212" s="727"/>
      <c r="M212" s="728"/>
      <c r="N212" s="737" t="s">
        <v>2823</v>
      </c>
      <c r="O212" s="737" t="s">
        <v>2236</v>
      </c>
      <c r="P212" s="626" t="s">
        <v>2111</v>
      </c>
      <c r="Q212" s="732"/>
    </row>
    <row r="213" spans="2:19" s="723" customFormat="1" ht="12" customHeight="1">
      <c r="B213" s="626" t="s">
        <v>1787</v>
      </c>
      <c r="C213" s="626" t="s">
        <v>3316</v>
      </c>
      <c r="D213" s="626" t="s">
        <v>1632</v>
      </c>
      <c r="E213" s="731" t="s">
        <v>3317</v>
      </c>
      <c r="F213" s="731" t="s">
        <v>3410</v>
      </c>
      <c r="G213" s="732" t="s">
        <v>805</v>
      </c>
      <c r="H213" s="733" t="s">
        <v>458</v>
      </c>
      <c r="I213" s="734"/>
      <c r="J213" s="735" t="s">
        <v>2824</v>
      </c>
      <c r="K213" s="627"/>
      <c r="L213" s="727"/>
      <c r="M213" s="728"/>
      <c r="N213" s="737" t="s">
        <v>2825</v>
      </c>
      <c r="O213" s="737" t="s">
        <v>214</v>
      </c>
      <c r="P213" s="626" t="s">
        <v>2112</v>
      </c>
      <c r="Q213" s="732"/>
    </row>
    <row r="214" spans="2:19" s="723" customFormat="1" ht="12" customHeight="1">
      <c r="B214" s="626" t="s">
        <v>1788</v>
      </c>
      <c r="C214" s="626" t="s">
        <v>3318</v>
      </c>
      <c r="D214" s="626" t="s">
        <v>1769</v>
      </c>
      <c r="E214" s="738" t="s">
        <v>1152</v>
      </c>
      <c r="F214" s="738" t="s">
        <v>3411</v>
      </c>
      <c r="G214" s="732" t="s">
        <v>3372</v>
      </c>
      <c r="H214" s="733" t="s">
        <v>459</v>
      </c>
      <c r="I214" s="739"/>
      <c r="J214" s="735" t="s">
        <v>2826</v>
      </c>
      <c r="K214" s="627"/>
      <c r="L214" s="727"/>
      <c r="M214" s="728"/>
      <c r="N214" s="737" t="s">
        <v>2478</v>
      </c>
      <c r="O214" s="737" t="s">
        <v>128</v>
      </c>
      <c r="P214" s="626" t="s">
        <v>2113</v>
      </c>
      <c r="Q214" s="732"/>
    </row>
    <row r="215" spans="2:19" s="723" customFormat="1" ht="12" customHeight="1">
      <c r="B215" s="626" t="s">
        <v>1789</v>
      </c>
      <c r="C215" s="626" t="s">
        <v>3319</v>
      </c>
      <c r="D215" s="626" t="s">
        <v>1769</v>
      </c>
      <c r="E215" s="738" t="s">
        <v>1754</v>
      </c>
      <c r="F215" s="738" t="s">
        <v>3411</v>
      </c>
      <c r="G215" s="732" t="s">
        <v>3375</v>
      </c>
      <c r="H215" s="733" t="s">
        <v>459</v>
      </c>
      <c r="I215" s="739"/>
      <c r="J215" s="735" t="s">
        <v>3335</v>
      </c>
      <c r="K215" s="627"/>
      <c r="L215" s="727"/>
      <c r="M215" s="728"/>
      <c r="N215" s="737" t="s">
        <v>3336</v>
      </c>
      <c r="O215" s="737" t="s">
        <v>180</v>
      </c>
      <c r="P215" s="626" t="s">
        <v>2114</v>
      </c>
      <c r="Q215" s="732"/>
    </row>
    <row r="216" spans="2:19" s="723" customFormat="1" ht="12" customHeight="1">
      <c r="B216" s="626" t="s">
        <v>1790</v>
      </c>
      <c r="C216" s="626" t="s">
        <v>3320</v>
      </c>
      <c r="D216" s="626" t="s">
        <v>1632</v>
      </c>
      <c r="E216" s="731" t="s">
        <v>211</v>
      </c>
      <c r="F216" s="731" t="s">
        <v>3410</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3411</v>
      </c>
      <c r="G217" s="732" t="s">
        <v>2370</v>
      </c>
      <c r="H217" s="733" t="s">
        <v>459</v>
      </c>
      <c r="I217" s="739"/>
      <c r="J217" s="735" t="s">
        <v>2713</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3411</v>
      </c>
      <c r="G218" s="732" t="s">
        <v>3372</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3410</v>
      </c>
      <c r="G219" s="732" t="s">
        <v>807</v>
      </c>
      <c r="H219" s="733" t="s">
        <v>458</v>
      </c>
      <c r="I219" s="734"/>
      <c r="J219" s="735" t="s">
        <v>2961</v>
      </c>
      <c r="K219" s="627"/>
      <c r="L219" s="727"/>
      <c r="M219" s="728"/>
      <c r="N219" s="737" t="s">
        <v>2962</v>
      </c>
      <c r="O219" s="737" t="s">
        <v>1631</v>
      </c>
      <c r="P219" s="626" t="s">
        <v>2118</v>
      </c>
      <c r="Q219" s="732"/>
    </row>
    <row r="220" spans="2:19" s="723" customFormat="1" ht="12" customHeight="1">
      <c r="B220" s="626" t="s">
        <v>1794</v>
      </c>
      <c r="C220" s="626" t="s">
        <v>216</v>
      </c>
      <c r="D220" s="626" t="s">
        <v>1769</v>
      </c>
      <c r="E220" s="738" t="s">
        <v>1152</v>
      </c>
      <c r="F220" s="738" t="s">
        <v>3411</v>
      </c>
      <c r="G220" s="732" t="s">
        <v>3372</v>
      </c>
      <c r="H220" s="733" t="s">
        <v>459</v>
      </c>
      <c r="I220" s="739"/>
      <c r="J220" s="735" t="s">
        <v>2963</v>
      </c>
      <c r="K220" s="627"/>
      <c r="L220" s="727"/>
      <c r="M220" s="728"/>
      <c r="N220" s="737" t="s">
        <v>2964</v>
      </c>
      <c r="O220" s="737" t="s">
        <v>2970</v>
      </c>
      <c r="P220" s="626" t="s">
        <v>2119</v>
      </c>
      <c r="Q220" s="732"/>
    </row>
    <row r="221" spans="2:19" s="723" customFormat="1" ht="12" customHeight="1">
      <c r="B221" s="626" t="s">
        <v>1795</v>
      </c>
      <c r="C221" s="626" t="s">
        <v>217</v>
      </c>
      <c r="D221" s="626" t="s">
        <v>1632</v>
      </c>
      <c r="E221" s="731" t="s">
        <v>1349</v>
      </c>
      <c r="F221" s="731" t="s">
        <v>3410</v>
      </c>
      <c r="G221" s="732" t="s">
        <v>2668</v>
      </c>
      <c r="H221" s="733" t="s">
        <v>458</v>
      </c>
      <c r="I221" s="734"/>
      <c r="J221" s="735" t="s">
        <v>2965</v>
      </c>
      <c r="K221" s="627"/>
      <c r="L221" s="727"/>
      <c r="M221" s="728"/>
      <c r="N221" s="626" t="s">
        <v>3357</v>
      </c>
      <c r="O221" s="626" t="s">
        <v>808</v>
      </c>
      <c r="P221" s="1381" t="s">
        <v>2855</v>
      </c>
      <c r="Q221" s="732"/>
      <c r="R221" s="626"/>
      <c r="S221" s="626"/>
    </row>
    <row r="222" spans="2:19" s="723" customFormat="1" ht="12" customHeight="1">
      <c r="B222" s="626" t="s">
        <v>1796</v>
      </c>
      <c r="C222" s="626" t="s">
        <v>1350</v>
      </c>
      <c r="D222" s="626" t="s">
        <v>1632</v>
      </c>
      <c r="E222" s="731" t="s">
        <v>1351</v>
      </c>
      <c r="F222" s="731" t="s">
        <v>3410</v>
      </c>
      <c r="G222" s="732" t="s">
        <v>2669</v>
      </c>
      <c r="H222" s="733" t="s">
        <v>458</v>
      </c>
      <c r="I222" s="734"/>
      <c r="J222" s="735" t="s">
        <v>2995</v>
      </c>
      <c r="K222" s="627"/>
      <c r="L222" s="727"/>
      <c r="M222" s="728"/>
      <c r="N222" s="737" t="s">
        <v>2966</v>
      </c>
      <c r="O222" s="737" t="s">
        <v>127</v>
      </c>
      <c r="P222" s="626" t="s">
        <v>2120</v>
      </c>
      <c r="Q222" s="732"/>
      <c r="R222" s="626"/>
      <c r="S222" s="626"/>
    </row>
    <row r="223" spans="2:19" s="723" customFormat="1" ht="12" customHeight="1">
      <c r="B223" s="626" t="s">
        <v>1797</v>
      </c>
      <c r="C223" s="626" t="s">
        <v>1352</v>
      </c>
      <c r="D223" s="626" t="s">
        <v>1632</v>
      </c>
      <c r="E223" s="738" t="s">
        <v>2477</v>
      </c>
      <c r="F223" s="738" t="s">
        <v>3411</v>
      </c>
      <c r="G223" s="732" t="s">
        <v>1575</v>
      </c>
      <c r="H223" s="733" t="s">
        <v>459</v>
      </c>
      <c r="I223" s="739"/>
      <c r="J223" s="735" t="s">
        <v>2468</v>
      </c>
      <c r="K223" s="627"/>
      <c r="L223" s="727"/>
      <c r="M223" s="728"/>
      <c r="N223" s="737" t="s">
        <v>2443</v>
      </c>
      <c r="O223" s="737" t="s">
        <v>3269</v>
      </c>
      <c r="P223" s="626" t="s">
        <v>2121</v>
      </c>
      <c r="Q223" s="732"/>
      <c r="R223" s="626"/>
      <c r="S223" s="626"/>
    </row>
    <row r="224" spans="2:19" s="723" customFormat="1" ht="12" customHeight="1">
      <c r="B224" s="626" t="s">
        <v>1798</v>
      </c>
      <c r="C224" s="626" t="s">
        <v>1268</v>
      </c>
      <c r="D224" s="626" t="s">
        <v>1769</v>
      </c>
      <c r="E224" s="738" t="s">
        <v>1152</v>
      </c>
      <c r="F224" s="738" t="s">
        <v>3411</v>
      </c>
      <c r="G224" s="732" t="s">
        <v>3372</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3410</v>
      </c>
      <c r="G225" s="732" t="s">
        <v>2670</v>
      </c>
      <c r="H225" s="733" t="s">
        <v>458</v>
      </c>
      <c r="I225" s="734"/>
      <c r="J225" s="735" t="s">
        <v>2874</v>
      </c>
      <c r="K225" s="627"/>
      <c r="L225" s="727"/>
      <c r="M225" s="728"/>
      <c r="N225" s="737" t="s">
        <v>2471</v>
      </c>
      <c r="O225" s="737" t="s">
        <v>2719</v>
      </c>
      <c r="P225" s="626" t="s">
        <v>2123</v>
      </c>
    </row>
    <row r="226" spans="2:17" s="723" customFormat="1" ht="12" customHeight="1">
      <c r="B226" s="626" t="s">
        <v>1800</v>
      </c>
      <c r="C226" s="626" t="s">
        <v>1271</v>
      </c>
      <c r="D226" s="626" t="s">
        <v>1632</v>
      </c>
      <c r="E226" s="731" t="s">
        <v>2386</v>
      </c>
      <c r="F226" s="731" t="s">
        <v>3411</v>
      </c>
      <c r="G226" s="732" t="s">
        <v>3378</v>
      </c>
      <c r="H226" s="733" t="s">
        <v>459</v>
      </c>
      <c r="I226" s="734"/>
      <c r="J226" s="735" t="s">
        <v>2875</v>
      </c>
      <c r="K226" s="627"/>
      <c r="L226" s="727"/>
      <c r="M226" s="728"/>
      <c r="N226" s="737" t="s">
        <v>1219</v>
      </c>
      <c r="O226" s="737" t="s">
        <v>3384</v>
      </c>
      <c r="P226" s="1380" t="s">
        <v>1218</v>
      </c>
    </row>
    <row r="227" spans="2:17" s="723" customFormat="1" ht="12" customHeight="1">
      <c r="B227" s="626" t="s">
        <v>1801</v>
      </c>
      <c r="C227" s="626" t="s">
        <v>1272</v>
      </c>
      <c r="D227" s="626" t="s">
        <v>1632</v>
      </c>
      <c r="E227" s="738" t="s">
        <v>1760</v>
      </c>
      <c r="F227" s="738" t="s">
        <v>3411</v>
      </c>
      <c r="G227" s="732" t="s">
        <v>1909</v>
      </c>
      <c r="H227" s="733" t="s">
        <v>459</v>
      </c>
      <c r="I227" s="739"/>
      <c r="J227" s="735" t="s">
        <v>3209</v>
      </c>
      <c r="K227" s="736"/>
      <c r="L227" s="727"/>
      <c r="M227" s="728"/>
      <c r="N227" s="737" t="s">
        <v>2876</v>
      </c>
      <c r="O227" s="737" t="s">
        <v>3386</v>
      </c>
      <c r="P227" s="626" t="s">
        <v>2124</v>
      </c>
      <c r="Q227" s="732"/>
    </row>
    <row r="228" spans="2:17" s="723" customFormat="1" ht="12" customHeight="1">
      <c r="B228" s="740"/>
      <c r="C228" s="626" t="s">
        <v>1273</v>
      </c>
      <c r="D228" s="626" t="s">
        <v>1769</v>
      </c>
      <c r="E228" s="731" t="s">
        <v>1274</v>
      </c>
      <c r="F228" s="731" t="s">
        <v>3410</v>
      </c>
      <c r="G228" s="732" t="s">
        <v>1770</v>
      </c>
      <c r="H228" s="733" t="s">
        <v>458</v>
      </c>
      <c r="I228" s="734"/>
      <c r="J228" s="735" t="s">
        <v>3211</v>
      </c>
      <c r="K228" s="736"/>
      <c r="L228" s="727"/>
      <c r="M228" s="728"/>
      <c r="N228" s="737" t="s">
        <v>3210</v>
      </c>
      <c r="O228" s="737" t="s">
        <v>1502</v>
      </c>
      <c r="P228" s="626" t="s">
        <v>2125</v>
      </c>
      <c r="Q228" s="732"/>
    </row>
    <row r="229" spans="2:17" s="723" customFormat="1" ht="12" customHeight="1">
      <c r="B229" s="740"/>
      <c r="C229" s="626" t="s">
        <v>2968</v>
      </c>
      <c r="D229" s="626" t="s">
        <v>1632</v>
      </c>
      <c r="E229" s="731" t="s">
        <v>2969</v>
      </c>
      <c r="F229" s="731" t="s">
        <v>3410</v>
      </c>
      <c r="G229" s="732" t="s">
        <v>1771</v>
      </c>
      <c r="H229" s="733" t="s">
        <v>458</v>
      </c>
      <c r="I229" s="734"/>
      <c r="J229" s="735" t="s">
        <v>3213</v>
      </c>
      <c r="K229" s="736"/>
      <c r="L229" s="727"/>
      <c r="M229" s="728"/>
      <c r="N229" s="626" t="s">
        <v>3358</v>
      </c>
      <c r="O229" s="626" t="s">
        <v>351</v>
      </c>
      <c r="P229" s="1381" t="s">
        <v>2855</v>
      </c>
      <c r="Q229" s="732"/>
    </row>
    <row r="230" spans="2:17" s="723" customFormat="1" ht="12" customHeight="1">
      <c r="B230" s="740"/>
      <c r="C230" s="626" t="s">
        <v>2970</v>
      </c>
      <c r="D230" s="626" t="s">
        <v>1632</v>
      </c>
      <c r="E230" s="731" t="s">
        <v>840</v>
      </c>
      <c r="F230" s="731" t="s">
        <v>3410</v>
      </c>
      <c r="G230" s="732" t="s">
        <v>1772</v>
      </c>
      <c r="H230" s="733" t="s">
        <v>458</v>
      </c>
      <c r="I230" s="734"/>
      <c r="J230" s="735" t="s">
        <v>3215</v>
      </c>
      <c r="K230" s="736"/>
      <c r="L230" s="727"/>
      <c r="M230" s="728"/>
      <c r="N230" s="737" t="s">
        <v>3212</v>
      </c>
      <c r="O230" s="737" t="s">
        <v>2628</v>
      </c>
      <c r="P230" s="626" t="s">
        <v>2126</v>
      </c>
      <c r="Q230" s="732"/>
    </row>
    <row r="231" spans="2:17" s="723" customFormat="1" ht="12" customHeight="1">
      <c r="B231" s="740"/>
      <c r="C231" s="626" t="s">
        <v>841</v>
      </c>
      <c r="D231" s="626" t="s">
        <v>1745</v>
      </c>
      <c r="E231" s="731" t="s">
        <v>842</v>
      </c>
      <c r="F231" s="731" t="s">
        <v>3410</v>
      </c>
      <c r="G231" s="732" t="s">
        <v>1773</v>
      </c>
      <c r="H231" s="733" t="s">
        <v>458</v>
      </c>
      <c r="I231" s="734"/>
      <c r="J231" s="735" t="s">
        <v>3216</v>
      </c>
      <c r="K231" s="736"/>
      <c r="L231" s="727"/>
      <c r="M231" s="728"/>
      <c r="N231" s="737" t="s">
        <v>3214</v>
      </c>
      <c r="O231" s="737" t="s">
        <v>1269</v>
      </c>
      <c r="P231" s="626" t="s">
        <v>2127</v>
      </c>
      <c r="Q231" s="732"/>
    </row>
    <row r="232" spans="2:17" s="723" customFormat="1" ht="12" customHeight="1">
      <c r="B232" s="740"/>
      <c r="C232" s="626" t="s">
        <v>843</v>
      </c>
      <c r="D232" s="626" t="s">
        <v>1769</v>
      </c>
      <c r="E232" s="738" t="s">
        <v>1152</v>
      </c>
      <c r="F232" s="738" t="s">
        <v>3411</v>
      </c>
      <c r="G232" s="732" t="s">
        <v>3372</v>
      </c>
      <c r="H232" s="733" t="s">
        <v>459</v>
      </c>
      <c r="I232" s="739"/>
      <c r="J232" s="735" t="s">
        <v>2953</v>
      </c>
      <c r="K232" s="736"/>
      <c r="L232" s="727"/>
      <c r="M232" s="728"/>
      <c r="N232" s="737" t="s">
        <v>3217</v>
      </c>
      <c r="O232" s="737" t="s">
        <v>175</v>
      </c>
      <c r="P232" s="626" t="s">
        <v>2128</v>
      </c>
      <c r="Q232" s="732"/>
    </row>
    <row r="233" spans="2:17" s="723" customFormat="1" ht="12" customHeight="1">
      <c r="B233" s="740"/>
      <c r="C233" s="626" t="s">
        <v>844</v>
      </c>
      <c r="D233" s="626" t="s">
        <v>1745</v>
      </c>
      <c r="E233" s="738" t="s">
        <v>2994</v>
      </c>
      <c r="F233" s="738" t="s">
        <v>3411</v>
      </c>
      <c r="G233" s="732" t="s">
        <v>1774</v>
      </c>
      <c r="H233" s="733" t="s">
        <v>459</v>
      </c>
      <c r="I233" s="739"/>
      <c r="J233" s="735" t="s">
        <v>897</v>
      </c>
      <c r="K233" s="736"/>
      <c r="L233" s="727"/>
      <c r="M233" s="728"/>
      <c r="N233" s="737" t="s">
        <v>2954</v>
      </c>
      <c r="O233" s="737" t="s">
        <v>841</v>
      </c>
      <c r="P233" s="626" t="s">
        <v>2129</v>
      </c>
      <c r="Q233" s="732"/>
    </row>
    <row r="234" spans="2:17" s="723" customFormat="1" ht="12" customHeight="1">
      <c r="B234" s="740"/>
      <c r="C234" s="626" t="s">
        <v>845</v>
      </c>
      <c r="D234" s="626" t="s">
        <v>1745</v>
      </c>
      <c r="E234" s="738" t="s">
        <v>1152</v>
      </c>
      <c r="F234" s="738" t="s">
        <v>3411</v>
      </c>
      <c r="G234" s="732" t="s">
        <v>3372</v>
      </c>
      <c r="H234" s="733" t="s">
        <v>459</v>
      </c>
      <c r="I234" s="739"/>
      <c r="J234" s="735" t="s">
        <v>899</v>
      </c>
      <c r="K234" s="736"/>
      <c r="L234" s="727"/>
      <c r="M234" s="728"/>
      <c r="N234" s="737" t="s">
        <v>898</v>
      </c>
      <c r="O234" s="737" t="s">
        <v>3261</v>
      </c>
      <c r="P234" s="626" t="s">
        <v>2130</v>
      </c>
      <c r="Q234" s="732"/>
    </row>
    <row r="235" spans="2:17" s="723" customFormat="1" ht="12" customHeight="1">
      <c r="B235" s="740"/>
      <c r="C235" s="626" t="s">
        <v>846</v>
      </c>
      <c r="D235" s="626" t="s">
        <v>1745</v>
      </c>
      <c r="E235" s="738" t="s">
        <v>847</v>
      </c>
      <c r="F235" s="738" t="s">
        <v>3410</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3411</v>
      </c>
      <c r="G236" s="732" t="s">
        <v>3372</v>
      </c>
      <c r="H236" s="733" t="s">
        <v>459</v>
      </c>
      <c r="I236" s="739"/>
      <c r="J236" s="735" t="s">
        <v>903</v>
      </c>
      <c r="K236" s="736"/>
      <c r="L236" s="727"/>
      <c r="M236" s="728"/>
      <c r="N236" s="737" t="s">
        <v>902</v>
      </c>
      <c r="O236" s="737" t="s">
        <v>3386</v>
      </c>
      <c r="P236" s="626" t="s">
        <v>2132</v>
      </c>
      <c r="Q236" s="732"/>
    </row>
    <row r="237" spans="2:17" s="723" customFormat="1" ht="12" customHeight="1">
      <c r="B237" s="740"/>
      <c r="C237" s="626" t="s">
        <v>848</v>
      </c>
      <c r="D237" s="626" t="s">
        <v>1745</v>
      </c>
      <c r="E237" s="731" t="s">
        <v>849</v>
      </c>
      <c r="F237" s="731" t="s">
        <v>3410</v>
      </c>
      <c r="G237" s="732" t="s">
        <v>262</v>
      </c>
      <c r="H237" s="733" t="s">
        <v>458</v>
      </c>
      <c r="I237" s="734"/>
      <c r="J237" s="735" t="s">
        <v>2944</v>
      </c>
      <c r="K237" s="736"/>
      <c r="L237" s="727"/>
      <c r="M237" s="728"/>
      <c r="N237" s="626" t="s">
        <v>3359</v>
      </c>
      <c r="O237" s="626" t="s">
        <v>3263</v>
      </c>
      <c r="P237" s="1381" t="s">
        <v>2855</v>
      </c>
      <c r="Q237" s="732"/>
    </row>
    <row r="238" spans="2:17" s="723" customFormat="1" ht="12" customHeight="1">
      <c r="B238" s="740"/>
      <c r="C238" s="626" t="s">
        <v>850</v>
      </c>
      <c r="D238" s="626" t="s">
        <v>1769</v>
      </c>
      <c r="E238" s="738" t="s">
        <v>851</v>
      </c>
      <c r="F238" s="738" t="s">
        <v>3410</v>
      </c>
      <c r="G238" s="732" t="s">
        <v>263</v>
      </c>
      <c r="H238" s="733" t="s">
        <v>458</v>
      </c>
      <c r="I238" s="739"/>
      <c r="J238" s="735" t="s">
        <v>2945</v>
      </c>
      <c r="K238" s="736"/>
      <c r="L238" s="727"/>
      <c r="M238" s="728"/>
      <c r="N238" s="737" t="s">
        <v>2946</v>
      </c>
      <c r="O238" s="737" t="s">
        <v>2347</v>
      </c>
      <c r="P238" s="626" t="s">
        <v>2133</v>
      </c>
      <c r="Q238" s="732"/>
    </row>
    <row r="239" spans="2:17" s="723" customFormat="1" ht="12" customHeight="1">
      <c r="B239" s="740"/>
      <c r="C239" s="626" t="s">
        <v>852</v>
      </c>
      <c r="D239" s="626" t="s">
        <v>1632</v>
      </c>
      <c r="E239" s="731" t="s">
        <v>12</v>
      </c>
      <c r="F239" s="731" t="s">
        <v>3411</v>
      </c>
      <c r="G239" s="732" t="s">
        <v>3377</v>
      </c>
      <c r="H239" s="733" t="s">
        <v>459</v>
      </c>
      <c r="I239" s="734"/>
      <c r="J239" s="735" t="s">
        <v>2947</v>
      </c>
      <c r="K239" s="736"/>
      <c r="L239" s="727"/>
      <c r="M239" s="728"/>
      <c r="N239" s="737" t="s">
        <v>2948</v>
      </c>
      <c r="O239" s="737" t="s">
        <v>3380</v>
      </c>
      <c r="P239" s="626" t="s">
        <v>2134</v>
      </c>
      <c r="Q239" s="732"/>
    </row>
    <row r="240" spans="2:17" s="723" customFormat="1" ht="12" customHeight="1">
      <c r="B240" s="740"/>
      <c r="C240" s="626" t="s">
        <v>853</v>
      </c>
      <c r="D240" s="626" t="s">
        <v>1745</v>
      </c>
      <c r="E240" s="731" t="s">
        <v>854</v>
      </c>
      <c r="F240" s="731" t="s">
        <v>3410</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3410</v>
      </c>
      <c r="G241" s="732" t="s">
        <v>438</v>
      </c>
      <c r="H241" s="733" t="s">
        <v>458</v>
      </c>
      <c r="I241" s="734"/>
      <c r="J241" s="735" t="s">
        <v>1182</v>
      </c>
      <c r="K241" s="736"/>
      <c r="L241" s="727"/>
      <c r="M241" s="728"/>
      <c r="N241" s="737" t="s">
        <v>2996</v>
      </c>
      <c r="O241" s="737" t="s">
        <v>348</v>
      </c>
      <c r="P241" s="626" t="s">
        <v>2136</v>
      </c>
      <c r="Q241" s="732"/>
    </row>
    <row r="242" spans="2:17" s="723" customFormat="1" ht="12" customHeight="1">
      <c r="B242" s="740"/>
      <c r="C242" s="626" t="s">
        <v>857</v>
      </c>
      <c r="D242" s="626" t="s">
        <v>1769</v>
      </c>
      <c r="E242" s="731" t="s">
        <v>858</v>
      </c>
      <c r="F242" s="731" t="s">
        <v>3410</v>
      </c>
      <c r="G242" s="732" t="s">
        <v>439</v>
      </c>
      <c r="H242" s="733" t="s">
        <v>458</v>
      </c>
      <c r="I242" s="734"/>
      <c r="J242" s="735" t="s">
        <v>2997</v>
      </c>
      <c r="K242" s="736"/>
      <c r="L242" s="727"/>
      <c r="M242" s="728"/>
      <c r="N242" s="737" t="s">
        <v>3061</v>
      </c>
      <c r="O242" s="737" t="s">
        <v>1273</v>
      </c>
      <c r="P242" s="626" t="s">
        <v>2137</v>
      </c>
      <c r="Q242" s="732"/>
    </row>
    <row r="243" spans="2:17" s="723" customFormat="1" ht="12" customHeight="1">
      <c r="B243" s="740"/>
      <c r="C243" s="626" t="s">
        <v>127</v>
      </c>
      <c r="D243" s="626" t="s">
        <v>1769</v>
      </c>
      <c r="E243" s="738" t="s">
        <v>1152</v>
      </c>
      <c r="F243" s="738" t="s">
        <v>3411</v>
      </c>
      <c r="G243" s="732" t="s">
        <v>3372</v>
      </c>
      <c r="H243" s="733" t="s">
        <v>459</v>
      </c>
      <c r="I243" s="739"/>
      <c r="J243" s="735" t="s">
        <v>3027</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3410</v>
      </c>
      <c r="G244" s="732" t="s">
        <v>440</v>
      </c>
      <c r="H244" s="733" t="s">
        <v>458</v>
      </c>
      <c r="I244" s="734"/>
      <c r="J244" s="735" t="s">
        <v>49</v>
      </c>
      <c r="K244" s="736"/>
      <c r="L244" s="727"/>
      <c r="M244" s="728"/>
      <c r="N244" s="737" t="s">
        <v>814</v>
      </c>
      <c r="O244" s="737" t="s">
        <v>3388</v>
      </c>
      <c r="P244" s="626" t="s">
        <v>2139</v>
      </c>
      <c r="Q244" s="732"/>
    </row>
    <row r="245" spans="2:17" s="723" customFormat="1" ht="12" customHeight="1">
      <c r="B245" s="740"/>
      <c r="C245" s="626" t="s">
        <v>343</v>
      </c>
      <c r="D245" s="626" t="s">
        <v>1745</v>
      </c>
      <c r="E245" s="731" t="s">
        <v>1642</v>
      </c>
      <c r="F245" s="731" t="s">
        <v>3411</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3410</v>
      </c>
      <c r="G246" s="732" t="s">
        <v>442</v>
      </c>
      <c r="H246" s="733" t="s">
        <v>458</v>
      </c>
      <c r="I246" s="734"/>
      <c r="J246" s="735" t="s">
        <v>334</v>
      </c>
      <c r="K246" s="736"/>
      <c r="L246" s="727"/>
      <c r="M246" s="728"/>
      <c r="N246" s="737" t="s">
        <v>3123</v>
      </c>
      <c r="O246" s="737" t="s">
        <v>214</v>
      </c>
      <c r="P246" s="626" t="s">
        <v>2141</v>
      </c>
      <c r="Q246" s="732"/>
    </row>
    <row r="247" spans="2:17" s="723" customFormat="1" ht="12" customHeight="1">
      <c r="B247" s="740"/>
      <c r="C247" s="626" t="s">
        <v>346</v>
      </c>
      <c r="D247" s="626" t="s">
        <v>1745</v>
      </c>
      <c r="E247" s="738" t="s">
        <v>1154</v>
      </c>
      <c r="F247" s="738" t="s">
        <v>3411</v>
      </c>
      <c r="G247" s="732" t="s">
        <v>443</v>
      </c>
      <c r="H247" s="733" t="s">
        <v>459</v>
      </c>
      <c r="I247" s="739"/>
      <c r="J247" s="735" t="s">
        <v>3122</v>
      </c>
      <c r="K247" s="736"/>
      <c r="L247" s="727"/>
      <c r="M247" s="728"/>
      <c r="N247" s="737" t="s">
        <v>3151</v>
      </c>
      <c r="O247" s="737" t="s">
        <v>2346</v>
      </c>
      <c r="P247" s="626" t="s">
        <v>2142</v>
      </c>
      <c r="Q247" s="732"/>
    </row>
    <row r="248" spans="2:17" s="723" customFormat="1" ht="12" customHeight="1">
      <c r="B248" s="740"/>
      <c r="C248" s="626" t="s">
        <v>347</v>
      </c>
      <c r="D248" s="626" t="s">
        <v>1769</v>
      </c>
      <c r="E248" s="738" t="s">
        <v>177</v>
      </c>
      <c r="F248" s="738" t="s">
        <v>3411</v>
      </c>
      <c r="G248" s="732" t="s">
        <v>2372</v>
      </c>
      <c r="H248" s="733" t="s">
        <v>459</v>
      </c>
      <c r="I248" s="739"/>
      <c r="J248" s="735" t="s">
        <v>3150</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3410</v>
      </c>
      <c r="G249" s="732" t="s">
        <v>444</v>
      </c>
      <c r="H249" s="733" t="s">
        <v>458</v>
      </c>
      <c r="I249" s="734"/>
      <c r="J249" s="735" t="s">
        <v>3152</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3411</v>
      </c>
      <c r="G250" s="732" t="s">
        <v>3372</v>
      </c>
      <c r="H250" s="733" t="s">
        <v>459</v>
      </c>
      <c r="I250" s="739"/>
      <c r="J250" s="735" t="s">
        <v>3153</v>
      </c>
      <c r="K250" s="736"/>
      <c r="L250" s="727"/>
      <c r="M250" s="728"/>
      <c r="N250" s="737" t="s">
        <v>3115</v>
      </c>
      <c r="O250" s="737" t="s">
        <v>3267</v>
      </c>
      <c r="P250" s="626" t="s">
        <v>2145</v>
      </c>
      <c r="Q250" s="732"/>
    </row>
    <row r="251" spans="2:17" s="723" customFormat="1" ht="12" customHeight="1">
      <c r="B251" s="740"/>
      <c r="C251" s="626" t="s">
        <v>351</v>
      </c>
      <c r="D251" s="626" t="s">
        <v>1769</v>
      </c>
      <c r="E251" s="738" t="s">
        <v>1152</v>
      </c>
      <c r="F251" s="738" t="s">
        <v>3411</v>
      </c>
      <c r="G251" s="732" t="s">
        <v>3372</v>
      </c>
      <c r="H251" s="733" t="s">
        <v>459</v>
      </c>
      <c r="I251" s="739"/>
      <c r="J251" s="735" t="s">
        <v>3114</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3411</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3410</v>
      </c>
      <c r="G253" s="732" t="s">
        <v>833</v>
      </c>
      <c r="H253" s="733" t="s">
        <v>458</v>
      </c>
      <c r="I253" s="734"/>
      <c r="J253" s="735" t="s">
        <v>13</v>
      </c>
      <c r="K253" s="736"/>
      <c r="L253" s="727"/>
      <c r="M253" s="728"/>
      <c r="N253" s="737" t="s">
        <v>61</v>
      </c>
      <c r="O253" s="737" t="s">
        <v>3380</v>
      </c>
      <c r="P253" s="626" t="s">
        <v>2148</v>
      </c>
      <c r="Q253" s="732"/>
    </row>
    <row r="254" spans="2:17" s="723" customFormat="1" ht="12" customHeight="1">
      <c r="B254" s="740"/>
      <c r="C254" s="626" t="s">
        <v>355</v>
      </c>
      <c r="D254" s="626" t="s">
        <v>1769</v>
      </c>
      <c r="E254" s="731" t="s">
        <v>356</v>
      </c>
      <c r="F254" s="731" t="s">
        <v>3410</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3411</v>
      </c>
      <c r="G255" s="732" t="s">
        <v>3372</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3410</v>
      </c>
      <c r="G256" s="732" t="s">
        <v>835</v>
      </c>
      <c r="H256" s="733" t="s">
        <v>458</v>
      </c>
      <c r="I256" s="734"/>
      <c r="J256" s="735" t="s">
        <v>64</v>
      </c>
      <c r="K256" s="736"/>
      <c r="L256" s="727"/>
      <c r="M256" s="728"/>
      <c r="N256" s="737" t="s">
        <v>385</v>
      </c>
      <c r="O256" s="737" t="s">
        <v>2902</v>
      </c>
      <c r="P256" s="626" t="s">
        <v>2151</v>
      </c>
      <c r="Q256" s="732"/>
    </row>
    <row r="257" spans="2:17" s="723" customFormat="1" ht="12" customHeight="1">
      <c r="B257" s="740"/>
      <c r="C257" s="626" t="s">
        <v>360</v>
      </c>
      <c r="D257" s="626" t="s">
        <v>1769</v>
      </c>
      <c r="E257" s="731" t="s">
        <v>361</v>
      </c>
      <c r="F257" s="731" t="s">
        <v>3410</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3410</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3410</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3411</v>
      </c>
      <c r="G260" s="732" t="s">
        <v>3375</v>
      </c>
      <c r="H260" s="733" t="s">
        <v>459</v>
      </c>
      <c r="I260" s="739"/>
      <c r="J260" s="735" t="s">
        <v>3015</v>
      </c>
      <c r="K260" s="736"/>
      <c r="L260" s="727"/>
      <c r="M260" s="728"/>
      <c r="N260" s="737" t="s">
        <v>3016</v>
      </c>
      <c r="O260" s="737" t="s">
        <v>855</v>
      </c>
      <c r="P260" s="626" t="s">
        <v>2155</v>
      </c>
      <c r="Q260" s="732"/>
    </row>
    <row r="261" spans="2:17" s="723" customFormat="1" ht="12" customHeight="1">
      <c r="B261" s="740"/>
      <c r="C261" s="626" t="s">
        <v>550</v>
      </c>
      <c r="D261" s="626" t="s">
        <v>1769</v>
      </c>
      <c r="E261" s="738" t="s">
        <v>1155</v>
      </c>
      <c r="F261" s="738" t="s">
        <v>3411</v>
      </c>
      <c r="G261" s="732" t="s">
        <v>295</v>
      </c>
      <c r="H261" s="733" t="s">
        <v>459</v>
      </c>
      <c r="I261" s="739"/>
      <c r="J261" s="735" t="s">
        <v>3017</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3411</v>
      </c>
      <c r="G262" s="732" t="s">
        <v>3378</v>
      </c>
      <c r="H262" s="733" t="s">
        <v>459</v>
      </c>
      <c r="I262" s="734"/>
      <c r="J262" s="735" t="s">
        <v>3018</v>
      </c>
      <c r="K262" s="736"/>
      <c r="L262" s="727"/>
      <c r="M262" s="728"/>
      <c r="N262" s="737" t="s">
        <v>3020</v>
      </c>
      <c r="O262" s="737" t="s">
        <v>110</v>
      </c>
      <c r="P262" s="626" t="s">
        <v>2157</v>
      </c>
      <c r="Q262" s="732"/>
    </row>
    <row r="263" spans="2:17" s="723" customFormat="1" ht="12" customHeight="1">
      <c r="B263" s="740"/>
      <c r="C263" s="626" t="s">
        <v>1899</v>
      </c>
      <c r="D263" s="626" t="s">
        <v>1632</v>
      </c>
      <c r="E263" s="731" t="s">
        <v>1900</v>
      </c>
      <c r="F263" s="731" t="s">
        <v>3410</v>
      </c>
      <c r="G263" s="732" t="s">
        <v>296</v>
      </c>
      <c r="H263" s="733" t="s">
        <v>458</v>
      </c>
      <c r="I263" s="734"/>
      <c r="J263" s="735" t="s">
        <v>3019</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3411</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3411</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3410</v>
      </c>
      <c r="G266" s="732" t="s">
        <v>3309</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3411</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3411</v>
      </c>
      <c r="G268" s="732" t="s">
        <v>3378</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3410</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3410</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2756</v>
      </c>
      <c r="F271" s="731" t="s">
        <v>3411</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3411</v>
      </c>
      <c r="G272" s="732" t="s">
        <v>2372</v>
      </c>
      <c r="H272" s="733" t="s">
        <v>459</v>
      </c>
      <c r="I272" s="739"/>
      <c r="J272" s="735" t="s">
        <v>1426</v>
      </c>
      <c r="K272" s="736"/>
      <c r="L272" s="727"/>
      <c r="M272" s="728"/>
      <c r="N272" s="737" t="s">
        <v>260</v>
      </c>
      <c r="O272" s="737" t="s">
        <v>3316</v>
      </c>
      <c r="P272" s="626" t="s">
        <v>2167</v>
      </c>
      <c r="Q272" s="732"/>
    </row>
    <row r="273" spans="2:17" s="723" customFormat="1" ht="12" customHeight="1">
      <c r="B273" s="740"/>
      <c r="C273" s="626" t="s">
        <v>2583</v>
      </c>
      <c r="D273" s="626" t="s">
        <v>1769</v>
      </c>
      <c r="E273" s="738" t="s">
        <v>1153</v>
      </c>
      <c r="F273" s="738" t="s">
        <v>3411</v>
      </c>
      <c r="G273" s="732" t="s">
        <v>3394</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2584</v>
      </c>
      <c r="D274" s="626" t="s">
        <v>1632</v>
      </c>
      <c r="E274" s="731" t="s">
        <v>12</v>
      </c>
      <c r="F274" s="731" t="s">
        <v>3411</v>
      </c>
      <c r="G274" s="732" t="s">
        <v>3377</v>
      </c>
      <c r="H274" s="733" t="s">
        <v>459</v>
      </c>
      <c r="I274" s="734"/>
      <c r="J274" s="735" t="s">
        <v>259</v>
      </c>
      <c r="K274" s="736"/>
      <c r="L274" s="727"/>
      <c r="M274" s="728"/>
      <c r="N274" s="737" t="s">
        <v>2774</v>
      </c>
      <c r="O274" s="737" t="s">
        <v>352</v>
      </c>
      <c r="P274" s="626" t="s">
        <v>2169</v>
      </c>
      <c r="Q274" s="732"/>
    </row>
    <row r="275" spans="2:17" s="723" customFormat="1" ht="12" customHeight="1">
      <c r="B275" s="740"/>
      <c r="C275" s="626" t="s">
        <v>2585</v>
      </c>
      <c r="D275" s="626" t="s">
        <v>1769</v>
      </c>
      <c r="E275" s="738" t="s">
        <v>1157</v>
      </c>
      <c r="F275" s="738" t="s">
        <v>3411</v>
      </c>
      <c r="G275" s="732" t="s">
        <v>884</v>
      </c>
      <c r="H275" s="733" t="s">
        <v>459</v>
      </c>
      <c r="I275" s="739"/>
      <c r="J275" s="735" t="s">
        <v>261</v>
      </c>
      <c r="K275" s="736"/>
      <c r="L275" s="727"/>
      <c r="M275" s="728"/>
      <c r="N275" s="737" t="s">
        <v>2776</v>
      </c>
      <c r="O275" s="737" t="s">
        <v>350</v>
      </c>
      <c r="P275" s="626" t="s">
        <v>2170</v>
      </c>
      <c r="Q275" s="732"/>
    </row>
    <row r="276" spans="2:17" s="723" customFormat="1" ht="12" customHeight="1">
      <c r="B276" s="740"/>
      <c r="C276" s="626" t="s">
        <v>2234</v>
      </c>
      <c r="D276" s="626" t="s">
        <v>1632</v>
      </c>
      <c r="E276" s="731" t="s">
        <v>2235</v>
      </c>
      <c r="F276" s="731" t="s">
        <v>3410</v>
      </c>
      <c r="G276" s="732" t="s">
        <v>885</v>
      </c>
      <c r="H276" s="733" t="s">
        <v>458</v>
      </c>
      <c r="I276" s="734"/>
      <c r="J276" s="735" t="s">
        <v>1688</v>
      </c>
      <c r="K276" s="736"/>
      <c r="L276" s="727"/>
      <c r="M276" s="728"/>
      <c r="N276" s="737" t="s">
        <v>2778</v>
      </c>
      <c r="O276" s="737" t="s">
        <v>808</v>
      </c>
      <c r="P276" s="626" t="s">
        <v>2171</v>
      </c>
      <c r="Q276" s="732"/>
    </row>
    <row r="277" spans="2:17" s="723" customFormat="1" ht="12" customHeight="1">
      <c r="B277" s="740"/>
      <c r="C277" s="626" t="s">
        <v>2236</v>
      </c>
      <c r="D277" s="626" t="s">
        <v>1632</v>
      </c>
      <c r="E277" s="731" t="s">
        <v>2237</v>
      </c>
      <c r="F277" s="731" t="s">
        <v>3410</v>
      </c>
      <c r="G277" s="732" t="s">
        <v>886</v>
      </c>
      <c r="H277" s="733" t="s">
        <v>458</v>
      </c>
      <c r="I277" s="734"/>
      <c r="J277" s="735" t="s">
        <v>2773</v>
      </c>
      <c r="K277" s="736"/>
      <c r="L277" s="727"/>
      <c r="M277" s="728"/>
      <c r="N277" s="737" t="s">
        <v>2780</v>
      </c>
      <c r="O277" s="737" t="s">
        <v>3382</v>
      </c>
      <c r="P277" s="626" t="s">
        <v>2172</v>
      </c>
      <c r="Q277" s="732"/>
    </row>
    <row r="278" spans="2:17" s="723" customFormat="1" ht="12" customHeight="1">
      <c r="B278" s="740"/>
      <c r="C278" s="626" t="s">
        <v>2238</v>
      </c>
      <c r="D278" s="626" t="s">
        <v>1769</v>
      </c>
      <c r="E278" s="738" t="s">
        <v>2755</v>
      </c>
      <c r="F278" s="738" t="s">
        <v>3411</v>
      </c>
      <c r="G278" s="732" t="s">
        <v>887</v>
      </c>
      <c r="H278" s="733" t="s">
        <v>459</v>
      </c>
      <c r="I278" s="739"/>
      <c r="J278" s="735" t="s">
        <v>2775</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3410</v>
      </c>
      <c r="G279" s="732" t="s">
        <v>888</v>
      </c>
      <c r="H279" s="733" t="s">
        <v>458</v>
      </c>
      <c r="I279" s="734"/>
      <c r="J279" s="735" t="s">
        <v>2777</v>
      </c>
      <c r="K279" s="736"/>
      <c r="L279" s="727"/>
      <c r="M279" s="728"/>
      <c r="N279" s="626" t="s">
        <v>3361</v>
      </c>
      <c r="O279" s="626" t="s">
        <v>2718</v>
      </c>
      <c r="P279" s="1381" t="s">
        <v>2855</v>
      </c>
      <c r="Q279" s="732"/>
    </row>
    <row r="280" spans="2:17" s="723" customFormat="1" ht="12" customHeight="1">
      <c r="B280" s="740"/>
      <c r="C280" s="626" t="s">
        <v>3380</v>
      </c>
      <c r="D280" s="626" t="s">
        <v>1769</v>
      </c>
      <c r="E280" s="738" t="s">
        <v>3381</v>
      </c>
      <c r="F280" s="738" t="s">
        <v>3410</v>
      </c>
      <c r="G280" s="732" t="s">
        <v>889</v>
      </c>
      <c r="H280" s="733" t="s">
        <v>458</v>
      </c>
      <c r="I280" s="739"/>
      <c r="J280" s="735" t="s">
        <v>2779</v>
      </c>
      <c r="K280" s="736"/>
      <c r="L280" s="727"/>
      <c r="M280" s="728"/>
      <c r="N280" s="737" t="s">
        <v>2782</v>
      </c>
      <c r="O280" s="737" t="s">
        <v>217</v>
      </c>
      <c r="P280" s="626" t="s">
        <v>2174</v>
      </c>
      <c r="Q280" s="732"/>
    </row>
    <row r="281" spans="2:17" s="723" customFormat="1" ht="12" customHeight="1">
      <c r="B281" s="740"/>
      <c r="C281" s="626" t="s">
        <v>3382</v>
      </c>
      <c r="D281" s="626" t="s">
        <v>1745</v>
      </c>
      <c r="E281" s="731" t="s">
        <v>3383</v>
      </c>
      <c r="F281" s="731" t="s">
        <v>3411</v>
      </c>
      <c r="G281" s="732" t="s">
        <v>2661</v>
      </c>
      <c r="H281" s="733" t="s">
        <v>459</v>
      </c>
      <c r="I281" s="734"/>
      <c r="J281" s="735" t="s">
        <v>2781</v>
      </c>
      <c r="K281" s="736"/>
      <c r="L281" s="727"/>
      <c r="M281" s="728"/>
      <c r="N281" s="737" t="s">
        <v>2784</v>
      </c>
      <c r="O281" s="737" t="s">
        <v>217</v>
      </c>
      <c r="P281" s="626" t="s">
        <v>2175</v>
      </c>
      <c r="Q281" s="732"/>
    </row>
    <row r="282" spans="2:17" s="723" customFormat="1" ht="12" customHeight="1">
      <c r="B282" s="740"/>
      <c r="C282" s="626" t="s">
        <v>3384</v>
      </c>
      <c r="D282" s="626" t="s">
        <v>1769</v>
      </c>
      <c r="E282" s="738" t="s">
        <v>177</v>
      </c>
      <c r="F282" s="738" t="s">
        <v>3411</v>
      </c>
      <c r="G282" s="732" t="s">
        <v>2372</v>
      </c>
      <c r="H282" s="733" t="s">
        <v>459</v>
      </c>
      <c r="I282" s="739"/>
      <c r="J282" s="735" t="s">
        <v>2783</v>
      </c>
      <c r="K282" s="736"/>
      <c r="L282" s="727"/>
      <c r="M282" s="728"/>
      <c r="N282" s="737" t="s">
        <v>862</v>
      </c>
      <c r="O282" s="737" t="s">
        <v>2718</v>
      </c>
      <c r="P282" s="626" t="s">
        <v>2176</v>
      </c>
      <c r="Q282" s="732"/>
    </row>
    <row r="283" spans="2:17" s="723" customFormat="1" ht="12" customHeight="1">
      <c r="B283" s="740"/>
      <c r="C283" s="626" t="s">
        <v>3385</v>
      </c>
      <c r="D283" s="626" t="s">
        <v>1769</v>
      </c>
      <c r="E283" s="738" t="s">
        <v>1152</v>
      </c>
      <c r="F283" s="738" t="s">
        <v>3411</v>
      </c>
      <c r="G283" s="732" t="s">
        <v>3372</v>
      </c>
      <c r="H283" s="733" t="s">
        <v>459</v>
      </c>
      <c r="I283" s="739"/>
      <c r="J283" s="735" t="s">
        <v>861</v>
      </c>
      <c r="K283" s="736"/>
      <c r="L283" s="727"/>
      <c r="M283" s="728"/>
      <c r="N283" s="737" t="s">
        <v>3060</v>
      </c>
      <c r="O283" s="737" t="s">
        <v>128</v>
      </c>
      <c r="P283" s="626" t="s">
        <v>2177</v>
      </c>
      <c r="Q283" s="732"/>
    </row>
    <row r="284" spans="2:17" s="723" customFormat="1" ht="12" customHeight="1">
      <c r="B284" s="740"/>
      <c r="C284" s="626" t="s">
        <v>3386</v>
      </c>
      <c r="D284" s="626" t="s">
        <v>1769</v>
      </c>
      <c r="E284" s="731" t="s">
        <v>2756</v>
      </c>
      <c r="F284" s="731" t="s">
        <v>3411</v>
      </c>
      <c r="G284" s="732" t="s">
        <v>800</v>
      </c>
      <c r="H284" s="733" t="s">
        <v>459</v>
      </c>
      <c r="I284" s="734"/>
      <c r="J284" s="735" t="s">
        <v>3058</v>
      </c>
      <c r="K284" s="736"/>
      <c r="L284" s="727"/>
      <c r="M284" s="728"/>
      <c r="N284" s="737" t="s">
        <v>1670</v>
      </c>
      <c r="O284" s="737" t="s">
        <v>808</v>
      </c>
      <c r="P284" s="626" t="s">
        <v>2178</v>
      </c>
      <c r="Q284" s="732"/>
    </row>
    <row r="285" spans="2:17" s="723" customFormat="1" ht="12" customHeight="1">
      <c r="B285" s="740"/>
      <c r="C285" s="626" t="s">
        <v>3387</v>
      </c>
      <c r="D285" s="626" t="s">
        <v>1769</v>
      </c>
      <c r="E285" s="731" t="s">
        <v>2756</v>
      </c>
      <c r="F285" s="731" t="s">
        <v>3411</v>
      </c>
      <c r="G285" s="732" t="s">
        <v>800</v>
      </c>
      <c r="H285" s="733" t="s">
        <v>459</v>
      </c>
      <c r="I285" s="734"/>
      <c r="J285" s="735" t="s">
        <v>3059</v>
      </c>
      <c r="K285" s="736"/>
      <c r="L285" s="727"/>
      <c r="M285" s="728"/>
      <c r="N285" s="737" t="s">
        <v>1672</v>
      </c>
      <c r="O285" s="737" t="s">
        <v>2970</v>
      </c>
      <c r="P285" s="626" t="s">
        <v>2179</v>
      </c>
      <c r="Q285" s="732"/>
    </row>
    <row r="286" spans="2:17" s="723" customFormat="1" ht="12" customHeight="1">
      <c r="B286" s="740"/>
      <c r="C286" s="626" t="s">
        <v>3388</v>
      </c>
      <c r="D286" s="626" t="s">
        <v>1745</v>
      </c>
      <c r="E286" s="738" t="s">
        <v>1152</v>
      </c>
      <c r="F286" s="738" t="s">
        <v>3411</v>
      </c>
      <c r="G286" s="732" t="s">
        <v>3372</v>
      </c>
      <c r="H286" s="733" t="s">
        <v>459</v>
      </c>
      <c r="I286" s="739"/>
      <c r="J286" s="735" t="s">
        <v>1669</v>
      </c>
      <c r="K286" s="736"/>
      <c r="L286" s="727"/>
      <c r="M286" s="728"/>
      <c r="N286" s="737" t="s">
        <v>3263</v>
      </c>
      <c r="O286" s="737" t="s">
        <v>1513</v>
      </c>
      <c r="P286" s="626" t="s">
        <v>2180</v>
      </c>
      <c r="Q286" s="732"/>
    </row>
    <row r="287" spans="2:17" s="723" customFormat="1" ht="12" customHeight="1">
      <c r="B287" s="740"/>
      <c r="C287" s="626" t="s">
        <v>1499</v>
      </c>
      <c r="D287" s="626" t="s">
        <v>1769</v>
      </c>
      <c r="E287" s="738" t="s">
        <v>1500</v>
      </c>
      <c r="F287" s="738" t="s">
        <v>3410</v>
      </c>
      <c r="G287" s="732" t="s">
        <v>2662</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3411</v>
      </c>
      <c r="G288" s="732" t="s">
        <v>3372</v>
      </c>
      <c r="H288" s="733" t="s">
        <v>459</v>
      </c>
      <c r="I288" s="739"/>
      <c r="J288" s="735" t="s">
        <v>1673</v>
      </c>
      <c r="K288" s="736"/>
      <c r="L288" s="727"/>
      <c r="M288" s="728"/>
      <c r="N288" s="737" t="s">
        <v>3273</v>
      </c>
      <c r="O288" s="737" t="s">
        <v>120</v>
      </c>
      <c r="P288" s="626" t="s">
        <v>2182</v>
      </c>
      <c r="Q288" s="732"/>
    </row>
    <row r="289" spans="2:17" s="723" customFormat="1" ht="12" customHeight="1">
      <c r="B289" s="740"/>
      <c r="C289" s="626" t="s">
        <v>1502</v>
      </c>
      <c r="D289" s="626" t="s">
        <v>1632</v>
      </c>
      <c r="E289" s="731" t="s">
        <v>1503</v>
      </c>
      <c r="F289" s="731" t="s">
        <v>3410</v>
      </c>
      <c r="G289" s="732" t="s">
        <v>2663</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3411</v>
      </c>
      <c r="G290" s="732" t="s">
        <v>3372</v>
      </c>
      <c r="H290" s="733" t="s">
        <v>459</v>
      </c>
      <c r="I290" s="739"/>
      <c r="J290" s="735" t="s">
        <v>1676</v>
      </c>
      <c r="K290" s="736"/>
      <c r="L290" s="727"/>
      <c r="M290" s="728"/>
      <c r="N290" s="737" t="s">
        <v>89</v>
      </c>
      <c r="O290" s="737" t="s">
        <v>2900</v>
      </c>
      <c r="P290" s="626" t="s">
        <v>2184</v>
      </c>
    </row>
    <row r="291" spans="2:17" s="723" customFormat="1" ht="12" customHeight="1">
      <c r="B291" s="740"/>
      <c r="C291" s="626" t="s">
        <v>1505</v>
      </c>
      <c r="D291" s="626" t="s">
        <v>1745</v>
      </c>
      <c r="E291" s="731" t="s">
        <v>1506</v>
      </c>
      <c r="F291" s="731" t="s">
        <v>3410</v>
      </c>
      <c r="G291" s="732" t="s">
        <v>2664</v>
      </c>
      <c r="H291" s="733" t="s">
        <v>458</v>
      </c>
      <c r="I291" s="734"/>
      <c r="J291" s="735" t="s">
        <v>3274</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3410</v>
      </c>
      <c r="G292" s="732" t="s">
        <v>2665</v>
      </c>
      <c r="H292" s="733" t="s">
        <v>458</v>
      </c>
      <c r="I292" s="739"/>
      <c r="J292" s="735" t="s">
        <v>86</v>
      </c>
      <c r="K292" s="736"/>
      <c r="L292" s="727"/>
      <c r="M292" s="728"/>
      <c r="N292" s="737" t="s">
        <v>1649</v>
      </c>
      <c r="O292" s="737" t="s">
        <v>2659</v>
      </c>
      <c r="P292" s="626" t="s">
        <v>2186</v>
      </c>
      <c r="Q292" s="732"/>
    </row>
    <row r="293" spans="2:17" s="723" customFormat="1" ht="12" customHeight="1">
      <c r="B293" s="740"/>
      <c r="C293" s="626" t="s">
        <v>1509</v>
      </c>
      <c r="D293" s="626" t="s">
        <v>1769</v>
      </c>
      <c r="E293" s="738" t="s">
        <v>1510</v>
      </c>
      <c r="F293" s="738" t="s">
        <v>3410</v>
      </c>
      <c r="G293" s="732" t="s">
        <v>2666</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3410</v>
      </c>
      <c r="G294" s="732" t="s">
        <v>2479</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3410</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3410</v>
      </c>
      <c r="G296" s="732" t="s">
        <v>2481</v>
      </c>
      <c r="H296" s="733" t="s">
        <v>458</v>
      </c>
      <c r="I296" s="734"/>
      <c r="J296" s="735" t="s">
        <v>1648</v>
      </c>
      <c r="K296" s="736"/>
      <c r="L296" s="727"/>
      <c r="M296" s="728"/>
      <c r="N296" s="737" t="s">
        <v>1657</v>
      </c>
      <c r="O296" s="737" t="s">
        <v>2900</v>
      </c>
      <c r="P296" s="626" t="s">
        <v>2189</v>
      </c>
      <c r="Q296" s="732"/>
    </row>
    <row r="297" spans="2:17" s="723" customFormat="1" ht="12" customHeight="1">
      <c r="B297" s="740"/>
      <c r="C297" s="626" t="s">
        <v>1517</v>
      </c>
      <c r="D297" s="626" t="s">
        <v>1769</v>
      </c>
      <c r="E297" s="738" t="s">
        <v>1153</v>
      </c>
      <c r="F297" s="738" t="s">
        <v>3411</v>
      </c>
      <c r="G297" s="732" t="s">
        <v>3394</v>
      </c>
      <c r="H297" s="733" t="s">
        <v>459</v>
      </c>
      <c r="I297" s="739"/>
      <c r="J297" s="735" t="s">
        <v>1650</v>
      </c>
      <c r="K297" s="736"/>
      <c r="L297" s="727"/>
      <c r="M297" s="728"/>
      <c r="N297" s="737" t="s">
        <v>3269</v>
      </c>
      <c r="O297" s="737" t="s">
        <v>2234</v>
      </c>
      <c r="P297" s="626" t="s">
        <v>2190</v>
      </c>
      <c r="Q297" s="732"/>
    </row>
    <row r="298" spans="2:17" s="723" customFormat="1" ht="12" customHeight="1">
      <c r="B298" s="740"/>
      <c r="C298" s="626" t="s">
        <v>1518</v>
      </c>
      <c r="D298" s="626" t="s">
        <v>1769</v>
      </c>
      <c r="E298" s="738" t="s">
        <v>1152</v>
      </c>
      <c r="F298" s="738" t="s">
        <v>3411</v>
      </c>
      <c r="G298" s="732" t="s">
        <v>3372</v>
      </c>
      <c r="H298" s="733" t="s">
        <v>459</v>
      </c>
      <c r="I298" s="739"/>
      <c r="J298" s="735" t="s">
        <v>1652</v>
      </c>
      <c r="K298" s="736"/>
      <c r="L298" s="727"/>
      <c r="M298" s="728"/>
      <c r="N298" s="737" t="s">
        <v>177</v>
      </c>
      <c r="O298" s="737" t="s">
        <v>3384</v>
      </c>
      <c r="P298" s="1380" t="s">
        <v>1218</v>
      </c>
    </row>
    <row r="299" spans="2:17" s="723" customFormat="1" ht="12" customHeight="1">
      <c r="B299" s="740"/>
      <c r="C299" s="626" t="s">
        <v>1519</v>
      </c>
      <c r="D299" s="626" t="s">
        <v>1769</v>
      </c>
      <c r="E299" s="731" t="s">
        <v>2884</v>
      </c>
      <c r="F299" s="731" t="s">
        <v>3410</v>
      </c>
      <c r="G299" s="732" t="s">
        <v>2482</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2885</v>
      </c>
      <c r="D300" s="626" t="s">
        <v>1632</v>
      </c>
      <c r="E300" s="731" t="s">
        <v>2886</v>
      </c>
      <c r="F300" s="731" t="s">
        <v>3410</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2887</v>
      </c>
      <c r="D302" s="626" t="s">
        <v>1632</v>
      </c>
      <c r="E302" s="738" t="s">
        <v>2888</v>
      </c>
      <c r="F302" s="731" t="s">
        <v>3410</v>
      </c>
      <c r="G302" s="732" t="s">
        <v>583</v>
      </c>
      <c r="H302" s="733" t="s">
        <v>458</v>
      </c>
      <c r="I302" s="739"/>
      <c r="J302" s="735" t="s">
        <v>1287</v>
      </c>
      <c r="K302" s="736"/>
      <c r="L302" s="727"/>
      <c r="M302" s="728"/>
      <c r="N302" s="626" t="s">
        <v>3362</v>
      </c>
      <c r="O302" s="626" t="s">
        <v>3263</v>
      </c>
      <c r="P302" s="1381" t="s">
        <v>2855</v>
      </c>
    </row>
    <row r="303" spans="2:17" s="723" customFormat="1" ht="12" customHeight="1">
      <c r="B303" s="740"/>
      <c r="C303" s="626" t="s">
        <v>2889</v>
      </c>
      <c r="D303" s="626" t="s">
        <v>1769</v>
      </c>
      <c r="E303" s="738" t="s">
        <v>1152</v>
      </c>
      <c r="F303" s="738" t="s">
        <v>3411</v>
      </c>
      <c r="G303" s="732" t="s">
        <v>3372</v>
      </c>
      <c r="H303" s="733" t="s">
        <v>459</v>
      </c>
      <c r="I303" s="739"/>
      <c r="J303" s="735" t="s">
        <v>1288</v>
      </c>
      <c r="K303" s="736"/>
      <c r="L303" s="727"/>
      <c r="M303" s="728"/>
      <c r="N303" s="737" t="s">
        <v>2854</v>
      </c>
      <c r="O303" s="737" t="s">
        <v>1518</v>
      </c>
      <c r="P303" s="626" t="s">
        <v>2194</v>
      </c>
      <c r="Q303" s="732"/>
    </row>
    <row r="304" spans="2:17" s="723" customFormat="1" ht="12" customHeight="1">
      <c r="B304" s="740"/>
      <c r="C304" s="626" t="s">
        <v>2890</v>
      </c>
      <c r="D304" s="626" t="s">
        <v>1745</v>
      </c>
      <c r="E304" s="738" t="s">
        <v>2891</v>
      </c>
      <c r="F304" s="738" t="s">
        <v>3410</v>
      </c>
      <c r="G304" s="732" t="s">
        <v>242</v>
      </c>
      <c r="H304" s="733" t="s">
        <v>458</v>
      </c>
      <c r="I304" s="734"/>
      <c r="J304" s="735" t="s">
        <v>1290</v>
      </c>
      <c r="K304" s="736"/>
      <c r="L304" s="727"/>
      <c r="M304" s="728"/>
      <c r="N304" s="737" t="s">
        <v>2770</v>
      </c>
      <c r="O304" s="737" t="s">
        <v>2347</v>
      </c>
      <c r="P304" s="626" t="s">
        <v>2195</v>
      </c>
      <c r="Q304" s="732"/>
    </row>
    <row r="305" spans="2:17" s="723" customFormat="1" ht="12" customHeight="1">
      <c r="B305" s="740"/>
      <c r="C305" s="626" t="s">
        <v>2892</v>
      </c>
      <c r="D305" s="626" t="s">
        <v>1632</v>
      </c>
      <c r="E305" s="731" t="s">
        <v>2893</v>
      </c>
      <c r="F305" s="738" t="s">
        <v>3410</v>
      </c>
      <c r="G305" s="732" t="s">
        <v>1863</v>
      </c>
      <c r="H305" s="733" t="s">
        <v>458</v>
      </c>
      <c r="I305" s="734"/>
      <c r="J305" s="735" t="s">
        <v>1292</v>
      </c>
      <c r="K305" s="736"/>
      <c r="L305" s="727"/>
      <c r="M305" s="728"/>
      <c r="N305" s="737" t="s">
        <v>2772</v>
      </c>
      <c r="O305" s="737" t="s">
        <v>3320</v>
      </c>
      <c r="P305" s="626" t="s">
        <v>2196</v>
      </c>
      <c r="Q305" s="732"/>
    </row>
    <row r="306" spans="2:17" s="723" customFormat="1" ht="12" customHeight="1">
      <c r="B306" s="740"/>
      <c r="C306" s="626" t="s">
        <v>2894</v>
      </c>
      <c r="D306" s="626" t="s">
        <v>1632</v>
      </c>
      <c r="E306" s="731" t="s">
        <v>2895</v>
      </c>
      <c r="F306" s="731" t="s">
        <v>3410</v>
      </c>
      <c r="G306" s="732" t="s">
        <v>1864</v>
      </c>
      <c r="H306" s="733" t="s">
        <v>458</v>
      </c>
      <c r="I306" s="734"/>
      <c r="J306" s="735" t="s">
        <v>2852</v>
      </c>
      <c r="K306" s="736"/>
      <c r="L306" s="727"/>
      <c r="M306" s="728"/>
      <c r="N306" s="737" t="s">
        <v>1220</v>
      </c>
      <c r="O306" s="737" t="s">
        <v>350</v>
      </c>
      <c r="P306" s="1380" t="s">
        <v>1218</v>
      </c>
    </row>
    <row r="307" spans="2:17" s="723" customFormat="1" ht="12" customHeight="1">
      <c r="B307" s="740"/>
      <c r="C307" s="626" t="s">
        <v>2896</v>
      </c>
      <c r="D307" s="626" t="s">
        <v>1769</v>
      </c>
      <c r="E307" s="731" t="s">
        <v>2897</v>
      </c>
      <c r="F307" s="731" t="s">
        <v>3410</v>
      </c>
      <c r="G307" s="732" t="s">
        <v>1865</v>
      </c>
      <c r="H307" s="733" t="s">
        <v>458</v>
      </c>
      <c r="I307" s="734"/>
      <c r="J307" s="735" t="s">
        <v>2853</v>
      </c>
      <c r="K307" s="736"/>
      <c r="L307" s="727"/>
      <c r="M307" s="728"/>
      <c r="N307" s="737" t="s">
        <v>779</v>
      </c>
      <c r="O307" s="737" t="s">
        <v>128</v>
      </c>
      <c r="P307" s="626" t="s">
        <v>2197</v>
      </c>
      <c r="Q307" s="732"/>
    </row>
    <row r="308" spans="2:17" s="723" customFormat="1" ht="12" customHeight="1">
      <c r="B308" s="740"/>
      <c r="C308" s="626" t="s">
        <v>2898</v>
      </c>
      <c r="D308" s="626" t="s">
        <v>1769</v>
      </c>
      <c r="E308" s="731" t="s">
        <v>2899</v>
      </c>
      <c r="F308" s="731" t="s">
        <v>3410</v>
      </c>
      <c r="G308" s="732" t="s">
        <v>2723</v>
      </c>
      <c r="H308" s="733" t="s">
        <v>458</v>
      </c>
      <c r="I308" s="734"/>
      <c r="J308" s="735" t="s">
        <v>2769</v>
      </c>
      <c r="K308" s="736"/>
      <c r="L308" s="727"/>
      <c r="M308" s="728"/>
      <c r="N308" s="626" t="s">
        <v>3363</v>
      </c>
      <c r="O308" s="626" t="s">
        <v>1761</v>
      </c>
      <c r="P308" s="1381" t="s">
        <v>2855</v>
      </c>
      <c r="Q308" s="732"/>
    </row>
    <row r="309" spans="2:17" s="723" customFormat="1" ht="12" customHeight="1">
      <c r="B309" s="740"/>
      <c r="C309" s="626" t="s">
        <v>2900</v>
      </c>
      <c r="D309" s="626" t="s">
        <v>1632</v>
      </c>
      <c r="E309" s="731" t="s">
        <v>2901</v>
      </c>
      <c r="F309" s="731" t="s">
        <v>3410</v>
      </c>
      <c r="G309" s="732" t="s">
        <v>2724</v>
      </c>
      <c r="H309" s="733" t="s">
        <v>458</v>
      </c>
      <c r="I309" s="734"/>
      <c r="J309" s="735" t="s">
        <v>2771</v>
      </c>
      <c r="K309" s="736"/>
      <c r="L309" s="727"/>
      <c r="M309" s="728"/>
      <c r="N309" s="737" t="s">
        <v>781</v>
      </c>
      <c r="O309" s="737" t="s">
        <v>3385</v>
      </c>
      <c r="P309" s="626" t="s">
        <v>2198</v>
      </c>
    </row>
    <row r="310" spans="2:17" s="723" customFormat="1" ht="12" customHeight="1">
      <c r="B310" s="740"/>
      <c r="C310" s="626" t="s">
        <v>2902</v>
      </c>
      <c r="D310" s="626" t="s">
        <v>1769</v>
      </c>
      <c r="E310" s="731" t="s">
        <v>1265</v>
      </c>
      <c r="F310" s="731" t="s">
        <v>3410</v>
      </c>
      <c r="G310" s="732" t="s">
        <v>2725</v>
      </c>
      <c r="H310" s="733" t="s">
        <v>458</v>
      </c>
      <c r="I310" s="734"/>
      <c r="J310" s="735" t="s">
        <v>777</v>
      </c>
      <c r="K310" s="736"/>
      <c r="L310" s="727"/>
      <c r="M310" s="728"/>
      <c r="N310" s="737" t="s">
        <v>3319</v>
      </c>
      <c r="O310" s="737" t="s">
        <v>3387</v>
      </c>
      <c r="P310" s="626" t="s">
        <v>2199</v>
      </c>
      <c r="Q310" s="732"/>
    </row>
    <row r="311" spans="2:17" s="723" customFormat="1" ht="12" customHeight="1">
      <c r="B311" s="740"/>
      <c r="C311" s="626" t="s">
        <v>1266</v>
      </c>
      <c r="D311" s="626" t="s">
        <v>1632</v>
      </c>
      <c r="E311" s="731" t="s">
        <v>1267</v>
      </c>
      <c r="F311" s="731" t="s">
        <v>3410</v>
      </c>
      <c r="G311" s="732" t="s">
        <v>2726</v>
      </c>
      <c r="H311" s="733" t="s">
        <v>458</v>
      </c>
      <c r="I311" s="739"/>
      <c r="J311" s="735" t="s">
        <v>778</v>
      </c>
      <c r="K311" s="736"/>
      <c r="L311" s="727"/>
      <c r="M311" s="728"/>
      <c r="N311" s="737" t="s">
        <v>785</v>
      </c>
      <c r="O311" s="737" t="s">
        <v>2898</v>
      </c>
      <c r="P311" s="626" t="s">
        <v>2200</v>
      </c>
      <c r="Q311" s="732"/>
    </row>
    <row r="312" spans="2:17" s="723" customFormat="1" ht="12" customHeight="1">
      <c r="B312" s="740"/>
      <c r="C312" s="626" t="s">
        <v>2346</v>
      </c>
      <c r="D312" s="626" t="s">
        <v>1632</v>
      </c>
      <c r="E312" s="738" t="s">
        <v>2477</v>
      </c>
      <c r="F312" s="731" t="s">
        <v>3411</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3410</v>
      </c>
      <c r="G313" s="732" t="s">
        <v>2727</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2616</v>
      </c>
      <c r="F314" s="738" t="s">
        <v>3410</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2617</v>
      </c>
      <c r="D315" s="626" t="s">
        <v>1632</v>
      </c>
      <c r="E315" s="738" t="s">
        <v>2618</v>
      </c>
      <c r="F315" s="738" t="s">
        <v>3410</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2619</v>
      </c>
      <c r="D316" s="626" t="s">
        <v>1745</v>
      </c>
      <c r="E316" s="738" t="s">
        <v>2620</v>
      </c>
      <c r="F316" s="738" t="s">
        <v>3410</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2621</v>
      </c>
      <c r="D317" s="626" t="s">
        <v>1632</v>
      </c>
      <c r="E317" s="738" t="s">
        <v>2622</v>
      </c>
      <c r="F317" s="738" t="s">
        <v>3410</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2623</v>
      </c>
      <c r="D318" s="626" t="s">
        <v>1769</v>
      </c>
      <c r="E318" s="731" t="s">
        <v>2624</v>
      </c>
      <c r="F318" s="738" t="s">
        <v>3410</v>
      </c>
      <c r="G318" s="732" t="s">
        <v>1584</v>
      </c>
      <c r="H318" s="733" t="s">
        <v>458</v>
      </c>
      <c r="I318" s="739"/>
      <c r="J318" s="735" t="s">
        <v>714</v>
      </c>
      <c r="K318" s="736"/>
      <c r="L318" s="727"/>
      <c r="M318" s="728"/>
      <c r="N318" s="737" t="s">
        <v>2675</v>
      </c>
      <c r="O318" s="737" t="s">
        <v>2970</v>
      </c>
      <c r="P318" s="626" t="s">
        <v>2206</v>
      </c>
      <c r="Q318" s="732"/>
    </row>
    <row r="319" spans="2:17" s="723" customFormat="1" ht="12" customHeight="1">
      <c r="B319" s="740"/>
      <c r="C319" s="626" t="s">
        <v>2625</v>
      </c>
      <c r="D319" s="626" t="s">
        <v>1632</v>
      </c>
      <c r="E319" s="738" t="s">
        <v>2626</v>
      </c>
      <c r="F319" s="731" t="s">
        <v>3410</v>
      </c>
      <c r="G319" s="732" t="s">
        <v>1585</v>
      </c>
      <c r="H319" s="733" t="s">
        <v>458</v>
      </c>
      <c r="I319" s="739"/>
      <c r="J319" s="735" t="s">
        <v>1570</v>
      </c>
      <c r="K319" s="736"/>
      <c r="L319" s="727"/>
      <c r="M319" s="728"/>
      <c r="N319" s="737" t="s">
        <v>2677</v>
      </c>
      <c r="O319" s="737" t="s">
        <v>3388</v>
      </c>
      <c r="P319" s="626" t="s">
        <v>2207</v>
      </c>
      <c r="Q319" s="732"/>
    </row>
    <row r="320" spans="2:17" s="723" customFormat="1" ht="12" customHeight="1">
      <c r="B320" s="740"/>
      <c r="C320" s="626" t="s">
        <v>2627</v>
      </c>
      <c r="D320" s="626" t="s">
        <v>1769</v>
      </c>
      <c r="E320" s="738" t="s">
        <v>1754</v>
      </c>
      <c r="F320" s="738" t="s">
        <v>3411</v>
      </c>
      <c r="G320" s="732" t="s">
        <v>3375</v>
      </c>
      <c r="H320" s="733" t="s">
        <v>459</v>
      </c>
      <c r="I320" s="739"/>
      <c r="J320" s="735" t="s">
        <v>1052</v>
      </c>
      <c r="K320" s="736"/>
      <c r="L320" s="727"/>
      <c r="M320" s="728"/>
      <c r="N320" s="737" t="s">
        <v>367</v>
      </c>
      <c r="O320" s="737" t="s">
        <v>2659</v>
      </c>
      <c r="P320" s="626" t="s">
        <v>2208</v>
      </c>
      <c r="Q320" s="732"/>
    </row>
    <row r="321" spans="2:19" s="723" customFormat="1" ht="12" customHeight="1">
      <c r="B321" s="740"/>
      <c r="C321" s="626" t="s">
        <v>2628</v>
      </c>
      <c r="D321" s="626" t="s">
        <v>1745</v>
      </c>
      <c r="E321" s="738" t="s">
        <v>2629</v>
      </c>
      <c r="F321" s="738" t="s">
        <v>3410</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2716</v>
      </c>
      <c r="D322" s="626" t="s">
        <v>1769</v>
      </c>
      <c r="E322" s="731" t="s">
        <v>2717</v>
      </c>
      <c r="F322" s="738" t="s">
        <v>3410</v>
      </c>
      <c r="G322" s="732" t="s">
        <v>1587</v>
      </c>
      <c r="H322" s="733" t="s">
        <v>458</v>
      </c>
      <c r="I322" s="739"/>
      <c r="J322" s="735" t="s">
        <v>2674</v>
      </c>
      <c r="K322" s="736"/>
      <c r="L322" s="727"/>
      <c r="M322" s="728"/>
      <c r="N322" s="737" t="s">
        <v>371</v>
      </c>
      <c r="O322" s="737" t="s">
        <v>196</v>
      </c>
      <c r="P322" s="626" t="s">
        <v>2210</v>
      </c>
      <c r="Q322" s="732"/>
    </row>
    <row r="323" spans="2:19" s="723" customFormat="1" ht="12" customHeight="1">
      <c r="B323" s="740"/>
      <c r="C323" s="626" t="s">
        <v>2718</v>
      </c>
      <c r="D323" s="626" t="s">
        <v>1745</v>
      </c>
      <c r="E323" s="738" t="s">
        <v>1978</v>
      </c>
      <c r="F323" s="731" t="s">
        <v>3411</v>
      </c>
      <c r="G323" s="732" t="s">
        <v>2370</v>
      </c>
      <c r="H323" s="733" t="s">
        <v>459</v>
      </c>
      <c r="I323" s="739"/>
      <c r="J323" s="735" t="s">
        <v>2676</v>
      </c>
      <c r="K323" s="736"/>
      <c r="L323" s="727"/>
      <c r="M323" s="728"/>
      <c r="N323" s="737" t="s">
        <v>373</v>
      </c>
      <c r="O323" s="737" t="s">
        <v>3157</v>
      </c>
      <c r="P323" s="626" t="s">
        <v>2211</v>
      </c>
      <c r="Q323" s="732"/>
    </row>
    <row r="324" spans="2:19" s="723" customFormat="1" ht="12" customHeight="1">
      <c r="B324" s="740"/>
      <c r="C324" s="626" t="s">
        <v>2719</v>
      </c>
      <c r="D324" s="626" t="s">
        <v>1769</v>
      </c>
      <c r="E324" s="738" t="s">
        <v>1152</v>
      </c>
      <c r="F324" s="738" t="s">
        <v>3411</v>
      </c>
      <c r="G324" s="732" t="s">
        <v>3372</v>
      </c>
      <c r="H324" s="733" t="s">
        <v>459</v>
      </c>
      <c r="I324" s="739"/>
      <c r="J324" s="735" t="s">
        <v>366</v>
      </c>
      <c r="K324" s="736"/>
      <c r="L324" s="727"/>
      <c r="M324" s="728"/>
      <c r="N324" s="737" t="s">
        <v>375</v>
      </c>
      <c r="O324" s="737" t="s">
        <v>2584</v>
      </c>
      <c r="P324" s="626" t="s">
        <v>2212</v>
      </c>
      <c r="Q324" s="732"/>
    </row>
    <row r="325" spans="2:19" s="723" customFormat="1" ht="12" customHeight="1">
      <c r="B325" s="740"/>
      <c r="C325" s="626" t="s">
        <v>2720</v>
      </c>
      <c r="D325" s="626" t="s">
        <v>1632</v>
      </c>
      <c r="E325" s="738" t="s">
        <v>109</v>
      </c>
      <c r="F325" s="738" t="s">
        <v>3410</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3410</v>
      </c>
      <c r="G326" s="732" t="s">
        <v>1589</v>
      </c>
      <c r="H326" s="733" t="s">
        <v>458</v>
      </c>
      <c r="I326" s="739"/>
      <c r="J326" s="735" t="s">
        <v>370</v>
      </c>
      <c r="K326" s="736"/>
      <c r="L326" s="727"/>
      <c r="M326" s="728"/>
      <c r="N326" s="737" t="s">
        <v>2650</v>
      </c>
      <c r="O326" s="737" t="s">
        <v>112</v>
      </c>
      <c r="P326" s="626" t="s">
        <v>1070</v>
      </c>
      <c r="Q326" s="732"/>
    </row>
    <row r="327" spans="2:19" s="723" customFormat="1" ht="12" customHeight="1">
      <c r="B327" s="740"/>
      <c r="C327" s="626" t="s">
        <v>112</v>
      </c>
      <c r="D327" s="626" t="s">
        <v>1632</v>
      </c>
      <c r="E327" s="738" t="s">
        <v>113</v>
      </c>
      <c r="F327" s="738" t="s">
        <v>3410</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3410</v>
      </c>
      <c r="G328" s="732" t="s">
        <v>1591</v>
      </c>
      <c r="H328" s="733" t="s">
        <v>458</v>
      </c>
      <c r="I328" s="739"/>
      <c r="J328" s="735" t="s">
        <v>374</v>
      </c>
      <c r="K328" s="736"/>
      <c r="L328" s="727"/>
      <c r="M328" s="728"/>
      <c r="N328" s="737" t="s">
        <v>2870</v>
      </c>
      <c r="O328" s="737" t="s">
        <v>213</v>
      </c>
      <c r="P328" s="626" t="s">
        <v>1072</v>
      </c>
      <c r="Q328" s="732"/>
    </row>
    <row r="329" spans="2:19" s="723" customFormat="1" ht="12" customHeight="1">
      <c r="B329" s="740"/>
      <c r="C329" s="626" t="s">
        <v>116</v>
      </c>
      <c r="D329" s="626" t="s">
        <v>1632</v>
      </c>
      <c r="E329" s="738" t="s">
        <v>117</v>
      </c>
      <c r="F329" s="738" t="s">
        <v>3410</v>
      </c>
      <c r="G329" s="732" t="s">
        <v>1592</v>
      </c>
      <c r="H329" s="733" t="s">
        <v>458</v>
      </c>
      <c r="I329" s="739"/>
      <c r="J329" s="735" t="s">
        <v>376</v>
      </c>
      <c r="K329" s="736"/>
      <c r="L329" s="727"/>
      <c r="M329" s="728"/>
      <c r="N329" s="737" t="s">
        <v>877</v>
      </c>
      <c r="O329" s="737" t="s">
        <v>2894</v>
      </c>
      <c r="P329" s="626" t="s">
        <v>1073</v>
      </c>
      <c r="Q329" s="732"/>
    </row>
    <row r="330" spans="2:19" s="723" customFormat="1" ht="12" customHeight="1">
      <c r="B330" s="740"/>
      <c r="C330" s="626" t="s">
        <v>118</v>
      </c>
      <c r="D330" s="626" t="s">
        <v>1632</v>
      </c>
      <c r="E330" s="738" t="s">
        <v>119</v>
      </c>
      <c r="F330" s="738" t="s">
        <v>3410</v>
      </c>
      <c r="G330" s="732" t="s">
        <v>3110</v>
      </c>
      <c r="H330" s="733" t="s">
        <v>458</v>
      </c>
      <c r="I330" s="739"/>
      <c r="J330" s="735" t="s">
        <v>2649</v>
      </c>
      <c r="K330" s="736"/>
      <c r="L330" s="727"/>
      <c r="M330" s="728"/>
      <c r="N330" s="737" t="s">
        <v>171</v>
      </c>
      <c r="O330" s="737" t="s">
        <v>2583</v>
      </c>
      <c r="P330" s="626" t="s">
        <v>1074</v>
      </c>
      <c r="Q330" s="732"/>
    </row>
    <row r="331" spans="2:19" s="723" customFormat="1" ht="12" customHeight="1">
      <c r="B331" s="740"/>
      <c r="C331" s="626" t="s">
        <v>120</v>
      </c>
      <c r="D331" s="626" t="s">
        <v>1745</v>
      </c>
      <c r="E331" s="738" t="s">
        <v>121</v>
      </c>
      <c r="F331" s="738" t="s">
        <v>3410</v>
      </c>
      <c r="G331" s="732" t="s">
        <v>3111</v>
      </c>
      <c r="H331" s="733" t="s">
        <v>458</v>
      </c>
      <c r="I331" s="734"/>
      <c r="J331" s="735" t="s">
        <v>2651</v>
      </c>
      <c r="K331" s="736"/>
      <c r="L331" s="727"/>
      <c r="M331" s="728"/>
      <c r="N331" s="737" t="s">
        <v>214</v>
      </c>
      <c r="O331" s="737" t="s">
        <v>808</v>
      </c>
      <c r="P331" s="626" t="s">
        <v>1075</v>
      </c>
      <c r="Q331" s="732"/>
    </row>
    <row r="332" spans="2:19" s="723" customFormat="1" ht="12" customHeight="1">
      <c r="B332" s="740"/>
      <c r="C332" s="626" t="s">
        <v>2659</v>
      </c>
      <c r="D332" s="626" t="s">
        <v>1745</v>
      </c>
      <c r="E332" s="731" t="s">
        <v>367</v>
      </c>
      <c r="F332" s="738" t="s">
        <v>3411</v>
      </c>
      <c r="G332" s="732" t="s">
        <v>3112</v>
      </c>
      <c r="H332" s="733" t="s">
        <v>459</v>
      </c>
      <c r="I332" s="739"/>
      <c r="J332" s="735" t="s">
        <v>2869</v>
      </c>
      <c r="K332" s="736"/>
      <c r="L332" s="727"/>
      <c r="M332" s="728"/>
      <c r="N332" s="626" t="s">
        <v>3364</v>
      </c>
      <c r="O332" s="626" t="s">
        <v>2720</v>
      </c>
      <c r="P332" s="1381" t="s">
        <v>2855</v>
      </c>
      <c r="Q332" s="732"/>
    </row>
    <row r="333" spans="2:19" s="723" customFormat="1" ht="12" customHeight="1">
      <c r="B333" s="740"/>
      <c r="C333" s="626" t="s">
        <v>2660</v>
      </c>
      <c r="D333" s="626" t="s">
        <v>1632</v>
      </c>
      <c r="E333" s="738" t="s">
        <v>3154</v>
      </c>
      <c r="F333" s="731" t="s">
        <v>3410</v>
      </c>
      <c r="G333" s="732" t="s">
        <v>3113</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3155</v>
      </c>
      <c r="D334" s="626" t="s">
        <v>1769</v>
      </c>
      <c r="E334" s="738" t="s">
        <v>3156</v>
      </c>
      <c r="F334" s="738" t="s">
        <v>3410</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3157</v>
      </c>
      <c r="D335" s="626" t="s">
        <v>1769</v>
      </c>
      <c r="E335" s="738" t="s">
        <v>3158</v>
      </c>
      <c r="F335" s="738" t="s">
        <v>3410</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3159</v>
      </c>
      <c r="D336" s="626" t="s">
        <v>1632</v>
      </c>
      <c r="E336" s="738" t="s">
        <v>2477</v>
      </c>
      <c r="F336" s="738" t="s">
        <v>3411</v>
      </c>
      <c r="G336" s="732" t="s">
        <v>1575</v>
      </c>
      <c r="H336" s="733" t="s">
        <v>459</v>
      </c>
      <c r="J336" s="735" t="s">
        <v>1183</v>
      </c>
      <c r="K336" s="736"/>
      <c r="L336" s="727"/>
      <c r="M336" s="728"/>
      <c r="N336" s="737" t="s">
        <v>3189</v>
      </c>
      <c r="O336" s="737" t="s">
        <v>1899</v>
      </c>
      <c r="P336" s="626" t="s">
        <v>1079</v>
      </c>
      <c r="Q336" s="732"/>
      <c r="R336" s="626"/>
      <c r="S336" s="626"/>
    </row>
    <row r="337" spans="2:19" s="723" customFormat="1" ht="12" customHeight="1">
      <c r="B337" s="722"/>
      <c r="F337" s="738"/>
      <c r="J337" s="735" t="s">
        <v>1185</v>
      </c>
      <c r="K337" s="736"/>
      <c r="L337" s="727"/>
      <c r="M337" s="728"/>
      <c r="N337" s="737" t="s">
        <v>3191</v>
      </c>
      <c r="O337" s="737" t="s">
        <v>1513</v>
      </c>
      <c r="P337" s="626" t="s">
        <v>1080</v>
      </c>
      <c r="R337" s="626"/>
      <c r="S337" s="626"/>
    </row>
    <row r="338" spans="2:19" s="723" customFormat="1" ht="12" customHeight="1">
      <c r="B338" s="722"/>
      <c r="J338" s="735" t="s">
        <v>1187</v>
      </c>
      <c r="K338" s="736"/>
      <c r="L338" s="727"/>
      <c r="M338" s="728"/>
      <c r="N338" s="626" t="s">
        <v>3365</v>
      </c>
      <c r="O338" s="626" t="s">
        <v>852</v>
      </c>
      <c r="P338" s="1381" t="s">
        <v>2855</v>
      </c>
      <c r="R338" s="626"/>
      <c r="S338" s="626"/>
    </row>
    <row r="339" spans="2:19" s="723" customFormat="1" ht="12" customHeight="1">
      <c r="B339" s="722"/>
      <c r="J339" s="735" t="s">
        <v>3187</v>
      </c>
      <c r="K339" s="736"/>
      <c r="L339" s="727"/>
      <c r="M339" s="728"/>
      <c r="N339" s="737" t="s">
        <v>414</v>
      </c>
      <c r="O339" s="737" t="s">
        <v>3269</v>
      </c>
      <c r="P339" s="626" t="s">
        <v>1081</v>
      </c>
      <c r="R339" s="626"/>
      <c r="S339" s="626"/>
    </row>
    <row r="340" spans="2:19" s="723" customFormat="1" ht="12" customHeight="1">
      <c r="B340" s="722"/>
      <c r="J340" s="735" t="s">
        <v>3188</v>
      </c>
      <c r="K340" s="736"/>
      <c r="L340" s="727"/>
      <c r="M340" s="728"/>
      <c r="N340" s="737" t="s">
        <v>416</v>
      </c>
      <c r="O340" s="737" t="s">
        <v>2887</v>
      </c>
      <c r="P340" s="626" t="s">
        <v>1082</v>
      </c>
      <c r="R340" s="626"/>
      <c r="S340" s="626"/>
    </row>
    <row r="341" spans="2:19" s="723" customFormat="1" ht="12" customHeight="1">
      <c r="B341" s="722"/>
      <c r="J341" s="735" t="s">
        <v>3190</v>
      </c>
      <c r="K341" s="736"/>
      <c r="L341" s="727"/>
      <c r="M341" s="728"/>
      <c r="N341" s="737" t="s">
        <v>52</v>
      </c>
      <c r="O341" s="737" t="s">
        <v>1350</v>
      </c>
      <c r="P341" s="626" t="s">
        <v>1083</v>
      </c>
    </row>
    <row r="342" spans="2:19" s="723" customFormat="1" ht="12" customHeight="1">
      <c r="B342" s="722"/>
      <c r="J342" s="735" t="s">
        <v>3192</v>
      </c>
      <c r="K342" s="736"/>
      <c r="L342" s="727"/>
      <c r="M342" s="728"/>
      <c r="N342" s="737" t="s">
        <v>54</v>
      </c>
      <c r="O342" s="737" t="s">
        <v>808</v>
      </c>
      <c r="P342" s="626" t="s">
        <v>1084</v>
      </c>
    </row>
    <row r="343" spans="2:19" s="723" customFormat="1" ht="12" customHeight="1">
      <c r="B343" s="722"/>
      <c r="J343" s="735" t="s">
        <v>3193</v>
      </c>
      <c r="K343" s="736"/>
      <c r="L343" s="727"/>
      <c r="M343" s="728"/>
      <c r="N343" s="737" t="s">
        <v>1268</v>
      </c>
      <c r="O343" s="737" t="s">
        <v>3267</v>
      </c>
      <c r="P343" s="626" t="s">
        <v>1085</v>
      </c>
    </row>
    <row r="344" spans="2:19" s="723" customFormat="1" ht="12" customHeight="1">
      <c r="B344" s="722"/>
      <c r="J344" s="735" t="s">
        <v>415</v>
      </c>
      <c r="K344" s="736"/>
      <c r="L344" s="727"/>
      <c r="M344" s="728"/>
      <c r="N344" s="737" t="s">
        <v>2632</v>
      </c>
      <c r="O344" s="737" t="s">
        <v>1268</v>
      </c>
      <c r="P344" s="626" t="s">
        <v>1086</v>
      </c>
    </row>
    <row r="345" spans="2:19" s="723" customFormat="1" ht="12" customHeight="1">
      <c r="B345" s="722"/>
      <c r="J345" s="735" t="s">
        <v>51</v>
      </c>
      <c r="K345" s="736"/>
      <c r="L345" s="727"/>
      <c r="M345" s="728"/>
      <c r="N345" s="626" t="s">
        <v>3366</v>
      </c>
      <c r="O345" s="626" t="s">
        <v>808</v>
      </c>
      <c r="P345" s="1381" t="s">
        <v>2855</v>
      </c>
    </row>
    <row r="346" spans="2:19" s="723" customFormat="1" ht="12" customHeight="1">
      <c r="B346" s="722"/>
      <c r="J346" s="735" t="s">
        <v>53</v>
      </c>
      <c r="K346" s="736"/>
      <c r="L346" s="727"/>
      <c r="M346" s="728"/>
      <c r="N346" s="737" t="s">
        <v>2637</v>
      </c>
      <c r="O346" s="737" t="s">
        <v>1899</v>
      </c>
      <c r="P346" s="626" t="s">
        <v>1087</v>
      </c>
    </row>
    <row r="347" spans="2:19" s="723" customFormat="1" ht="12" customHeight="1">
      <c r="B347" s="722"/>
      <c r="J347" s="735" t="s">
        <v>2630</v>
      </c>
      <c r="K347" s="736"/>
      <c r="L347" s="727"/>
      <c r="M347" s="728"/>
      <c r="N347" s="737" t="s">
        <v>2639</v>
      </c>
      <c r="O347" s="737" t="s">
        <v>1899</v>
      </c>
      <c r="P347" s="626" t="s">
        <v>1088</v>
      </c>
    </row>
    <row r="348" spans="2:19" s="723" customFormat="1" ht="12" customHeight="1">
      <c r="B348" s="722"/>
      <c r="J348" s="735" t="s">
        <v>2631</v>
      </c>
      <c r="K348" s="736"/>
      <c r="L348" s="727"/>
      <c r="M348" s="728"/>
      <c r="N348" s="737" t="s">
        <v>906</v>
      </c>
      <c r="O348" s="737" t="s">
        <v>127</v>
      </c>
      <c r="P348" s="626" t="s">
        <v>1089</v>
      </c>
    </row>
    <row r="349" spans="2:19" s="723" customFormat="1" ht="12" customHeight="1">
      <c r="B349" s="722"/>
      <c r="J349" s="735" t="s">
        <v>2633</v>
      </c>
      <c r="K349" s="736"/>
      <c r="L349" s="727"/>
      <c r="M349" s="728"/>
      <c r="N349" s="741" t="s">
        <v>878</v>
      </c>
      <c r="O349" s="737" t="s">
        <v>808</v>
      </c>
      <c r="P349" s="626" t="s">
        <v>1090</v>
      </c>
    </row>
    <row r="350" spans="2:19" s="723" customFormat="1" ht="12" customHeight="1">
      <c r="B350" s="722"/>
      <c r="J350" s="735" t="s">
        <v>2634</v>
      </c>
      <c r="K350" s="736"/>
      <c r="L350" s="727"/>
      <c r="M350" s="728"/>
      <c r="N350" s="737" t="s">
        <v>2635</v>
      </c>
      <c r="O350" s="737" t="s">
        <v>3264</v>
      </c>
      <c r="P350" s="626" t="s">
        <v>1091</v>
      </c>
    </row>
    <row r="351" spans="2:19" s="723" customFormat="1" ht="12" customHeight="1">
      <c r="B351" s="722"/>
      <c r="J351" s="735" t="s">
        <v>2636</v>
      </c>
      <c r="K351" s="736"/>
      <c r="L351" s="727"/>
      <c r="M351" s="728"/>
      <c r="N351" s="737" t="s">
        <v>1553</v>
      </c>
      <c r="O351" s="737" t="s">
        <v>1899</v>
      </c>
      <c r="P351" s="626" t="s">
        <v>1092</v>
      </c>
    </row>
    <row r="352" spans="2:19" s="723" customFormat="1" ht="12" customHeight="1">
      <c r="B352" s="722"/>
      <c r="J352" s="735" t="s">
        <v>2638</v>
      </c>
      <c r="K352" s="736"/>
      <c r="L352" s="727"/>
      <c r="M352" s="728"/>
      <c r="N352" s="737" t="s">
        <v>1555</v>
      </c>
      <c r="O352" s="737" t="s">
        <v>848</v>
      </c>
      <c r="P352" s="728" t="s">
        <v>1093</v>
      </c>
    </row>
    <row r="353" spans="2:16" s="723" customFormat="1" ht="12" customHeight="1">
      <c r="B353" s="722"/>
      <c r="J353" s="735" t="s">
        <v>905</v>
      </c>
      <c r="K353" s="736"/>
      <c r="L353" s="727"/>
      <c r="M353" s="728"/>
      <c r="N353" s="626" t="s">
        <v>3367</v>
      </c>
      <c r="O353" s="626" t="s">
        <v>2889</v>
      </c>
      <c r="P353" s="1381" t="s">
        <v>2855</v>
      </c>
    </row>
    <row r="354" spans="2:16" s="723" customFormat="1" ht="12" customHeight="1">
      <c r="B354" s="722"/>
      <c r="J354" s="735" t="s">
        <v>1552</v>
      </c>
      <c r="K354" s="736"/>
      <c r="L354" s="727"/>
      <c r="M354" s="728"/>
      <c r="N354" s="626" t="s">
        <v>3368</v>
      </c>
      <c r="O354" s="626" t="s">
        <v>3318</v>
      </c>
      <c r="P354" s="1381" t="s">
        <v>2855</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3299</v>
      </c>
      <c r="O356" s="737" t="s">
        <v>217</v>
      </c>
      <c r="P356" s="728" t="s">
        <v>1095</v>
      </c>
    </row>
    <row r="357" spans="2:16" s="723" customFormat="1" ht="12" customHeight="1">
      <c r="B357" s="722"/>
      <c r="J357" s="735" t="s">
        <v>3298</v>
      </c>
      <c r="K357" s="736"/>
      <c r="L357" s="727"/>
      <c r="M357" s="728"/>
      <c r="N357" s="737" t="s">
        <v>582</v>
      </c>
      <c r="O357" s="737" t="s">
        <v>1509</v>
      </c>
      <c r="P357" s="728" t="s">
        <v>1096</v>
      </c>
    </row>
    <row r="358" spans="2:16" s="723" customFormat="1" ht="12" customHeight="1">
      <c r="B358" s="722"/>
      <c r="J358" s="735" t="s">
        <v>3300</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2599</v>
      </c>
      <c r="O362" s="737" t="s">
        <v>3269</v>
      </c>
      <c r="P362" s="728" t="s">
        <v>1101</v>
      </c>
    </row>
    <row r="363" spans="2:16" s="723" customFormat="1" ht="12" customHeight="1">
      <c r="B363" s="722"/>
      <c r="J363" s="735" t="s">
        <v>2598</v>
      </c>
      <c r="K363" s="736"/>
      <c r="L363" s="727"/>
      <c r="M363" s="728"/>
      <c r="N363" s="737" t="s">
        <v>2602</v>
      </c>
      <c r="O363" s="737" t="s">
        <v>848</v>
      </c>
      <c r="P363" s="728" t="s">
        <v>1102</v>
      </c>
    </row>
    <row r="364" spans="2:16" s="723" customFormat="1" ht="12" customHeight="1">
      <c r="B364" s="722"/>
      <c r="J364" s="735" t="s">
        <v>2600</v>
      </c>
      <c r="K364" s="736"/>
      <c r="L364" s="727"/>
      <c r="M364" s="728"/>
      <c r="N364" s="737" t="s">
        <v>2604</v>
      </c>
      <c r="O364" s="737" t="s">
        <v>1748</v>
      </c>
      <c r="P364" s="728" t="s">
        <v>1103</v>
      </c>
    </row>
    <row r="365" spans="2:16" s="723" customFormat="1" ht="12" customHeight="1">
      <c r="B365" s="722"/>
      <c r="J365" s="735" t="s">
        <v>2601</v>
      </c>
      <c r="K365" s="736"/>
      <c r="L365" s="727"/>
      <c r="M365" s="728"/>
      <c r="N365" s="737" t="s">
        <v>2606</v>
      </c>
      <c r="O365" s="737" t="s">
        <v>1751</v>
      </c>
      <c r="P365" s="728" t="s">
        <v>1104</v>
      </c>
    </row>
    <row r="366" spans="2:16" s="723" customFormat="1" ht="12" customHeight="1">
      <c r="B366" s="722"/>
      <c r="J366" s="735" t="s">
        <v>2603</v>
      </c>
      <c r="K366" s="736"/>
      <c r="L366" s="727"/>
      <c r="M366" s="728"/>
      <c r="N366" s="737" t="s">
        <v>2642</v>
      </c>
      <c r="O366" s="737" t="s">
        <v>350</v>
      </c>
      <c r="P366" s="728" t="s">
        <v>1105</v>
      </c>
    </row>
    <row r="367" spans="2:16" s="723" customFormat="1" ht="12" customHeight="1">
      <c r="B367" s="722"/>
      <c r="J367" s="735" t="s">
        <v>2605</v>
      </c>
      <c r="K367" s="736"/>
      <c r="L367" s="727"/>
      <c r="M367" s="728"/>
      <c r="N367" s="737" t="s">
        <v>2645</v>
      </c>
      <c r="O367" s="737" t="s">
        <v>3382</v>
      </c>
      <c r="P367" s="728" t="s">
        <v>1106</v>
      </c>
    </row>
    <row r="368" spans="2:16" s="723" customFormat="1" ht="12" customHeight="1">
      <c r="B368" s="722"/>
      <c r="J368" s="735" t="s">
        <v>2641</v>
      </c>
      <c r="K368" s="736"/>
      <c r="L368" s="727"/>
      <c r="M368" s="728"/>
      <c r="N368" s="737" t="s">
        <v>2647</v>
      </c>
      <c r="O368" s="737" t="s">
        <v>1748</v>
      </c>
      <c r="P368" s="728" t="s">
        <v>1107</v>
      </c>
    </row>
    <row r="369" spans="2:16" s="723" customFormat="1" ht="12" customHeight="1">
      <c r="B369" s="722"/>
      <c r="J369" s="735" t="s">
        <v>2643</v>
      </c>
      <c r="K369" s="736"/>
      <c r="L369" s="727"/>
      <c r="M369" s="728"/>
      <c r="N369" s="626" t="s">
        <v>2970</v>
      </c>
      <c r="O369" s="626" t="s">
        <v>3315</v>
      </c>
      <c r="P369" s="1381" t="s">
        <v>2855</v>
      </c>
    </row>
    <row r="370" spans="2:16" s="723" customFormat="1" ht="12" customHeight="1">
      <c r="B370" s="722"/>
      <c r="J370" s="735" t="s">
        <v>2644</v>
      </c>
      <c r="K370" s="736"/>
      <c r="L370" s="727"/>
      <c r="M370" s="728"/>
      <c r="N370" s="626" t="s">
        <v>3369</v>
      </c>
      <c r="O370" s="626" t="s">
        <v>2889</v>
      </c>
      <c r="P370" s="1381" t="s">
        <v>2855</v>
      </c>
    </row>
    <row r="371" spans="2:16" s="723" customFormat="1" ht="12" customHeight="1">
      <c r="B371" s="722"/>
      <c r="J371" s="735" t="s">
        <v>2646</v>
      </c>
      <c r="K371" s="736"/>
      <c r="L371" s="727"/>
      <c r="M371" s="728"/>
      <c r="N371" s="626" t="s">
        <v>3370</v>
      </c>
      <c r="O371" s="626" t="s">
        <v>3266</v>
      </c>
      <c r="P371" s="1381" t="s">
        <v>2855</v>
      </c>
    </row>
    <row r="372" spans="2:16" s="723" customFormat="1" ht="12" customHeight="1">
      <c r="B372" s="722"/>
      <c r="J372" s="735" t="s">
        <v>2648</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3371</v>
      </c>
      <c r="O374" s="626" t="s">
        <v>2718</v>
      </c>
      <c r="P374" s="1381" t="s">
        <v>2855</v>
      </c>
    </row>
    <row r="375" spans="2:16" s="723" customFormat="1" ht="12" customHeight="1">
      <c r="B375" s="722"/>
      <c r="J375" s="735" t="s">
        <v>2364</v>
      </c>
      <c r="K375" s="736"/>
      <c r="L375" s="727"/>
      <c r="M375" s="728"/>
      <c r="N375" s="737" t="s">
        <v>2365</v>
      </c>
      <c r="O375" s="737" t="s">
        <v>3264</v>
      </c>
      <c r="P375" s="728" t="s">
        <v>1110</v>
      </c>
    </row>
    <row r="376" spans="2:16" s="723" customFormat="1" ht="12" customHeight="1">
      <c r="B376" s="722"/>
      <c r="J376" s="735" t="s">
        <v>2442</v>
      </c>
      <c r="K376" s="736"/>
      <c r="L376" s="727"/>
      <c r="M376" s="728"/>
      <c r="N376" s="737" t="s">
        <v>3005</v>
      </c>
      <c r="O376" s="737" t="s">
        <v>843</v>
      </c>
      <c r="P376" s="728" t="s">
        <v>1111</v>
      </c>
    </row>
    <row r="377" spans="2:16" s="723" customFormat="1" ht="12" customHeight="1">
      <c r="B377" s="722"/>
      <c r="J377" s="735" t="s">
        <v>3004</v>
      </c>
      <c r="K377" s="736"/>
      <c r="L377" s="727"/>
      <c r="M377" s="728"/>
      <c r="N377" s="737" t="s">
        <v>3007</v>
      </c>
      <c r="O377" s="737" t="s">
        <v>1749</v>
      </c>
      <c r="P377" s="728" t="s">
        <v>1112</v>
      </c>
    </row>
    <row r="378" spans="2:16" s="723" customFormat="1" ht="12" customHeight="1">
      <c r="B378" s="722"/>
      <c r="J378" s="735" t="s">
        <v>3006</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3146</v>
      </c>
      <c r="O381" s="737" t="s">
        <v>173</v>
      </c>
      <c r="P381" s="728" t="s">
        <v>1116</v>
      </c>
    </row>
    <row r="382" spans="2:16" s="723" customFormat="1" ht="12" customHeight="1">
      <c r="B382" s="722"/>
      <c r="J382" s="735" t="s">
        <v>859</v>
      </c>
      <c r="K382" s="736"/>
      <c r="L382" s="727"/>
      <c r="M382" s="728"/>
      <c r="N382" s="737" t="s">
        <v>241</v>
      </c>
      <c r="O382" s="737" t="s">
        <v>3263</v>
      </c>
      <c r="P382" s="728" t="s">
        <v>1117</v>
      </c>
    </row>
    <row r="383" spans="2:16" s="723" customFormat="1" ht="12" customHeight="1">
      <c r="B383" s="722"/>
      <c r="J383" s="735" t="s">
        <v>3145</v>
      </c>
      <c r="K383" s="736"/>
      <c r="L383" s="727"/>
      <c r="M383" s="728"/>
      <c r="N383" s="737" t="s">
        <v>845</v>
      </c>
      <c r="O383" s="737" t="s">
        <v>2238</v>
      </c>
      <c r="P383" s="728" t="s">
        <v>1118</v>
      </c>
    </row>
    <row r="384" spans="2:16" s="723" customFormat="1" ht="12" customHeight="1">
      <c r="B384" s="722"/>
      <c r="J384" s="735" t="s">
        <v>240</v>
      </c>
      <c r="K384" s="736"/>
      <c r="L384" s="727"/>
      <c r="M384" s="728"/>
      <c r="N384" s="737" t="s">
        <v>3116</v>
      </c>
      <c r="O384" s="737" t="s">
        <v>3261</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2855</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3269</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2968</v>
      </c>
      <c r="P393" s="728" t="s">
        <v>1126</v>
      </c>
    </row>
    <row r="394" spans="2:16" s="723" customFormat="1" ht="12" customHeight="1">
      <c r="B394" s="722"/>
      <c r="J394" s="735" t="s">
        <v>1641</v>
      </c>
      <c r="K394" s="736"/>
      <c r="L394" s="727"/>
      <c r="M394" s="728"/>
      <c r="N394" s="737" t="s">
        <v>3242</v>
      </c>
      <c r="O394" s="737" t="s">
        <v>2585</v>
      </c>
      <c r="P394" s="728" t="s">
        <v>1127</v>
      </c>
    </row>
    <row r="395" spans="2:16" s="723" customFormat="1" ht="12" customHeight="1">
      <c r="B395" s="722"/>
      <c r="J395" s="735" t="s">
        <v>1643</v>
      </c>
      <c r="K395" s="736"/>
      <c r="L395" s="727"/>
      <c r="M395" s="728"/>
      <c r="N395" s="737" t="s">
        <v>1298</v>
      </c>
      <c r="O395" s="737" t="s">
        <v>2896</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3241</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2900</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2719</v>
      </c>
      <c r="P402" s="728" t="s">
        <v>1134</v>
      </c>
    </row>
    <row r="403" spans="2:16" s="723" customFormat="1" ht="12" customHeight="1">
      <c r="B403" s="722"/>
      <c r="J403" s="735" t="s">
        <v>865</v>
      </c>
      <c r="K403" s="736"/>
      <c r="L403" s="727"/>
      <c r="M403" s="728"/>
      <c r="N403" s="737" t="s">
        <v>853</v>
      </c>
      <c r="O403" s="737" t="s">
        <v>3157</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3318</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2585</v>
      </c>
      <c r="P409" s="728" t="s">
        <v>1141</v>
      </c>
    </row>
    <row r="410" spans="2:16" s="723" customFormat="1" ht="12" customHeight="1">
      <c r="B410" s="722"/>
      <c r="J410" s="735" t="s">
        <v>1380</v>
      </c>
      <c r="K410" s="736"/>
      <c r="L410" s="727"/>
      <c r="M410" s="728"/>
      <c r="N410" s="626" t="s">
        <v>1454</v>
      </c>
      <c r="O410" s="626" t="s">
        <v>808</v>
      </c>
      <c r="P410" s="1381" t="s">
        <v>2855</v>
      </c>
    </row>
    <row r="411" spans="2:16" s="723" customFormat="1" ht="12" customHeight="1">
      <c r="B411" s="722"/>
      <c r="J411" s="735" t="s">
        <v>1382</v>
      </c>
      <c r="K411" s="736"/>
      <c r="L411" s="727"/>
      <c r="M411" s="728"/>
      <c r="N411" s="737" t="s">
        <v>746</v>
      </c>
      <c r="O411" s="737" t="s">
        <v>2889</v>
      </c>
      <c r="P411" s="728" t="s">
        <v>1142</v>
      </c>
    </row>
    <row r="412" spans="2:16" s="723" customFormat="1" ht="12" customHeight="1">
      <c r="B412" s="722"/>
      <c r="J412" s="735" t="s">
        <v>1384</v>
      </c>
      <c r="K412" s="736"/>
      <c r="L412" s="727"/>
      <c r="M412" s="728"/>
      <c r="N412" s="737" t="s">
        <v>406</v>
      </c>
      <c r="O412" s="737" t="s">
        <v>3315</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2619</v>
      </c>
      <c r="P414" s="1381" t="s">
        <v>2855</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2970</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2716</v>
      </c>
      <c r="P420" s="1381" t="s">
        <v>2855</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3318</v>
      </c>
      <c r="P422" s="728" t="s">
        <v>2247</v>
      </c>
    </row>
    <row r="423" spans="2:16" s="723" customFormat="1" ht="12" customHeight="1">
      <c r="B423" s="722"/>
      <c r="J423" s="735" t="s">
        <v>1412</v>
      </c>
      <c r="K423" s="736"/>
      <c r="L423" s="727"/>
      <c r="M423" s="728"/>
      <c r="N423" s="737" t="s">
        <v>2369</v>
      </c>
      <c r="O423" s="737" t="s">
        <v>3315</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3014</v>
      </c>
      <c r="O429" s="737" t="s">
        <v>1266</v>
      </c>
      <c r="P429" s="728" t="s">
        <v>2254</v>
      </c>
    </row>
    <row r="430" spans="2:16" s="723" customFormat="1" ht="12" customHeight="1">
      <c r="B430" s="722"/>
      <c r="J430" s="735" t="s">
        <v>555</v>
      </c>
      <c r="K430" s="736"/>
      <c r="L430" s="727"/>
      <c r="M430" s="728"/>
      <c r="N430" s="737" t="s">
        <v>2715</v>
      </c>
      <c r="O430" s="737" t="s">
        <v>1517</v>
      </c>
      <c r="P430" s="728" t="s">
        <v>2255</v>
      </c>
    </row>
    <row r="431" spans="2:16" s="723" customFormat="1" ht="12" customHeight="1">
      <c r="B431" s="722"/>
      <c r="J431" s="735" t="s">
        <v>2414</v>
      </c>
      <c r="K431" s="736"/>
      <c r="L431" s="727"/>
      <c r="M431" s="728"/>
      <c r="N431" s="737" t="s">
        <v>1437</v>
      </c>
      <c r="O431" s="737" t="s">
        <v>2619</v>
      </c>
      <c r="P431" s="728" t="s">
        <v>2256</v>
      </c>
    </row>
    <row r="432" spans="2:16" s="723" customFormat="1" ht="12" customHeight="1">
      <c r="B432" s="722"/>
      <c r="J432" s="735" t="s">
        <v>3013</v>
      </c>
      <c r="K432" s="736"/>
      <c r="L432" s="727"/>
      <c r="M432" s="728"/>
      <c r="N432" s="737" t="s">
        <v>447</v>
      </c>
      <c r="O432" s="737" t="s">
        <v>201</v>
      </c>
      <c r="P432" s="728" t="s">
        <v>2257</v>
      </c>
    </row>
    <row r="433" spans="2:16" s="723" customFormat="1" ht="12" customHeight="1">
      <c r="B433" s="722"/>
      <c r="J433" s="735" t="s">
        <v>2714</v>
      </c>
      <c r="K433" s="736"/>
      <c r="L433" s="727"/>
      <c r="M433" s="728"/>
      <c r="N433" s="626" t="s">
        <v>1457</v>
      </c>
      <c r="O433" s="626" t="s">
        <v>1504</v>
      </c>
      <c r="P433" s="1381" t="s">
        <v>2855</v>
      </c>
    </row>
    <row r="434" spans="2:16" s="723" customFormat="1" ht="12" customHeight="1">
      <c r="B434" s="722"/>
      <c r="J434" s="735" t="s">
        <v>1436</v>
      </c>
      <c r="K434" s="736"/>
      <c r="L434" s="727"/>
      <c r="M434" s="728"/>
      <c r="N434" s="737" t="s">
        <v>450</v>
      </c>
      <c r="O434" s="737" t="s">
        <v>2885</v>
      </c>
      <c r="P434" s="728" t="s">
        <v>2258</v>
      </c>
    </row>
    <row r="435" spans="2:16" s="723" customFormat="1" ht="12" customHeight="1">
      <c r="B435" s="722"/>
      <c r="J435" s="735" t="s">
        <v>446</v>
      </c>
      <c r="K435" s="736"/>
      <c r="L435" s="727"/>
      <c r="M435" s="728"/>
      <c r="N435" s="737" t="s">
        <v>2653</v>
      </c>
      <c r="O435" s="737" t="s">
        <v>1902</v>
      </c>
      <c r="P435" s="728" t="s">
        <v>2259</v>
      </c>
    </row>
    <row r="436" spans="2:16" s="723" customFormat="1" ht="12" customHeight="1">
      <c r="B436" s="722"/>
      <c r="J436" s="735" t="s">
        <v>448</v>
      </c>
      <c r="K436" s="736"/>
      <c r="L436" s="727"/>
      <c r="M436" s="728"/>
      <c r="N436" s="737" t="s">
        <v>627</v>
      </c>
      <c r="O436" s="737" t="s">
        <v>3388</v>
      </c>
      <c r="P436" s="728" t="s">
        <v>2260</v>
      </c>
    </row>
    <row r="437" spans="2:16" s="723" customFormat="1" ht="12" customHeight="1">
      <c r="B437" s="722"/>
      <c r="J437" s="735" t="s">
        <v>449</v>
      </c>
      <c r="K437" s="736"/>
      <c r="L437" s="727"/>
      <c r="M437" s="728"/>
      <c r="N437" s="737" t="s">
        <v>2878</v>
      </c>
      <c r="O437" s="737" t="s">
        <v>1757</v>
      </c>
      <c r="P437" s="728" t="s">
        <v>2261</v>
      </c>
    </row>
    <row r="438" spans="2:16" s="723" customFormat="1" ht="12" customHeight="1">
      <c r="B438" s="722"/>
      <c r="J438" s="735" t="s">
        <v>2652</v>
      </c>
      <c r="K438" s="736"/>
      <c r="L438" s="727"/>
      <c r="M438" s="728"/>
      <c r="N438" s="737" t="s">
        <v>2325</v>
      </c>
      <c r="O438" s="737" t="s">
        <v>2623</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2877</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3264</v>
      </c>
      <c r="P442" s="728" t="s">
        <v>2266</v>
      </c>
    </row>
    <row r="443" spans="2:16" s="723" customFormat="1" ht="12" customHeight="1">
      <c r="B443" s="722"/>
      <c r="J443" s="735" t="s">
        <v>338</v>
      </c>
      <c r="K443" s="736"/>
      <c r="L443" s="727"/>
      <c r="M443" s="728"/>
      <c r="N443" s="737" t="s">
        <v>3052</v>
      </c>
      <c r="O443" s="737" t="s">
        <v>355</v>
      </c>
      <c r="P443" s="728" t="s">
        <v>2267</v>
      </c>
    </row>
    <row r="444" spans="2:16" s="723" customFormat="1" ht="12" customHeight="1">
      <c r="B444" s="722"/>
      <c r="J444" s="735" t="s">
        <v>340</v>
      </c>
      <c r="K444" s="736"/>
      <c r="L444" s="727"/>
      <c r="M444" s="728"/>
      <c r="N444" s="737" t="s">
        <v>3034</v>
      </c>
      <c r="O444" s="737" t="s">
        <v>196</v>
      </c>
      <c r="P444" s="728" t="s">
        <v>2268</v>
      </c>
    </row>
    <row r="445" spans="2:16" s="723" customFormat="1" ht="12" customHeight="1">
      <c r="B445" s="722"/>
      <c r="J445" s="735" t="s">
        <v>1338</v>
      </c>
      <c r="K445" s="736"/>
      <c r="L445" s="727"/>
      <c r="M445" s="728"/>
      <c r="N445" s="737" t="s">
        <v>3036</v>
      </c>
      <c r="O445" s="737" t="s">
        <v>1754</v>
      </c>
      <c r="P445" s="728" t="s">
        <v>2269</v>
      </c>
    </row>
    <row r="446" spans="2:16" s="723" customFormat="1" ht="12" customHeight="1">
      <c r="B446" s="722"/>
      <c r="J446" s="735" t="s">
        <v>3050</v>
      </c>
      <c r="K446" s="736"/>
      <c r="L446" s="727"/>
      <c r="M446" s="728"/>
      <c r="N446" s="737" t="s">
        <v>677</v>
      </c>
      <c r="O446" s="737" t="s">
        <v>196</v>
      </c>
      <c r="P446" s="728" t="s">
        <v>2270</v>
      </c>
    </row>
    <row r="447" spans="2:16" s="723" customFormat="1" ht="12" customHeight="1">
      <c r="B447" s="722"/>
      <c r="J447" s="735" t="s">
        <v>3051</v>
      </c>
      <c r="K447" s="736"/>
      <c r="L447" s="727"/>
      <c r="M447" s="728"/>
      <c r="N447" s="626" t="s">
        <v>1458</v>
      </c>
      <c r="O447" s="626" t="s">
        <v>1977</v>
      </c>
      <c r="P447" s="1381" t="s">
        <v>2855</v>
      </c>
    </row>
    <row r="448" spans="2:16" s="723" customFormat="1" ht="12" customHeight="1">
      <c r="B448" s="722"/>
      <c r="J448" s="735" t="s">
        <v>3032</v>
      </c>
      <c r="K448" s="736"/>
      <c r="L448" s="727"/>
      <c r="M448" s="728"/>
      <c r="N448" s="737" t="s">
        <v>204</v>
      </c>
      <c r="O448" s="737" t="s">
        <v>2887</v>
      </c>
      <c r="P448" s="728" t="s">
        <v>204</v>
      </c>
    </row>
    <row r="449" spans="2:16" s="723" customFormat="1" ht="12" customHeight="1">
      <c r="B449" s="722"/>
      <c r="J449" s="735" t="s">
        <v>3033</v>
      </c>
      <c r="K449" s="736"/>
      <c r="L449" s="727"/>
      <c r="M449" s="728"/>
      <c r="N449" s="626" t="s">
        <v>1459</v>
      </c>
      <c r="O449" s="626" t="s">
        <v>3263</v>
      </c>
      <c r="P449" s="1381" t="s">
        <v>2855</v>
      </c>
    </row>
    <row r="450" spans="2:16" s="723" customFormat="1" ht="12" customHeight="1">
      <c r="B450" s="722"/>
      <c r="J450" s="735" t="s">
        <v>3035</v>
      </c>
      <c r="K450" s="736"/>
      <c r="L450" s="727"/>
      <c r="M450" s="728"/>
      <c r="N450" s="737" t="s">
        <v>2684</v>
      </c>
      <c r="O450" s="737" t="s">
        <v>3157</v>
      </c>
      <c r="P450" s="728" t="s">
        <v>2271</v>
      </c>
    </row>
    <row r="451" spans="2:16" s="723" customFormat="1" ht="12" customHeight="1">
      <c r="B451" s="722"/>
      <c r="J451" s="735" t="s">
        <v>676</v>
      </c>
      <c r="K451" s="736"/>
      <c r="L451" s="727"/>
      <c r="M451" s="728"/>
      <c r="N451" s="626" t="s">
        <v>1460</v>
      </c>
      <c r="O451" s="626" t="s">
        <v>175</v>
      </c>
      <c r="P451" s="1381" t="s">
        <v>2855</v>
      </c>
    </row>
    <row r="452" spans="2:16" s="723" customFormat="1" ht="12" customHeight="1">
      <c r="B452" s="722"/>
      <c r="J452" s="735" t="s">
        <v>203</v>
      </c>
      <c r="K452" s="736"/>
      <c r="L452" s="727"/>
      <c r="M452" s="728"/>
      <c r="N452" s="737" t="s">
        <v>2686</v>
      </c>
      <c r="O452" s="737" t="s">
        <v>3157</v>
      </c>
      <c r="P452" s="728" t="s">
        <v>2272</v>
      </c>
    </row>
    <row r="453" spans="2:16" s="723" customFormat="1" ht="12" customHeight="1">
      <c r="B453" s="722"/>
      <c r="J453" s="735" t="s">
        <v>2828</v>
      </c>
      <c r="K453" s="736"/>
      <c r="L453" s="727"/>
      <c r="M453" s="728"/>
      <c r="N453" s="737" t="s">
        <v>355</v>
      </c>
      <c r="O453" s="737" t="s">
        <v>1765</v>
      </c>
      <c r="P453" s="728" t="s">
        <v>2273</v>
      </c>
    </row>
    <row r="454" spans="2:16" s="723" customFormat="1" ht="12" customHeight="1">
      <c r="B454" s="722"/>
      <c r="J454" s="735" t="s">
        <v>2685</v>
      </c>
      <c r="K454" s="736"/>
      <c r="L454" s="727"/>
      <c r="M454" s="728"/>
      <c r="N454" s="737" t="s">
        <v>1559</v>
      </c>
      <c r="O454" s="737" t="s">
        <v>1266</v>
      </c>
      <c r="P454" s="728" t="s">
        <v>2274</v>
      </c>
    </row>
    <row r="455" spans="2:16" s="723" customFormat="1" ht="12" customHeight="1">
      <c r="B455" s="722"/>
      <c r="J455" s="735" t="s">
        <v>2687</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2627</v>
      </c>
      <c r="P458" s="728" t="s">
        <v>2278</v>
      </c>
    </row>
    <row r="459" spans="2:16" s="723" customFormat="1" ht="12" customHeight="1">
      <c r="B459" s="722"/>
      <c r="J459" s="735" t="s">
        <v>1522</v>
      </c>
      <c r="K459" s="736"/>
      <c r="L459" s="727"/>
      <c r="M459" s="728"/>
      <c r="N459" s="737" t="s">
        <v>2976</v>
      </c>
      <c r="O459" s="737" t="s">
        <v>1765</v>
      </c>
      <c r="P459" s="728" t="s">
        <v>2279</v>
      </c>
    </row>
    <row r="460" spans="2:16" s="723" customFormat="1" ht="12" customHeight="1">
      <c r="B460" s="722"/>
      <c r="J460" s="735" t="s">
        <v>76</v>
      </c>
      <c r="K460" s="736"/>
      <c r="L460" s="727"/>
      <c r="M460" s="728"/>
      <c r="N460" s="737" t="s">
        <v>2448</v>
      </c>
      <c r="O460" s="737" t="s">
        <v>2719</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2975</v>
      </c>
      <c r="K462" s="736"/>
      <c r="L462" s="727"/>
      <c r="M462" s="728"/>
      <c r="N462" s="741" t="s">
        <v>879</v>
      </c>
      <c r="O462" s="737" t="s">
        <v>1627</v>
      </c>
      <c r="P462" s="728" t="s">
        <v>2282</v>
      </c>
    </row>
    <row r="463" spans="2:16" s="723" customFormat="1" ht="12" customHeight="1">
      <c r="B463" s="722"/>
      <c r="J463" s="735" t="s">
        <v>2516</v>
      </c>
      <c r="K463" s="736"/>
      <c r="L463" s="727"/>
      <c r="M463" s="728"/>
      <c r="N463" s="737" t="s">
        <v>3105</v>
      </c>
      <c r="O463" s="737" t="s">
        <v>3263</v>
      </c>
      <c r="P463" s="728" t="s">
        <v>2283</v>
      </c>
    </row>
    <row r="464" spans="2:16" s="723" customFormat="1" ht="12" customHeight="1">
      <c r="B464" s="722"/>
      <c r="J464" s="735" t="s">
        <v>2449</v>
      </c>
      <c r="K464" s="736"/>
      <c r="L464" s="727"/>
      <c r="M464" s="728"/>
      <c r="N464" s="737" t="s">
        <v>3107</v>
      </c>
      <c r="O464" s="737" t="s">
        <v>2896</v>
      </c>
      <c r="P464" s="728" t="s">
        <v>3107</v>
      </c>
    </row>
    <row r="465" spans="2:16" s="723" customFormat="1" ht="12" customHeight="1">
      <c r="B465" s="722"/>
      <c r="J465" s="735" t="s">
        <v>302</v>
      </c>
      <c r="K465" s="736"/>
      <c r="L465" s="727"/>
      <c r="M465" s="728"/>
      <c r="N465" s="737" t="s">
        <v>603</v>
      </c>
      <c r="O465" s="737" t="s">
        <v>3266</v>
      </c>
      <c r="P465" s="728" t="s">
        <v>2284</v>
      </c>
    </row>
    <row r="466" spans="2:16" s="723" customFormat="1" ht="12" customHeight="1">
      <c r="B466" s="722"/>
      <c r="J466" s="735" t="s">
        <v>3106</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2855</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2706</v>
      </c>
      <c r="O471" s="737" t="s">
        <v>2718</v>
      </c>
      <c r="P471" s="728" t="s">
        <v>2289</v>
      </c>
    </row>
    <row r="472" spans="2:16" s="723" customFormat="1" ht="12" customHeight="1">
      <c r="B472" s="722"/>
      <c r="J472" s="735" t="s">
        <v>1664</v>
      </c>
      <c r="K472" s="736"/>
      <c r="L472" s="727"/>
      <c r="M472" s="728"/>
      <c r="N472" s="737" t="s">
        <v>80</v>
      </c>
      <c r="O472" s="737" t="s">
        <v>2623</v>
      </c>
      <c r="P472" s="728" t="s">
        <v>2290</v>
      </c>
    </row>
    <row r="473" spans="2:16" s="723" customFormat="1" ht="12" customHeight="1">
      <c r="B473" s="722"/>
      <c r="J473" s="735" t="s">
        <v>2704</v>
      </c>
      <c r="K473" s="736"/>
      <c r="L473" s="727"/>
      <c r="M473" s="728"/>
      <c r="N473" s="737" t="s">
        <v>812</v>
      </c>
      <c r="O473" s="737" t="s">
        <v>3263</v>
      </c>
      <c r="P473" s="728" t="s">
        <v>812</v>
      </c>
    </row>
    <row r="474" spans="2:16" s="723" customFormat="1" ht="12" customHeight="1">
      <c r="B474" s="722"/>
      <c r="J474" s="735" t="s">
        <v>2705</v>
      </c>
      <c r="K474" s="736"/>
      <c r="L474" s="727"/>
      <c r="M474" s="728"/>
      <c r="N474" s="737" t="s">
        <v>82</v>
      </c>
      <c r="O474" s="737" t="s">
        <v>192</v>
      </c>
      <c r="P474" s="728" t="s">
        <v>2291</v>
      </c>
    </row>
    <row r="475" spans="2:16" s="723" customFormat="1" ht="12" customHeight="1">
      <c r="B475" s="722"/>
      <c r="J475" s="735" t="s">
        <v>79</v>
      </c>
      <c r="K475" s="736"/>
      <c r="L475" s="727"/>
      <c r="M475" s="728"/>
      <c r="N475" s="737" t="s">
        <v>3176</v>
      </c>
      <c r="O475" s="737" t="s">
        <v>1898</v>
      </c>
      <c r="P475" s="728" t="s">
        <v>2292</v>
      </c>
    </row>
    <row r="476" spans="2:16" s="723" customFormat="1" ht="12" customHeight="1">
      <c r="B476" s="722"/>
      <c r="J476" s="735" t="s">
        <v>81</v>
      </c>
      <c r="K476" s="736"/>
      <c r="L476" s="727"/>
      <c r="M476" s="728"/>
      <c r="N476" s="626" t="s">
        <v>1462</v>
      </c>
      <c r="O476" s="626" t="s">
        <v>1977</v>
      </c>
      <c r="P476" s="1381" t="s">
        <v>2855</v>
      </c>
    </row>
    <row r="477" spans="2:16" s="723" customFormat="1" ht="12" customHeight="1">
      <c r="B477" s="722"/>
      <c r="J477" s="735" t="s">
        <v>3175</v>
      </c>
      <c r="K477" s="736"/>
      <c r="L477" s="727"/>
      <c r="M477" s="728"/>
      <c r="N477" s="626" t="s">
        <v>1463</v>
      </c>
      <c r="O477" s="626" t="s">
        <v>1518</v>
      </c>
      <c r="P477" s="1381" t="s">
        <v>2855</v>
      </c>
    </row>
    <row r="478" spans="2:16" s="723" customFormat="1" ht="12" customHeight="1">
      <c r="B478" s="722"/>
      <c r="J478" s="735" t="s">
        <v>2916</v>
      </c>
      <c r="K478" s="736"/>
      <c r="L478" s="727"/>
      <c r="M478" s="728"/>
      <c r="N478" s="737" t="s">
        <v>793</v>
      </c>
      <c r="O478" s="737" t="s">
        <v>846</v>
      </c>
      <c r="P478" s="728" t="s">
        <v>2293</v>
      </c>
    </row>
    <row r="479" spans="2:16" s="723" customFormat="1" ht="12" customHeight="1">
      <c r="B479" s="722"/>
      <c r="J479" s="735" t="s">
        <v>2917</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3316</v>
      </c>
      <c r="P482" s="728" t="s">
        <v>2297</v>
      </c>
    </row>
    <row r="483" spans="2:16" s="723" customFormat="1" ht="12" customHeight="1">
      <c r="B483" s="722"/>
      <c r="J483" s="735" t="s">
        <v>1943</v>
      </c>
      <c r="K483" s="736"/>
      <c r="L483" s="727"/>
      <c r="M483" s="728"/>
      <c r="N483" s="737" t="s">
        <v>1948</v>
      </c>
      <c r="O483" s="737" t="s">
        <v>2894</v>
      </c>
      <c r="P483" s="728" t="s">
        <v>2298</v>
      </c>
    </row>
    <row r="484" spans="2:16" s="723" customFormat="1" ht="12" customHeight="1">
      <c r="B484" s="722"/>
      <c r="J484" s="735" t="s">
        <v>1945</v>
      </c>
      <c r="K484" s="736"/>
      <c r="L484" s="727"/>
      <c r="M484" s="728"/>
      <c r="N484" s="737" t="s">
        <v>3067</v>
      </c>
      <c r="O484" s="737" t="s">
        <v>3387</v>
      </c>
      <c r="P484" s="728" t="s">
        <v>2299</v>
      </c>
    </row>
    <row r="485" spans="2:16" s="723" customFormat="1" ht="12" customHeight="1">
      <c r="B485" s="722"/>
      <c r="J485" s="735" t="s">
        <v>1947</v>
      </c>
      <c r="K485" s="736"/>
      <c r="L485" s="727"/>
      <c r="M485" s="728"/>
      <c r="N485" s="737" t="s">
        <v>3069</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3068</v>
      </c>
      <c r="K487" s="736"/>
      <c r="L487" s="727"/>
      <c r="M487" s="728"/>
      <c r="N487" s="626" t="s">
        <v>1464</v>
      </c>
      <c r="O487" s="626" t="s">
        <v>2716</v>
      </c>
      <c r="P487" s="1381" t="s">
        <v>2855</v>
      </c>
    </row>
    <row r="488" spans="2:16" s="723" customFormat="1" ht="12" customHeight="1">
      <c r="B488" s="722"/>
      <c r="J488" s="735" t="s">
        <v>3392</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2718</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2719</v>
      </c>
      <c r="P493" s="728" t="s">
        <v>2305</v>
      </c>
    </row>
    <row r="494" spans="2:16" s="723" customFormat="1" ht="12" customHeight="1">
      <c r="B494" s="722"/>
      <c r="J494" s="735" t="s">
        <v>1216</v>
      </c>
      <c r="K494" s="736"/>
      <c r="L494" s="727"/>
      <c r="M494" s="728"/>
      <c r="N494" s="737" t="s">
        <v>273</v>
      </c>
      <c r="O494" s="737" t="s">
        <v>2585</v>
      </c>
      <c r="P494" s="728" t="s">
        <v>2306</v>
      </c>
    </row>
    <row r="495" spans="2:16" s="723" customFormat="1" ht="12" customHeight="1">
      <c r="B495" s="722"/>
      <c r="J495" s="735" t="s">
        <v>125</v>
      </c>
      <c r="K495" s="736"/>
      <c r="L495" s="727"/>
      <c r="M495" s="728"/>
      <c r="N495" s="737" t="s">
        <v>1962</v>
      </c>
      <c r="O495" s="737" t="s">
        <v>2718</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3263</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2892</v>
      </c>
      <c r="P501" s="728" t="s">
        <v>2312</v>
      </c>
    </row>
    <row r="502" spans="2:16" s="723" customFormat="1" ht="12" customHeight="1">
      <c r="B502" s="722"/>
      <c r="J502" s="735" t="s">
        <v>1832</v>
      </c>
      <c r="K502" s="736"/>
      <c r="L502" s="727"/>
      <c r="M502" s="728"/>
      <c r="N502" s="737" t="s">
        <v>1836</v>
      </c>
      <c r="O502" s="737" t="s">
        <v>2585</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3272</v>
      </c>
      <c r="O504" s="737" t="s">
        <v>2617</v>
      </c>
      <c r="P504" s="728" t="s">
        <v>2315</v>
      </c>
    </row>
    <row r="505" spans="2:16" s="723" customFormat="1" ht="12" customHeight="1">
      <c r="B505" s="722"/>
      <c r="J505" s="735" t="s">
        <v>1837</v>
      </c>
      <c r="K505" s="736"/>
      <c r="L505" s="727"/>
      <c r="M505" s="728"/>
      <c r="N505" s="626" t="s">
        <v>1465</v>
      </c>
      <c r="O505" s="626" t="s">
        <v>3266</v>
      </c>
      <c r="P505" s="1381" t="s">
        <v>2855</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3380</v>
      </c>
      <c r="P507" s="728" t="s">
        <v>2317</v>
      </c>
    </row>
    <row r="508" spans="2:16" s="723" customFormat="1" ht="12" customHeight="1">
      <c r="B508" s="722"/>
      <c r="J508" s="735" t="s">
        <v>2030</v>
      </c>
      <c r="K508" s="736"/>
      <c r="L508" s="727"/>
      <c r="M508" s="728"/>
      <c r="N508" s="737" t="s">
        <v>2033</v>
      </c>
      <c r="O508" s="737" t="s">
        <v>2900</v>
      </c>
      <c r="P508" s="728" t="s">
        <v>2054</v>
      </c>
    </row>
    <row r="509" spans="2:16" s="723" customFormat="1" ht="12" customHeight="1">
      <c r="B509" s="722"/>
      <c r="J509" s="735" t="s">
        <v>2031</v>
      </c>
      <c r="K509" s="736"/>
      <c r="L509" s="727"/>
      <c r="M509" s="728"/>
      <c r="N509" s="737" t="s">
        <v>2035</v>
      </c>
      <c r="O509" s="737" t="s">
        <v>2585</v>
      </c>
      <c r="P509" s="728" t="s">
        <v>2055</v>
      </c>
    </row>
    <row r="510" spans="2:16" s="723" customFormat="1" ht="12" customHeight="1">
      <c r="B510" s="722"/>
      <c r="J510" s="735" t="s">
        <v>2032</v>
      </c>
      <c r="K510" s="736"/>
      <c r="L510" s="727"/>
      <c r="M510" s="728"/>
      <c r="N510" s="737" t="s">
        <v>2038</v>
      </c>
      <c r="O510" s="737" t="s">
        <v>3385</v>
      </c>
      <c r="P510" s="728" t="s">
        <v>2056</v>
      </c>
    </row>
    <row r="511" spans="2:16" s="723" customFormat="1" ht="12" customHeight="1">
      <c r="B511" s="722"/>
      <c r="J511" s="735" t="s">
        <v>2034</v>
      </c>
      <c r="K511" s="736"/>
      <c r="L511" s="727"/>
      <c r="M511" s="728"/>
      <c r="N511" s="737" t="s">
        <v>411</v>
      </c>
      <c r="O511" s="737" t="s">
        <v>3266</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2890</v>
      </c>
      <c r="P513" s="728" t="s">
        <v>920</v>
      </c>
    </row>
    <row r="514" spans="2:16" s="723" customFormat="1" ht="12" customHeight="1">
      <c r="B514" s="722"/>
      <c r="J514" s="735" t="s">
        <v>2039</v>
      </c>
      <c r="K514" s="736"/>
      <c r="L514" s="727"/>
      <c r="M514" s="728"/>
      <c r="N514" s="626" t="s">
        <v>2072</v>
      </c>
      <c r="O514" s="626" t="s">
        <v>3315</v>
      </c>
      <c r="P514" s="1381" t="s">
        <v>2855</v>
      </c>
    </row>
    <row r="515" spans="2:16" s="723" customFormat="1" ht="12" customHeight="1">
      <c r="B515" s="722"/>
      <c r="J515" s="735" t="s">
        <v>412</v>
      </c>
      <c r="K515" s="736"/>
      <c r="L515" s="727"/>
      <c r="M515" s="728"/>
      <c r="N515" s="737" t="s">
        <v>1494</v>
      </c>
      <c r="O515" s="737" t="s">
        <v>3387</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3157</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3054</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3053</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2792</v>
      </c>
      <c r="O534" s="737" t="s">
        <v>1504</v>
      </c>
      <c r="P534" s="728" t="s">
        <v>939</v>
      </c>
    </row>
    <row r="535" spans="2:16" s="723" customFormat="1" ht="12" customHeight="1">
      <c r="B535" s="722"/>
      <c r="J535" s="735" t="s">
        <v>708</v>
      </c>
      <c r="K535" s="736"/>
      <c r="L535" s="727"/>
      <c r="M535" s="728"/>
      <c r="N535" s="737" t="s">
        <v>2238</v>
      </c>
      <c r="O535" s="737" t="s">
        <v>2719</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2855</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2791</v>
      </c>
      <c r="K540" s="736"/>
      <c r="L540" s="727"/>
      <c r="M540" s="728"/>
      <c r="N540" s="626" t="s">
        <v>1467</v>
      </c>
      <c r="O540" s="626" t="s">
        <v>192</v>
      </c>
      <c r="P540" s="1381" t="s">
        <v>2855</v>
      </c>
    </row>
    <row r="541" spans="2:16" s="723" customFormat="1" ht="12" customHeight="1">
      <c r="B541" s="722"/>
      <c r="J541" s="735" t="s">
        <v>593</v>
      </c>
      <c r="K541" s="736"/>
      <c r="L541" s="727"/>
      <c r="M541" s="728"/>
      <c r="N541" s="737" t="s">
        <v>145</v>
      </c>
      <c r="O541" s="737" t="s">
        <v>3318</v>
      </c>
      <c r="P541" s="728" t="s">
        <v>944</v>
      </c>
    </row>
    <row r="542" spans="2:16" s="723" customFormat="1" ht="12" customHeight="1">
      <c r="B542" s="722"/>
      <c r="J542" s="735" t="s">
        <v>594</v>
      </c>
      <c r="K542" s="736"/>
      <c r="L542" s="727"/>
      <c r="M542" s="728"/>
      <c r="N542" s="737" t="s">
        <v>3380</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3263</v>
      </c>
      <c r="P544" s="728" t="s">
        <v>947</v>
      </c>
    </row>
    <row r="545" spans="2:16" s="723" customFormat="1" ht="12" customHeight="1">
      <c r="B545" s="722"/>
      <c r="J545" s="735" t="s">
        <v>1396</v>
      </c>
      <c r="K545" s="736"/>
      <c r="L545" s="727"/>
      <c r="M545" s="728"/>
      <c r="N545" s="737" t="s">
        <v>3391</v>
      </c>
      <c r="O545" s="737" t="s">
        <v>1758</v>
      </c>
      <c r="P545" s="728" t="s">
        <v>948</v>
      </c>
    </row>
    <row r="546" spans="2:16" s="723" customFormat="1" ht="12" customHeight="1">
      <c r="B546" s="722"/>
      <c r="J546" s="735" t="s">
        <v>1397</v>
      </c>
      <c r="K546" s="736"/>
      <c r="L546" s="727"/>
      <c r="M546" s="728"/>
      <c r="N546" s="737" t="s">
        <v>2809</v>
      </c>
      <c r="O546" s="737" t="s">
        <v>3269</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3390</v>
      </c>
      <c r="K550" s="736"/>
      <c r="L550" s="727"/>
      <c r="M550" s="728"/>
      <c r="N550" s="737" t="s">
        <v>895</v>
      </c>
      <c r="O550" s="737" t="s">
        <v>1513</v>
      </c>
      <c r="P550" s="728" t="s">
        <v>895</v>
      </c>
    </row>
    <row r="551" spans="2:16" s="723" customFormat="1" ht="12" customHeight="1">
      <c r="B551" s="722"/>
      <c r="J551" s="735" t="s">
        <v>2808</v>
      </c>
      <c r="K551" s="736"/>
      <c r="L551" s="727"/>
      <c r="M551" s="728"/>
      <c r="N551" s="737" t="s">
        <v>3011</v>
      </c>
      <c r="O551" s="737" t="s">
        <v>1627</v>
      </c>
      <c r="P551" s="728" t="s">
        <v>953</v>
      </c>
    </row>
    <row r="552" spans="2:16" s="723" customFormat="1" ht="12" customHeight="1">
      <c r="B552" s="722"/>
      <c r="J552" s="735" t="s">
        <v>2810</v>
      </c>
      <c r="K552" s="736"/>
      <c r="L552" s="727"/>
      <c r="M552" s="728"/>
      <c r="N552" s="626" t="s">
        <v>3011</v>
      </c>
      <c r="O552" s="626" t="s">
        <v>1627</v>
      </c>
      <c r="P552" s="1381" t="s">
        <v>2855</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3072</v>
      </c>
      <c r="K554" s="736"/>
      <c r="L554" s="727"/>
      <c r="M554" s="728"/>
      <c r="N554" s="737" t="s">
        <v>2974</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3010</v>
      </c>
      <c r="K557" s="736"/>
      <c r="L557" s="727"/>
      <c r="M557" s="728"/>
      <c r="N557" s="737" t="s">
        <v>428</v>
      </c>
      <c r="O557" s="737" t="s">
        <v>3385</v>
      </c>
      <c r="P557" s="728" t="s">
        <v>957</v>
      </c>
    </row>
    <row r="558" spans="2:16" s="723" customFormat="1" ht="12" customHeight="1">
      <c r="B558" s="722"/>
      <c r="J558" s="735" t="s">
        <v>46</v>
      </c>
      <c r="K558" s="736"/>
      <c r="L558" s="727"/>
      <c r="M558" s="728"/>
      <c r="N558" s="737" t="s">
        <v>430</v>
      </c>
      <c r="O558" s="737" t="s">
        <v>2885</v>
      </c>
      <c r="P558" s="728" t="s">
        <v>958</v>
      </c>
    </row>
    <row r="559" spans="2:16" s="723" customFormat="1" ht="12" customHeight="1">
      <c r="B559" s="722"/>
      <c r="J559" s="735" t="s">
        <v>47</v>
      </c>
      <c r="K559" s="736"/>
      <c r="L559" s="727"/>
      <c r="M559" s="728"/>
      <c r="N559" s="737" t="s">
        <v>432</v>
      </c>
      <c r="O559" s="737" t="s">
        <v>3318</v>
      </c>
      <c r="P559" s="728" t="s">
        <v>959</v>
      </c>
    </row>
    <row r="560" spans="2:16" s="723" customFormat="1" ht="12" customHeight="1">
      <c r="B560" s="722"/>
      <c r="J560" s="735" t="s">
        <v>2973</v>
      </c>
      <c r="K560" s="736"/>
      <c r="L560" s="727"/>
      <c r="M560" s="728"/>
      <c r="N560" s="737" t="s">
        <v>3385</v>
      </c>
      <c r="O560" s="737" t="s">
        <v>2476</v>
      </c>
      <c r="P560" s="728" t="s">
        <v>960</v>
      </c>
    </row>
    <row r="561" spans="2:16" s="723" customFormat="1" ht="12" customHeight="1">
      <c r="B561" s="722"/>
      <c r="J561" s="735" t="s">
        <v>3001</v>
      </c>
      <c r="K561" s="736"/>
      <c r="L561" s="727"/>
      <c r="M561" s="728"/>
      <c r="N561" s="737" t="s">
        <v>2044</v>
      </c>
      <c r="O561" s="737" t="s">
        <v>3267</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3218</v>
      </c>
      <c r="O564" s="737" t="s">
        <v>3269</v>
      </c>
      <c r="P564" s="728" t="s">
        <v>964</v>
      </c>
    </row>
    <row r="565" spans="2:16" s="723" customFormat="1" ht="12" customHeight="1">
      <c r="B565" s="722"/>
      <c r="J565" s="735" t="s">
        <v>433</v>
      </c>
      <c r="K565" s="736"/>
      <c r="L565" s="727"/>
      <c r="M565" s="728"/>
      <c r="N565" s="626" t="s">
        <v>1468</v>
      </c>
      <c r="O565" s="626" t="s">
        <v>808</v>
      </c>
      <c r="P565" s="1381" t="s">
        <v>2855</v>
      </c>
    </row>
    <row r="566" spans="2:16" s="723" customFormat="1" ht="12" customHeight="1">
      <c r="B566" s="722"/>
      <c r="J566" s="735" t="s">
        <v>2043</v>
      </c>
      <c r="K566" s="736"/>
      <c r="L566" s="727"/>
      <c r="M566" s="728"/>
      <c r="N566" s="626" t="s">
        <v>1469</v>
      </c>
      <c r="O566" s="626" t="s">
        <v>808</v>
      </c>
      <c r="P566" s="1381" t="s">
        <v>2855</v>
      </c>
    </row>
    <row r="567" spans="2:16" s="723" customFormat="1" ht="12" customHeight="1">
      <c r="B567" s="722"/>
      <c r="J567" s="735" t="s">
        <v>2045</v>
      </c>
      <c r="K567" s="736"/>
      <c r="L567" s="727"/>
      <c r="M567" s="728"/>
      <c r="N567" s="626" t="s">
        <v>1470</v>
      </c>
      <c r="O567" s="626" t="s">
        <v>808</v>
      </c>
      <c r="P567" s="1381" t="s">
        <v>2855</v>
      </c>
    </row>
    <row r="568" spans="2:16" s="723" customFormat="1" ht="12" customHeight="1">
      <c r="B568" s="722"/>
      <c r="J568" s="735" t="s">
        <v>2047</v>
      </c>
      <c r="K568" s="736"/>
      <c r="L568" s="727"/>
      <c r="M568" s="728"/>
      <c r="N568" s="737" t="s">
        <v>2517</v>
      </c>
      <c r="O568" s="737" t="s">
        <v>3386</v>
      </c>
      <c r="P568" s="728" t="s">
        <v>965</v>
      </c>
    </row>
    <row r="569" spans="2:16" s="723" customFormat="1" ht="12" customHeight="1">
      <c r="B569" s="722"/>
      <c r="J569" s="735" t="s">
        <v>3389</v>
      </c>
      <c r="K569" s="736"/>
      <c r="L569" s="727"/>
      <c r="M569" s="728"/>
      <c r="N569" s="737" t="s">
        <v>2528</v>
      </c>
      <c r="O569" s="737" t="s">
        <v>110</v>
      </c>
      <c r="P569" s="728" t="s">
        <v>966</v>
      </c>
    </row>
    <row r="570" spans="2:16" s="723" customFormat="1" ht="12" customHeight="1">
      <c r="B570" s="722"/>
      <c r="J570" s="735" t="s">
        <v>3219</v>
      </c>
      <c r="K570" s="736"/>
      <c r="L570" s="727"/>
      <c r="M570" s="728"/>
      <c r="N570" s="737" t="s">
        <v>2530</v>
      </c>
      <c r="O570" s="737" t="s">
        <v>2968</v>
      </c>
      <c r="P570" s="728" t="s">
        <v>967</v>
      </c>
    </row>
    <row r="571" spans="2:16" s="723" customFormat="1" ht="12" customHeight="1">
      <c r="B571" s="722"/>
      <c r="J571" s="735" t="s">
        <v>2527</v>
      </c>
      <c r="K571" s="736"/>
      <c r="L571" s="727"/>
      <c r="M571" s="728"/>
      <c r="N571" s="737" t="s">
        <v>2533</v>
      </c>
      <c r="O571" s="737" t="s">
        <v>2968</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3386</v>
      </c>
      <c r="O575" s="737" t="s">
        <v>112</v>
      </c>
      <c r="P575" s="728" t="s">
        <v>972</v>
      </c>
    </row>
    <row r="576" spans="2:16" s="723" customFormat="1" ht="12" customHeight="1">
      <c r="B576" s="722"/>
      <c r="J576" s="735" t="s">
        <v>2536</v>
      </c>
      <c r="K576" s="736"/>
      <c r="L576" s="727"/>
      <c r="M576" s="728"/>
      <c r="N576" s="737" t="s">
        <v>2655</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3387</v>
      </c>
      <c r="O578" s="737" t="s">
        <v>1754</v>
      </c>
      <c r="P578" s="728" t="s">
        <v>975</v>
      </c>
    </row>
    <row r="579" spans="2:16" s="723" customFormat="1" ht="12" customHeight="1">
      <c r="B579" s="722"/>
      <c r="J579" s="735" t="s">
        <v>2541</v>
      </c>
      <c r="K579" s="736"/>
      <c r="L579" s="727"/>
      <c r="M579" s="728"/>
      <c r="N579" s="737" t="s">
        <v>2322</v>
      </c>
      <c r="O579" s="737" t="s">
        <v>2885</v>
      </c>
      <c r="P579" s="728" t="s">
        <v>976</v>
      </c>
    </row>
    <row r="580" spans="2:16" s="723" customFormat="1" ht="12" customHeight="1">
      <c r="B580" s="722"/>
      <c r="J580" s="735" t="s">
        <v>2507</v>
      </c>
      <c r="K580" s="736"/>
      <c r="L580" s="727"/>
      <c r="M580" s="728"/>
      <c r="N580" s="737" t="s">
        <v>1225</v>
      </c>
      <c r="O580" s="737" t="s">
        <v>2892</v>
      </c>
      <c r="P580" s="1380" t="s">
        <v>1218</v>
      </c>
    </row>
    <row r="581" spans="2:16" s="723" customFormat="1" ht="12" customHeight="1">
      <c r="B581" s="722"/>
      <c r="J581" s="735" t="s">
        <v>2320</v>
      </c>
      <c r="K581" s="736"/>
      <c r="L581" s="727"/>
      <c r="M581" s="728"/>
      <c r="N581" s="737" t="s">
        <v>2998</v>
      </c>
      <c r="O581" s="737" t="s">
        <v>2349</v>
      </c>
      <c r="P581" s="728" t="s">
        <v>977</v>
      </c>
    </row>
    <row r="582" spans="2:16" s="723" customFormat="1" ht="12" customHeight="1">
      <c r="B582" s="722"/>
      <c r="J582" s="735" t="s">
        <v>2321</v>
      </c>
      <c r="K582" s="736"/>
      <c r="L582" s="727"/>
      <c r="M582" s="728"/>
      <c r="N582" s="737" t="s">
        <v>3000</v>
      </c>
      <c r="O582" s="737" t="s">
        <v>2889</v>
      </c>
      <c r="P582" s="728" t="s">
        <v>978</v>
      </c>
    </row>
    <row r="583" spans="2:16" s="723" customFormat="1" ht="12" customHeight="1">
      <c r="B583" s="722"/>
      <c r="J583" s="735" t="s">
        <v>2323</v>
      </c>
      <c r="K583" s="736"/>
      <c r="L583" s="727"/>
      <c r="M583" s="728"/>
      <c r="N583" s="737" t="s">
        <v>728</v>
      </c>
      <c r="O583" s="737" t="s">
        <v>3385</v>
      </c>
      <c r="P583" s="728" t="s">
        <v>979</v>
      </c>
    </row>
    <row r="584" spans="2:16" s="723" customFormat="1" ht="12" customHeight="1">
      <c r="B584" s="722"/>
      <c r="J584" s="735" t="s">
        <v>2999</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2855</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2767</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2834</v>
      </c>
      <c r="O592" s="737" t="s">
        <v>2236</v>
      </c>
      <c r="P592" s="728" t="s">
        <v>985</v>
      </c>
    </row>
    <row r="593" spans="2:20" s="723" customFormat="1" ht="12" customHeight="1">
      <c r="B593" s="722"/>
      <c r="J593" s="735" t="s">
        <v>2833</v>
      </c>
      <c r="K593" s="736"/>
      <c r="L593" s="727"/>
      <c r="M593" s="728"/>
      <c r="N593" s="737" t="s">
        <v>2836</v>
      </c>
      <c r="O593" s="737" t="s">
        <v>1759</v>
      </c>
      <c r="P593" s="728" t="s">
        <v>986</v>
      </c>
    </row>
    <row r="594" spans="2:20" s="723" customFormat="1" ht="12" customHeight="1">
      <c r="B594" s="722"/>
      <c r="J594" s="735" t="s">
        <v>2835</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2837</v>
      </c>
      <c r="K595" s="736"/>
      <c r="L595" s="727"/>
      <c r="M595" s="728"/>
      <c r="N595" s="737" t="s">
        <v>1885</v>
      </c>
      <c r="O595" s="737" t="s">
        <v>352</v>
      </c>
      <c r="P595" s="728" t="s">
        <v>988</v>
      </c>
      <c r="R595" s="626" t="s">
        <v>3357</v>
      </c>
      <c r="S595" s="626" t="s">
        <v>808</v>
      </c>
      <c r="T595" s="1381" t="s">
        <v>2855</v>
      </c>
    </row>
    <row r="596" spans="2:20" s="723" customFormat="1" ht="12" customHeight="1">
      <c r="B596" s="722"/>
      <c r="J596" s="735" t="s">
        <v>1884</v>
      </c>
      <c r="K596" s="736"/>
      <c r="L596" s="727"/>
      <c r="M596" s="728"/>
      <c r="N596" s="626" t="s">
        <v>1472</v>
      </c>
      <c r="O596" s="626" t="s">
        <v>2349</v>
      </c>
      <c r="P596" s="1381" t="s">
        <v>2855</v>
      </c>
      <c r="R596" s="626" t="s">
        <v>3358</v>
      </c>
      <c r="S596" s="626" t="s">
        <v>351</v>
      </c>
      <c r="T596" s="1381" t="s">
        <v>2855</v>
      </c>
    </row>
    <row r="597" spans="2:20" s="723" customFormat="1" ht="12" customHeight="1">
      <c r="B597" s="722"/>
      <c r="J597" s="735" t="s">
        <v>1886</v>
      </c>
      <c r="K597" s="736"/>
      <c r="L597" s="727"/>
      <c r="M597" s="728"/>
      <c r="N597" s="737" t="s">
        <v>1887</v>
      </c>
      <c r="O597" s="737" t="s">
        <v>808</v>
      </c>
      <c r="P597" s="728" t="s">
        <v>989</v>
      </c>
      <c r="R597" s="626" t="s">
        <v>3359</v>
      </c>
      <c r="S597" s="626" t="s">
        <v>3263</v>
      </c>
      <c r="T597" s="1381" t="s">
        <v>2855</v>
      </c>
    </row>
    <row r="598" spans="2:20" s="723" customFormat="1" ht="12" customHeight="1">
      <c r="B598" s="722"/>
      <c r="J598" s="735" t="s">
        <v>2015</v>
      </c>
      <c r="K598" s="736"/>
      <c r="L598" s="727"/>
      <c r="M598" s="728"/>
      <c r="N598" s="737" t="s">
        <v>2016</v>
      </c>
      <c r="O598" s="737" t="s">
        <v>347</v>
      </c>
      <c r="P598" s="728" t="s">
        <v>990</v>
      </c>
      <c r="R598" s="626" t="s">
        <v>3360</v>
      </c>
      <c r="S598" s="626"/>
      <c r="T598" s="1381" t="s">
        <v>2855</v>
      </c>
    </row>
    <row r="599" spans="2:20" s="723" customFormat="1" ht="12" customHeight="1">
      <c r="B599" s="722"/>
      <c r="J599" s="735" t="s">
        <v>2017</v>
      </c>
      <c r="K599" s="736"/>
      <c r="L599" s="727"/>
      <c r="M599" s="728"/>
      <c r="N599" s="737" t="s">
        <v>2766</v>
      </c>
      <c r="O599" s="737" t="s">
        <v>1350</v>
      </c>
      <c r="P599" s="728" t="s">
        <v>991</v>
      </c>
      <c r="R599" s="626" t="s">
        <v>3361</v>
      </c>
      <c r="S599" s="626" t="s">
        <v>2718</v>
      </c>
      <c r="T599" s="1381" t="s">
        <v>2855</v>
      </c>
    </row>
    <row r="600" spans="2:20" s="723" customFormat="1" ht="12" customHeight="1">
      <c r="B600" s="722"/>
      <c r="J600" s="735" t="s">
        <v>2765</v>
      </c>
      <c r="K600" s="736"/>
      <c r="L600" s="727"/>
      <c r="M600" s="728"/>
      <c r="N600" s="737" t="s">
        <v>2577</v>
      </c>
      <c r="O600" s="737" t="s">
        <v>2660</v>
      </c>
      <c r="P600" s="728" t="s">
        <v>992</v>
      </c>
      <c r="R600" s="626" t="s">
        <v>3362</v>
      </c>
      <c r="S600" s="626" t="s">
        <v>3263</v>
      </c>
      <c r="T600" s="1381" t="s">
        <v>2855</v>
      </c>
    </row>
    <row r="601" spans="2:20" s="723" customFormat="1" ht="12" customHeight="1">
      <c r="B601" s="722"/>
      <c r="J601" s="735" t="s">
        <v>2576</v>
      </c>
      <c r="K601" s="736"/>
      <c r="L601" s="727"/>
      <c r="M601" s="728"/>
      <c r="N601" s="737" t="s">
        <v>307</v>
      </c>
      <c r="O601" s="737" t="s">
        <v>2660</v>
      </c>
      <c r="P601" s="728" t="s">
        <v>993</v>
      </c>
      <c r="R601" s="626" t="s">
        <v>3363</v>
      </c>
      <c r="S601" s="626" t="s">
        <v>1761</v>
      </c>
      <c r="T601" s="1381" t="s">
        <v>2855</v>
      </c>
    </row>
    <row r="602" spans="2:20" s="723" customFormat="1" ht="12" customHeight="1">
      <c r="B602" s="722"/>
      <c r="J602" s="735" t="s">
        <v>306</v>
      </c>
      <c r="K602" s="736"/>
      <c r="L602" s="727"/>
      <c r="M602" s="728"/>
      <c r="N602" s="737" t="s">
        <v>2375</v>
      </c>
      <c r="O602" s="737" t="s">
        <v>2894</v>
      </c>
      <c r="P602" s="728" t="s">
        <v>994</v>
      </c>
      <c r="R602" s="626" t="s">
        <v>3364</v>
      </c>
      <c r="S602" s="626" t="s">
        <v>2720</v>
      </c>
      <c r="T602" s="1381" t="s">
        <v>2855</v>
      </c>
    </row>
    <row r="603" spans="2:20" s="723" customFormat="1" ht="12" customHeight="1">
      <c r="B603" s="722"/>
      <c r="J603" s="735" t="s">
        <v>2374</v>
      </c>
      <c r="K603" s="736"/>
      <c r="L603" s="727"/>
      <c r="M603" s="728"/>
      <c r="N603" s="737" t="s">
        <v>288</v>
      </c>
      <c r="O603" s="737" t="s">
        <v>853</v>
      </c>
      <c r="P603" s="728" t="s">
        <v>995</v>
      </c>
      <c r="R603" s="626" t="s">
        <v>3365</v>
      </c>
      <c r="S603" s="626" t="s">
        <v>852</v>
      </c>
      <c r="T603" s="1381" t="s">
        <v>2855</v>
      </c>
    </row>
    <row r="604" spans="2:20" s="723" customFormat="1" ht="12" customHeight="1">
      <c r="B604" s="722"/>
      <c r="J604" s="735" t="s">
        <v>287</v>
      </c>
      <c r="K604" s="736"/>
      <c r="L604" s="727"/>
      <c r="M604" s="728"/>
      <c r="N604" s="737" t="s">
        <v>1598</v>
      </c>
      <c r="O604" s="737" t="s">
        <v>175</v>
      </c>
      <c r="P604" s="728" t="s">
        <v>996</v>
      </c>
      <c r="R604" s="626" t="s">
        <v>3366</v>
      </c>
      <c r="S604" s="626" t="s">
        <v>808</v>
      </c>
      <c r="T604" s="1381" t="s">
        <v>2855</v>
      </c>
    </row>
    <row r="605" spans="2:20" s="723" customFormat="1" ht="12" customHeight="1">
      <c r="B605" s="722"/>
      <c r="J605" s="735" t="s">
        <v>303</v>
      </c>
      <c r="K605" s="736"/>
      <c r="L605" s="727"/>
      <c r="M605" s="728"/>
      <c r="N605" s="737" t="s">
        <v>1600</v>
      </c>
      <c r="O605" s="737" t="s">
        <v>175</v>
      </c>
      <c r="P605" s="728" t="s">
        <v>997</v>
      </c>
      <c r="R605" s="626" t="s">
        <v>3367</v>
      </c>
      <c r="S605" s="626" t="s">
        <v>2889</v>
      </c>
      <c r="T605" s="1381" t="s">
        <v>2855</v>
      </c>
    </row>
    <row r="606" spans="2:20" s="723" customFormat="1" ht="12" customHeight="1">
      <c r="B606" s="722"/>
      <c r="J606" s="735" t="s">
        <v>1599</v>
      </c>
      <c r="K606" s="736"/>
      <c r="L606" s="727"/>
      <c r="M606" s="728"/>
      <c r="N606" s="737" t="s">
        <v>1049</v>
      </c>
      <c r="O606" s="737" t="s">
        <v>1761</v>
      </c>
      <c r="P606" s="728" t="s">
        <v>998</v>
      </c>
      <c r="R606" s="626" t="s">
        <v>3368</v>
      </c>
      <c r="S606" s="626" t="s">
        <v>3318</v>
      </c>
      <c r="T606" s="1381" t="s">
        <v>2855</v>
      </c>
    </row>
    <row r="607" spans="2:20" s="723" customFormat="1" ht="12" customHeight="1">
      <c r="B607" s="722"/>
      <c r="J607" s="735" t="s">
        <v>1048</v>
      </c>
      <c r="K607" s="736"/>
      <c r="L607" s="727"/>
      <c r="M607" s="728"/>
      <c r="N607" s="737" t="s">
        <v>268</v>
      </c>
      <c r="O607" s="737" t="s">
        <v>3385</v>
      </c>
      <c r="P607" s="728" t="s">
        <v>999</v>
      </c>
      <c r="R607" s="626" t="s">
        <v>2970</v>
      </c>
      <c r="S607" s="626" t="s">
        <v>3315</v>
      </c>
      <c r="T607" s="1381" t="s">
        <v>2855</v>
      </c>
    </row>
    <row r="608" spans="2:20" s="723" customFormat="1" ht="12" customHeight="1">
      <c r="B608" s="722"/>
      <c r="J608" s="735" t="s">
        <v>1050</v>
      </c>
      <c r="K608" s="736"/>
      <c r="L608" s="727"/>
      <c r="M608" s="728"/>
      <c r="N608" s="737" t="s">
        <v>1431</v>
      </c>
      <c r="O608" s="737" t="s">
        <v>3159</v>
      </c>
      <c r="P608" s="728" t="s">
        <v>1000</v>
      </c>
      <c r="R608" s="626" t="s">
        <v>3369</v>
      </c>
      <c r="S608" s="626" t="s">
        <v>2889</v>
      </c>
      <c r="T608" s="1381" t="s">
        <v>2855</v>
      </c>
    </row>
    <row r="609" spans="2:20" s="723" customFormat="1" ht="12" customHeight="1">
      <c r="B609" s="722"/>
      <c r="J609" s="735" t="s">
        <v>1430</v>
      </c>
      <c r="K609" s="736"/>
      <c r="L609" s="727"/>
      <c r="M609" s="728"/>
      <c r="N609" s="737" t="s">
        <v>2444</v>
      </c>
      <c r="O609" s="737" t="s">
        <v>3266</v>
      </c>
      <c r="P609" s="728" t="s">
        <v>1001</v>
      </c>
      <c r="R609" s="626" t="s">
        <v>3370</v>
      </c>
      <c r="S609" s="626" t="s">
        <v>3266</v>
      </c>
      <c r="T609" s="1381" t="s">
        <v>2855</v>
      </c>
    </row>
    <row r="610" spans="2:20" s="723" customFormat="1" ht="12" customHeight="1">
      <c r="B610" s="722"/>
      <c r="J610" s="735" t="s">
        <v>1432</v>
      </c>
      <c r="K610" s="736"/>
      <c r="L610" s="727"/>
      <c r="M610" s="728"/>
      <c r="N610" s="737" t="s">
        <v>2513</v>
      </c>
      <c r="O610" s="737" t="s">
        <v>116</v>
      </c>
      <c r="P610" s="1380" t="s">
        <v>1218</v>
      </c>
      <c r="R610" s="626" t="s">
        <v>3371</v>
      </c>
      <c r="S610" s="626" t="s">
        <v>2718</v>
      </c>
      <c r="T610" s="1381" t="s">
        <v>2855</v>
      </c>
    </row>
    <row r="611" spans="2:20" s="723" customFormat="1" ht="12" customHeight="1">
      <c r="B611" s="722"/>
      <c r="J611" s="735" t="s">
        <v>2512</v>
      </c>
      <c r="K611" s="736"/>
      <c r="L611" s="727"/>
      <c r="M611" s="728"/>
      <c r="N611" s="737" t="s">
        <v>1507</v>
      </c>
      <c r="O611" s="737" t="s">
        <v>1036</v>
      </c>
      <c r="P611" s="728" t="s">
        <v>1002</v>
      </c>
      <c r="R611" s="626" t="s">
        <v>1453</v>
      </c>
      <c r="S611" s="626" t="s">
        <v>1902</v>
      </c>
      <c r="T611" s="1381" t="s">
        <v>2855</v>
      </c>
    </row>
    <row r="612" spans="2:20" s="723" customFormat="1" ht="12" customHeight="1">
      <c r="B612" s="722"/>
      <c r="J612" s="735" t="s">
        <v>2514</v>
      </c>
      <c r="K612" s="736"/>
      <c r="L612" s="727"/>
      <c r="M612" s="728"/>
      <c r="N612" s="626" t="s">
        <v>1473</v>
      </c>
      <c r="O612" s="626" t="s">
        <v>1352</v>
      </c>
      <c r="P612" s="1381" t="s">
        <v>2855</v>
      </c>
      <c r="R612" s="626" t="s">
        <v>1300</v>
      </c>
      <c r="S612" s="626" t="s">
        <v>1511</v>
      </c>
      <c r="T612" s="1381" t="s">
        <v>2855</v>
      </c>
    </row>
    <row r="613" spans="2:20" s="723" customFormat="1" ht="12" customHeight="1">
      <c r="B613" s="722"/>
      <c r="J613" s="735" t="s">
        <v>2515</v>
      </c>
      <c r="K613" s="736"/>
      <c r="L613" s="727"/>
      <c r="M613" s="728"/>
      <c r="N613" s="737" t="s">
        <v>1511</v>
      </c>
      <c r="O613" s="737" t="s">
        <v>1758</v>
      </c>
      <c r="P613" s="728" t="s">
        <v>1003</v>
      </c>
      <c r="R613" s="626" t="s">
        <v>1454</v>
      </c>
      <c r="S613" s="626" t="s">
        <v>808</v>
      </c>
      <c r="T613" s="1381" t="s">
        <v>2855</v>
      </c>
    </row>
    <row r="614" spans="2:20" s="723" customFormat="1" ht="12" customHeight="1">
      <c r="B614" s="722"/>
      <c r="J614" s="735" t="s">
        <v>1547</v>
      </c>
      <c r="K614" s="736"/>
      <c r="L614" s="727"/>
      <c r="M614" s="728"/>
      <c r="N614" s="737" t="s">
        <v>437</v>
      </c>
      <c r="O614" s="737" t="s">
        <v>853</v>
      </c>
      <c r="P614" s="728" t="s">
        <v>1004</v>
      </c>
      <c r="R614" s="626" t="s">
        <v>1455</v>
      </c>
      <c r="S614" s="626" t="s">
        <v>2619</v>
      </c>
      <c r="T614" s="1381" t="s">
        <v>2855</v>
      </c>
    </row>
    <row r="615" spans="2:20" s="723" customFormat="1" ht="12" customHeight="1">
      <c r="B615" s="722"/>
      <c r="J615" s="735" t="s">
        <v>436</v>
      </c>
      <c r="K615" s="736"/>
      <c r="L615" s="727"/>
      <c r="M615" s="728"/>
      <c r="N615" s="626" t="s">
        <v>1474</v>
      </c>
      <c r="O615" s="626" t="s">
        <v>128</v>
      </c>
      <c r="P615" s="1381" t="s">
        <v>2855</v>
      </c>
      <c r="R615" s="626" t="s">
        <v>1456</v>
      </c>
      <c r="S615" s="626" t="s">
        <v>2716</v>
      </c>
      <c r="T615" s="1381" t="s">
        <v>2855</v>
      </c>
    </row>
    <row r="616" spans="2:20" s="723" customFormat="1" ht="12" customHeight="1">
      <c r="B616" s="722"/>
      <c r="J616" s="735" t="s">
        <v>4</v>
      </c>
      <c r="K616" s="736"/>
      <c r="L616" s="727"/>
      <c r="M616" s="728"/>
      <c r="N616" s="737" t="s">
        <v>5</v>
      </c>
      <c r="O616" s="737" t="s">
        <v>1751</v>
      </c>
      <c r="P616" s="728" t="s">
        <v>5</v>
      </c>
      <c r="R616" s="626" t="s">
        <v>1457</v>
      </c>
      <c r="S616" s="626" t="s">
        <v>1504</v>
      </c>
      <c r="T616" s="1381" t="s">
        <v>2855</v>
      </c>
    </row>
    <row r="617" spans="2:20" s="723" customFormat="1" ht="12" customHeight="1">
      <c r="B617" s="722"/>
      <c r="J617" s="735" t="s">
        <v>6</v>
      </c>
      <c r="K617" s="736"/>
      <c r="L617" s="727"/>
      <c r="M617" s="728"/>
      <c r="N617" s="737" t="s">
        <v>7</v>
      </c>
      <c r="O617" s="737" t="s">
        <v>3155</v>
      </c>
      <c r="P617" s="728" t="s">
        <v>1005</v>
      </c>
      <c r="Q617" s="1382"/>
      <c r="R617" s="626" t="s">
        <v>1458</v>
      </c>
      <c r="S617" s="626" t="s">
        <v>1977</v>
      </c>
      <c r="T617" s="1381" t="s">
        <v>2855</v>
      </c>
    </row>
    <row r="618" spans="2:20" s="723" customFormat="1" ht="12" customHeight="1">
      <c r="B618" s="722"/>
      <c r="J618" s="735" t="s">
        <v>8</v>
      </c>
      <c r="K618" s="736"/>
      <c r="L618" s="727"/>
      <c r="M618" s="728"/>
      <c r="N618" s="737" t="s">
        <v>9</v>
      </c>
      <c r="O618" s="737" t="s">
        <v>2625</v>
      </c>
      <c r="P618" s="728" t="s">
        <v>1006</v>
      </c>
      <c r="R618" s="626" t="s">
        <v>1459</v>
      </c>
      <c r="S618" s="626" t="s">
        <v>3263</v>
      </c>
      <c r="T618" s="1381" t="s">
        <v>2855</v>
      </c>
    </row>
    <row r="619" spans="2:20" s="723" customFormat="1" ht="12" customHeight="1">
      <c r="B619" s="722"/>
      <c r="J619" s="735" t="s">
        <v>10</v>
      </c>
      <c r="K619" s="736"/>
      <c r="L619" s="727"/>
      <c r="M619" s="728"/>
      <c r="N619" s="626" t="s">
        <v>1475</v>
      </c>
      <c r="O619" s="626" t="s">
        <v>808</v>
      </c>
      <c r="P619" s="1381" t="s">
        <v>2855</v>
      </c>
      <c r="R619" s="626" t="s">
        <v>1460</v>
      </c>
      <c r="S619" s="626" t="s">
        <v>175</v>
      </c>
      <c r="T619" s="1381" t="s">
        <v>2855</v>
      </c>
    </row>
    <row r="620" spans="2:20" s="723" customFormat="1" ht="12" customHeight="1">
      <c r="B620" s="722"/>
      <c r="J620" s="735" t="s">
        <v>2858</v>
      </c>
      <c r="K620" s="736"/>
      <c r="L620" s="727"/>
      <c r="M620" s="728"/>
      <c r="N620" s="626" t="s">
        <v>1476</v>
      </c>
      <c r="O620" s="626" t="s">
        <v>348</v>
      </c>
      <c r="P620" s="1381" t="s">
        <v>2855</v>
      </c>
      <c r="R620" s="626" t="s">
        <v>1461</v>
      </c>
      <c r="S620" s="626" t="s">
        <v>1768</v>
      </c>
      <c r="T620" s="1381" t="s">
        <v>2855</v>
      </c>
    </row>
    <row r="621" spans="2:20" s="723" customFormat="1" ht="12" customHeight="1">
      <c r="B621" s="722"/>
      <c r="J621" s="735" t="s">
        <v>2860</v>
      </c>
      <c r="K621" s="736"/>
      <c r="L621" s="727"/>
      <c r="M621" s="728"/>
      <c r="N621" s="737" t="s">
        <v>2857</v>
      </c>
      <c r="O621" s="737" t="s">
        <v>1761</v>
      </c>
      <c r="P621" s="728" t="s">
        <v>1007</v>
      </c>
      <c r="R621" s="626" t="s">
        <v>1462</v>
      </c>
      <c r="S621" s="626" t="s">
        <v>1977</v>
      </c>
      <c r="T621" s="1381" t="s">
        <v>2855</v>
      </c>
    </row>
    <row r="622" spans="2:20" s="723" customFormat="1" ht="12" customHeight="1">
      <c r="B622" s="722"/>
      <c r="J622" s="735" t="s">
        <v>2862</v>
      </c>
      <c r="K622" s="736"/>
      <c r="L622" s="727"/>
      <c r="M622" s="728"/>
      <c r="N622" s="737" t="s">
        <v>2859</v>
      </c>
      <c r="O622" s="737" t="s">
        <v>2900</v>
      </c>
      <c r="P622" s="728" t="s">
        <v>1008</v>
      </c>
      <c r="R622" s="626" t="s">
        <v>1463</v>
      </c>
      <c r="S622" s="626" t="s">
        <v>1518</v>
      </c>
      <c r="T622" s="1381" t="s">
        <v>2855</v>
      </c>
    </row>
    <row r="623" spans="2:20" s="723" customFormat="1" ht="12" customHeight="1">
      <c r="B623" s="722"/>
      <c r="J623" s="735" t="s">
        <v>2864</v>
      </c>
      <c r="K623" s="736"/>
      <c r="L623" s="727"/>
      <c r="M623" s="728"/>
      <c r="N623" s="737" t="s">
        <v>2861</v>
      </c>
      <c r="O623" s="737" t="s">
        <v>192</v>
      </c>
      <c r="P623" s="728" t="s">
        <v>1009</v>
      </c>
      <c r="R623" s="626" t="s">
        <v>1464</v>
      </c>
      <c r="S623" s="626" t="s">
        <v>2716</v>
      </c>
      <c r="T623" s="1381" t="s">
        <v>2855</v>
      </c>
    </row>
    <row r="624" spans="2:20" s="723" customFormat="1" ht="12" customHeight="1">
      <c r="B624" s="722"/>
      <c r="J624" s="735" t="s">
        <v>2866</v>
      </c>
      <c r="K624" s="736"/>
      <c r="L624" s="727"/>
      <c r="M624" s="728"/>
      <c r="N624" s="737" t="s">
        <v>2863</v>
      </c>
      <c r="O624" s="737" t="s">
        <v>1899</v>
      </c>
      <c r="P624" s="728" t="s">
        <v>1010</v>
      </c>
      <c r="R624" s="737" t="s">
        <v>1222</v>
      </c>
      <c r="S624" s="737" t="s">
        <v>1268</v>
      </c>
      <c r="T624" s="1381" t="s">
        <v>2855</v>
      </c>
    </row>
    <row r="625" spans="2:20" s="723" customFormat="1" ht="12" customHeight="1">
      <c r="B625" s="722"/>
      <c r="J625" s="735" t="s">
        <v>92</v>
      </c>
      <c r="K625" s="736"/>
      <c r="L625" s="727"/>
      <c r="M625" s="728"/>
      <c r="N625" s="737" t="s">
        <v>2865</v>
      </c>
      <c r="O625" s="737" t="s">
        <v>853</v>
      </c>
      <c r="P625" s="728" t="s">
        <v>1011</v>
      </c>
      <c r="R625" s="626" t="s">
        <v>1465</v>
      </c>
      <c r="S625" s="626" t="s">
        <v>3266</v>
      </c>
      <c r="T625" s="1381" t="s">
        <v>2855</v>
      </c>
    </row>
    <row r="626" spans="2:20" s="723" customFormat="1" ht="12" customHeight="1">
      <c r="B626" s="722"/>
      <c r="J626" s="735" t="s">
        <v>2728</v>
      </c>
      <c r="K626" s="736"/>
      <c r="L626" s="727"/>
      <c r="M626" s="728"/>
      <c r="N626" s="737" t="s">
        <v>93</v>
      </c>
      <c r="O626" s="737" t="s">
        <v>127</v>
      </c>
      <c r="P626" s="728" t="s">
        <v>1012</v>
      </c>
      <c r="R626" s="626" t="s">
        <v>2072</v>
      </c>
      <c r="S626" s="626" t="s">
        <v>3315</v>
      </c>
      <c r="T626" s="1381" t="s">
        <v>2855</v>
      </c>
    </row>
    <row r="627" spans="2:20" s="723" customFormat="1" ht="12" customHeight="1">
      <c r="B627" s="722"/>
      <c r="J627" s="735" t="s">
        <v>1971</v>
      </c>
      <c r="K627" s="736"/>
      <c r="L627" s="727"/>
      <c r="M627" s="728"/>
      <c r="N627" s="737" t="s">
        <v>1970</v>
      </c>
      <c r="O627" s="737" t="s">
        <v>2902</v>
      </c>
      <c r="P627" s="728" t="s">
        <v>1013</v>
      </c>
      <c r="R627" s="626" t="s">
        <v>1466</v>
      </c>
      <c r="S627" s="626"/>
      <c r="T627" s="1381" t="s">
        <v>2855</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2855</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2855</v>
      </c>
    </row>
    <row r="630" spans="2:20" s="723" customFormat="1" ht="12" customHeight="1">
      <c r="B630" s="722"/>
      <c r="J630" s="735" t="s">
        <v>66</v>
      </c>
      <c r="K630" s="736"/>
      <c r="L630" s="727"/>
      <c r="M630" s="728"/>
      <c r="N630" s="737" t="s">
        <v>1976</v>
      </c>
      <c r="O630" s="737" t="s">
        <v>2892</v>
      </c>
      <c r="P630" s="728" t="s">
        <v>1016</v>
      </c>
      <c r="R630" s="626" t="s">
        <v>3011</v>
      </c>
      <c r="S630" s="626" t="s">
        <v>1627</v>
      </c>
      <c r="T630" s="1381" t="s">
        <v>2855</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2855</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2855</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2855</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2855</v>
      </c>
    </row>
    <row r="635" spans="2:20" s="723" customFormat="1" ht="12" customHeight="1">
      <c r="B635" s="722"/>
      <c r="J635" s="735" t="s">
        <v>1167</v>
      </c>
      <c r="K635" s="736"/>
      <c r="L635" s="727"/>
      <c r="M635" s="728"/>
      <c r="N635" s="737" t="s">
        <v>1168</v>
      </c>
      <c r="O635" s="737" t="s">
        <v>3263</v>
      </c>
      <c r="P635" s="728" t="s">
        <v>1021</v>
      </c>
      <c r="R635" s="626" t="s">
        <v>1472</v>
      </c>
      <c r="S635" s="626" t="s">
        <v>2349</v>
      </c>
      <c r="T635" s="1381" t="s">
        <v>2855</v>
      </c>
    </row>
    <row r="636" spans="2:20" s="723" customFormat="1" ht="12" customHeight="1">
      <c r="B636" s="722"/>
      <c r="J636" s="735" t="s">
        <v>1032</v>
      </c>
      <c r="K636" s="736"/>
      <c r="L636" s="727"/>
      <c r="M636" s="728"/>
      <c r="N636" s="737" t="s">
        <v>1033</v>
      </c>
      <c r="O636" s="737" t="s">
        <v>3269</v>
      </c>
      <c r="P636" s="728" t="s">
        <v>1022</v>
      </c>
      <c r="R636" s="626" t="s">
        <v>1473</v>
      </c>
      <c r="S636" s="626" t="s">
        <v>1352</v>
      </c>
      <c r="T636" s="1381" t="s">
        <v>2855</v>
      </c>
    </row>
    <row r="637" spans="2:20" s="723" customFormat="1" ht="12" customHeight="1">
      <c r="B637" s="722"/>
      <c r="J637" s="735" t="s">
        <v>1034</v>
      </c>
      <c r="K637" s="736"/>
      <c r="L637" s="727"/>
      <c r="M637" s="728"/>
      <c r="N637" s="737" t="s">
        <v>1337</v>
      </c>
      <c r="O637" s="737" t="s">
        <v>3319</v>
      </c>
      <c r="P637" s="728" t="s">
        <v>1023</v>
      </c>
      <c r="R637" s="626" t="s">
        <v>1474</v>
      </c>
      <c r="S637" s="626" t="s">
        <v>128</v>
      </c>
      <c r="T637" s="1381" t="s">
        <v>2855</v>
      </c>
    </row>
    <row r="638" spans="2:20" s="723" customFormat="1" ht="12" customHeight="1">
      <c r="B638" s="722"/>
      <c r="J638" s="735" t="s">
        <v>1594</v>
      </c>
      <c r="K638" s="736"/>
      <c r="L638" s="727"/>
      <c r="M638" s="728"/>
      <c r="N638" s="626" t="s">
        <v>1477</v>
      </c>
      <c r="O638" s="626" t="s">
        <v>352</v>
      </c>
      <c r="P638" s="1381" t="s">
        <v>2855</v>
      </c>
      <c r="R638" s="626" t="s">
        <v>1475</v>
      </c>
      <c r="S638" s="626" t="s">
        <v>808</v>
      </c>
      <c r="T638" s="1381" t="s">
        <v>2855</v>
      </c>
    </row>
    <row r="639" spans="2:20" s="723" customFormat="1" ht="12" customHeight="1">
      <c r="B639" s="722"/>
      <c r="J639" s="735" t="s">
        <v>1447</v>
      </c>
      <c r="K639" s="736"/>
      <c r="L639" s="727"/>
      <c r="M639" s="728"/>
      <c r="N639" s="737" t="s">
        <v>1595</v>
      </c>
      <c r="O639" s="737" t="s">
        <v>2660</v>
      </c>
      <c r="P639" s="728" t="s">
        <v>1024</v>
      </c>
      <c r="R639" s="626" t="s">
        <v>1476</v>
      </c>
      <c r="S639" s="626" t="s">
        <v>348</v>
      </c>
      <c r="T639" s="1381" t="s">
        <v>2855</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2855</v>
      </c>
    </row>
    <row r="641" spans="2:20" s="723" customFormat="1" ht="12" customHeight="1">
      <c r="B641" s="722"/>
      <c r="J641" s="735" t="s">
        <v>1450</v>
      </c>
      <c r="K641" s="736"/>
      <c r="L641" s="727"/>
      <c r="M641" s="728"/>
      <c r="N641" s="737" t="s">
        <v>2992</v>
      </c>
      <c r="O641" s="737" t="s">
        <v>2885</v>
      </c>
      <c r="P641" s="728" t="s">
        <v>1026</v>
      </c>
      <c r="R641" s="626" t="s">
        <v>1226</v>
      </c>
      <c r="S641" s="626" t="s">
        <v>1747</v>
      </c>
      <c r="T641" s="1381" t="s">
        <v>2855</v>
      </c>
    </row>
    <row r="642" spans="2:20" s="723" customFormat="1" ht="12" customHeight="1">
      <c r="B642" s="722"/>
      <c r="J642" s="735" t="s">
        <v>2991</v>
      </c>
      <c r="K642" s="736"/>
      <c r="L642" s="727"/>
      <c r="M642" s="728"/>
      <c r="N642" s="737" t="s">
        <v>2994</v>
      </c>
      <c r="O642" s="737" t="s">
        <v>844</v>
      </c>
      <c r="P642" s="728" t="s">
        <v>1027</v>
      </c>
      <c r="R642" s="626" t="s">
        <v>1478</v>
      </c>
      <c r="S642" s="626" t="s">
        <v>852</v>
      </c>
      <c r="T642" s="1381" t="s">
        <v>2855</v>
      </c>
    </row>
    <row r="643" spans="2:20" s="723" customFormat="1" ht="12" customHeight="1">
      <c r="B643" s="722"/>
      <c r="J643" s="735" t="s">
        <v>2993</v>
      </c>
      <c r="K643" s="736"/>
      <c r="L643" s="727"/>
      <c r="M643" s="728"/>
      <c r="N643" s="737" t="s">
        <v>2465</v>
      </c>
      <c r="O643" s="737" t="s">
        <v>1038</v>
      </c>
      <c r="P643" s="728" t="s">
        <v>1028</v>
      </c>
      <c r="R643" s="626" t="s">
        <v>1479</v>
      </c>
      <c r="S643" s="626" t="s">
        <v>1977</v>
      </c>
      <c r="T643" s="1381" t="s">
        <v>2855</v>
      </c>
    </row>
    <row r="644" spans="2:20" s="723" customFormat="1" ht="12" customHeight="1">
      <c r="B644" s="722"/>
      <c r="J644" s="735" t="s">
        <v>2464</v>
      </c>
      <c r="K644" s="736"/>
      <c r="L644" s="727"/>
      <c r="M644" s="728"/>
      <c r="N644" s="737" t="s">
        <v>3306</v>
      </c>
      <c r="O644" s="737" t="s">
        <v>2718</v>
      </c>
      <c r="P644" s="728" t="s">
        <v>1029</v>
      </c>
      <c r="R644" s="626" t="s">
        <v>1480</v>
      </c>
      <c r="S644" s="626" t="s">
        <v>808</v>
      </c>
      <c r="T644" s="1381" t="s">
        <v>2855</v>
      </c>
    </row>
    <row r="645" spans="2:20" s="723" customFormat="1" ht="12" customHeight="1">
      <c r="B645" s="722"/>
      <c r="J645" s="735" t="s">
        <v>3305</v>
      </c>
      <c r="K645" s="736"/>
      <c r="L645" s="727"/>
      <c r="M645" s="728"/>
      <c r="N645" s="737" t="s">
        <v>2880</v>
      </c>
      <c r="O645" s="737" t="s">
        <v>1627</v>
      </c>
      <c r="P645" s="728" t="s">
        <v>1030</v>
      </c>
      <c r="R645" s="626" t="s">
        <v>1481</v>
      </c>
      <c r="S645" s="626" t="s">
        <v>844</v>
      </c>
      <c r="T645" s="1381" t="s">
        <v>2855</v>
      </c>
    </row>
    <row r="646" spans="2:20" s="723" customFormat="1" ht="12" customHeight="1">
      <c r="B646" s="722"/>
      <c r="J646" s="735" t="s">
        <v>2879</v>
      </c>
      <c r="K646" s="736"/>
      <c r="L646" s="727"/>
      <c r="M646" s="728"/>
      <c r="N646" s="737" t="s">
        <v>2215</v>
      </c>
      <c r="O646" s="737" t="s">
        <v>846</v>
      </c>
      <c r="P646" s="728" t="s">
        <v>642</v>
      </c>
      <c r="R646" s="626" t="s">
        <v>1482</v>
      </c>
      <c r="S646" s="626" t="s">
        <v>175</v>
      </c>
      <c r="T646" s="1381" t="s">
        <v>2855</v>
      </c>
    </row>
    <row r="647" spans="2:20" s="723" customFormat="1" ht="12" customHeight="1">
      <c r="B647" s="722"/>
      <c r="J647" s="735" t="s">
        <v>2213</v>
      </c>
      <c r="K647" s="736"/>
      <c r="L647" s="727"/>
      <c r="M647" s="728"/>
      <c r="N647" s="737" t="s">
        <v>1226</v>
      </c>
      <c r="O647" s="737" t="s">
        <v>1747</v>
      </c>
      <c r="P647" s="1380" t="s">
        <v>1218</v>
      </c>
      <c r="R647" s="626" t="s">
        <v>1483</v>
      </c>
      <c r="S647" s="626" t="s">
        <v>2619</v>
      </c>
      <c r="T647" s="1381" t="s">
        <v>2855</v>
      </c>
    </row>
    <row r="648" spans="2:20" s="723" customFormat="1" ht="12" customHeight="1">
      <c r="B648" s="722"/>
      <c r="J648" s="735" t="s">
        <v>2214</v>
      </c>
      <c r="K648" s="736"/>
      <c r="L648" s="727"/>
      <c r="M648" s="728"/>
      <c r="N648" s="626" t="s">
        <v>1226</v>
      </c>
      <c r="O648" s="626" t="s">
        <v>1747</v>
      </c>
      <c r="P648" s="1381" t="s">
        <v>2855</v>
      </c>
      <c r="R648" s="626" t="s">
        <v>1484</v>
      </c>
      <c r="S648" s="626" t="s">
        <v>2716</v>
      </c>
      <c r="T648" s="1381" t="s">
        <v>2855</v>
      </c>
    </row>
    <row r="649" spans="2:20" s="723" customFormat="1" ht="12" customHeight="1">
      <c r="B649" s="722"/>
      <c r="J649" s="735" t="s">
        <v>2216</v>
      </c>
      <c r="K649" s="736"/>
      <c r="L649" s="727"/>
      <c r="M649" s="728"/>
      <c r="N649" s="737" t="s">
        <v>2218</v>
      </c>
      <c r="O649" s="737" t="s">
        <v>3380</v>
      </c>
      <c r="P649" s="728" t="s">
        <v>643</v>
      </c>
      <c r="R649" s="626" t="s">
        <v>1485</v>
      </c>
      <c r="S649" s="626" t="s">
        <v>808</v>
      </c>
      <c r="T649" s="1381" t="s">
        <v>2855</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2855</v>
      </c>
    </row>
    <row r="651" spans="2:20" s="723" customFormat="1" ht="12" customHeight="1">
      <c r="B651" s="722"/>
      <c r="J651" s="735" t="s">
        <v>2219</v>
      </c>
      <c r="K651" s="736"/>
      <c r="L651" s="727"/>
      <c r="M651" s="728"/>
      <c r="N651" s="626" t="s">
        <v>1479</v>
      </c>
      <c r="O651" s="626" t="s">
        <v>1977</v>
      </c>
      <c r="P651" s="1381" t="s">
        <v>2855</v>
      </c>
      <c r="R651" s="626" t="s">
        <v>1487</v>
      </c>
      <c r="S651" s="626" t="s">
        <v>3266</v>
      </c>
      <c r="T651" s="1381" t="s">
        <v>2855</v>
      </c>
    </row>
    <row r="652" spans="2:20" s="723" customFormat="1" ht="12" customHeight="1">
      <c r="B652" s="722"/>
      <c r="J652" s="735" t="s">
        <v>2220</v>
      </c>
      <c r="K652" s="736"/>
      <c r="L652" s="727"/>
      <c r="M652" s="728"/>
      <c r="N652" s="737" t="s">
        <v>3180</v>
      </c>
      <c r="O652" s="737" t="s">
        <v>112</v>
      </c>
      <c r="P652" s="728" t="s">
        <v>644</v>
      </c>
      <c r="R652" s="626" t="s">
        <v>1488</v>
      </c>
      <c r="S652" s="626" t="s">
        <v>175</v>
      </c>
      <c r="T652" s="1381" t="s">
        <v>2855</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2855</v>
      </c>
    </row>
    <row r="654" spans="2:20" s="723" customFormat="1" ht="12" customHeight="1">
      <c r="B654" s="722"/>
      <c r="J654" s="735" t="s">
        <v>3181</v>
      </c>
      <c r="K654" s="736"/>
      <c r="L654" s="727"/>
      <c r="M654" s="728"/>
      <c r="N654" s="737" t="s">
        <v>1737</v>
      </c>
      <c r="O654" s="737" t="s">
        <v>2617</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3313</v>
      </c>
      <c r="O658" s="737" t="s">
        <v>1266</v>
      </c>
      <c r="P658" s="728" t="s">
        <v>650</v>
      </c>
    </row>
    <row r="659" spans="2:16" s="723" customFormat="1" ht="12" customHeight="1">
      <c r="B659" s="722"/>
      <c r="J659" s="735" t="s">
        <v>3135</v>
      </c>
      <c r="K659" s="736"/>
      <c r="L659" s="727"/>
      <c r="M659" s="728"/>
      <c r="N659" s="626" t="s">
        <v>1480</v>
      </c>
      <c r="O659" s="626" t="s">
        <v>808</v>
      </c>
      <c r="P659" s="1381" t="s">
        <v>2855</v>
      </c>
    </row>
    <row r="660" spans="2:16" s="723" customFormat="1" ht="12" customHeight="1">
      <c r="B660" s="722"/>
      <c r="J660" s="735" t="s">
        <v>3312</v>
      </c>
      <c r="K660" s="736"/>
      <c r="L660" s="727"/>
      <c r="M660" s="728"/>
      <c r="N660" s="737" t="s">
        <v>2885</v>
      </c>
      <c r="O660" s="737" t="s">
        <v>114</v>
      </c>
      <c r="P660" s="728" t="s">
        <v>651</v>
      </c>
    </row>
    <row r="661" spans="2:16" s="723" customFormat="1" ht="12" customHeight="1">
      <c r="B661" s="722"/>
      <c r="J661" s="735" t="s">
        <v>2712</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3318</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2855</v>
      </c>
    </row>
    <row r="665" spans="2:16" s="723" customFormat="1" ht="12" customHeight="1">
      <c r="B665" s="722"/>
      <c r="J665" s="735" t="s">
        <v>1918</v>
      </c>
      <c r="K665" s="736"/>
      <c r="L665" s="727"/>
      <c r="M665" s="728"/>
      <c r="N665" s="737" t="s">
        <v>1740</v>
      </c>
      <c r="O665" s="737" t="s">
        <v>2898</v>
      </c>
      <c r="P665" s="728" t="s">
        <v>654</v>
      </c>
    </row>
    <row r="666" spans="2:16" s="723" customFormat="1" ht="12" customHeight="1">
      <c r="B666" s="722"/>
      <c r="J666" s="735" t="s">
        <v>1920</v>
      </c>
      <c r="K666" s="736"/>
      <c r="L666" s="727"/>
      <c r="M666" s="728"/>
      <c r="N666" s="737" t="s">
        <v>1742</v>
      </c>
      <c r="O666" s="737" t="s">
        <v>3318</v>
      </c>
      <c r="P666" s="728" t="s">
        <v>655</v>
      </c>
    </row>
    <row r="667" spans="2:16" s="723" customFormat="1" ht="12" customHeight="1">
      <c r="B667" s="722"/>
      <c r="J667" s="735" t="s">
        <v>1739</v>
      </c>
      <c r="K667" s="736"/>
      <c r="L667" s="727"/>
      <c r="M667" s="728"/>
      <c r="N667" s="737" t="s">
        <v>2703</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2702</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2855</v>
      </c>
    </row>
    <row r="671" spans="2:16" s="723" customFormat="1" ht="12" customHeight="1">
      <c r="B671" s="722"/>
      <c r="J671" s="735" t="s">
        <v>1691</v>
      </c>
      <c r="K671" s="736"/>
      <c r="L671" s="727"/>
      <c r="M671" s="728"/>
      <c r="N671" s="737" t="s">
        <v>2591</v>
      </c>
      <c r="O671" s="737" t="s">
        <v>1513</v>
      </c>
      <c r="P671" s="728" t="s">
        <v>659</v>
      </c>
    </row>
    <row r="672" spans="2:16" s="723" customFormat="1" ht="12" customHeight="1">
      <c r="B672" s="722"/>
      <c r="J672" s="735" t="s">
        <v>2589</v>
      </c>
      <c r="K672" s="736"/>
      <c r="L672" s="727"/>
      <c r="M672" s="728"/>
      <c r="N672" s="737" t="s">
        <v>2593</v>
      </c>
      <c r="O672" s="737" t="s">
        <v>1901</v>
      </c>
      <c r="P672" s="728" t="s">
        <v>660</v>
      </c>
    </row>
    <row r="673" spans="2:16" s="723" customFormat="1" ht="12" customHeight="1">
      <c r="B673" s="722"/>
      <c r="J673" s="735" t="s">
        <v>2590</v>
      </c>
      <c r="K673" s="736"/>
      <c r="L673" s="727"/>
      <c r="M673" s="728"/>
      <c r="N673" s="737" t="s">
        <v>2595</v>
      </c>
      <c r="O673" s="737" t="s">
        <v>3266</v>
      </c>
      <c r="P673" s="728" t="s">
        <v>661</v>
      </c>
    </row>
    <row r="674" spans="2:16" s="723" customFormat="1" ht="12" customHeight="1">
      <c r="B674" s="722"/>
      <c r="J674" s="735" t="s">
        <v>2592</v>
      </c>
      <c r="K674" s="736"/>
      <c r="L674" s="727"/>
      <c r="M674" s="728"/>
      <c r="N674" s="737" t="s">
        <v>2597</v>
      </c>
      <c r="O674" s="737" t="s">
        <v>127</v>
      </c>
      <c r="P674" s="728" t="s">
        <v>662</v>
      </c>
    </row>
    <row r="675" spans="2:16" s="723" customFormat="1" ht="12" customHeight="1">
      <c r="B675" s="722"/>
      <c r="J675" s="735" t="s">
        <v>2594</v>
      </c>
      <c r="K675" s="736"/>
      <c r="L675" s="727"/>
      <c r="M675" s="728"/>
      <c r="N675" s="737" t="s">
        <v>637</v>
      </c>
      <c r="O675" s="737" t="s">
        <v>2719</v>
      </c>
      <c r="P675" s="728" t="s">
        <v>663</v>
      </c>
    </row>
    <row r="676" spans="2:16" s="723" customFormat="1" ht="12" customHeight="1">
      <c r="B676" s="722"/>
      <c r="J676" s="735" t="s">
        <v>2596</v>
      </c>
      <c r="K676" s="736"/>
      <c r="L676" s="727"/>
      <c r="M676" s="728"/>
      <c r="N676" s="737" t="s">
        <v>3323</v>
      </c>
      <c r="O676" s="737" t="s">
        <v>2621</v>
      </c>
      <c r="P676" s="728" t="s">
        <v>664</v>
      </c>
    </row>
    <row r="677" spans="2:16" s="723" customFormat="1" ht="12" customHeight="1">
      <c r="B677" s="722"/>
      <c r="J677" s="735" t="s">
        <v>636</v>
      </c>
      <c r="K677" s="736"/>
      <c r="L677" s="727"/>
      <c r="M677" s="728"/>
      <c r="N677" s="737" t="s">
        <v>3325</v>
      </c>
      <c r="O677" s="737" t="s">
        <v>3316</v>
      </c>
      <c r="P677" s="728" t="s">
        <v>665</v>
      </c>
    </row>
    <row r="678" spans="2:16" s="723" customFormat="1" ht="12" customHeight="1">
      <c r="B678" s="722"/>
      <c r="J678" s="735" t="s">
        <v>3322</v>
      </c>
      <c r="K678" s="736"/>
      <c r="L678" s="727"/>
      <c r="M678" s="728"/>
      <c r="N678" s="737" t="s">
        <v>1569</v>
      </c>
      <c r="O678" s="737" t="s">
        <v>344</v>
      </c>
      <c r="P678" s="728" t="s">
        <v>666</v>
      </c>
    </row>
    <row r="679" spans="2:16" s="723" customFormat="1" ht="12" customHeight="1">
      <c r="B679" s="722"/>
      <c r="J679" s="735" t="s">
        <v>3324</v>
      </c>
      <c r="K679" s="736"/>
      <c r="L679" s="727"/>
      <c r="M679" s="728"/>
      <c r="N679" s="737" t="s">
        <v>3302</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3301</v>
      </c>
      <c r="K681" s="736"/>
      <c r="L681" s="727"/>
      <c r="M681" s="728"/>
      <c r="N681" s="626" t="s">
        <v>1478</v>
      </c>
      <c r="O681" s="626" t="s">
        <v>852</v>
      </c>
      <c r="P681" s="1381" t="s">
        <v>2855</v>
      </c>
    </row>
    <row r="682" spans="2:16" s="723" customFormat="1" ht="12" customHeight="1">
      <c r="B682" s="722"/>
      <c r="J682" s="735" t="s">
        <v>3303</v>
      </c>
      <c r="K682" s="736"/>
      <c r="L682" s="727"/>
      <c r="M682" s="728"/>
      <c r="N682" s="737" t="s">
        <v>1990</v>
      </c>
      <c r="O682" s="737" t="s">
        <v>360</v>
      </c>
      <c r="P682" s="728" t="s">
        <v>669</v>
      </c>
    </row>
    <row r="683" spans="2:16" s="723" customFormat="1" ht="12" customHeight="1">
      <c r="B683" s="722"/>
      <c r="J683" s="735" t="s">
        <v>1988</v>
      </c>
      <c r="K683" s="736"/>
      <c r="L683" s="727"/>
      <c r="M683" s="728"/>
      <c r="N683" s="737" t="s">
        <v>2816</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2814</v>
      </c>
      <c r="K685" s="736"/>
      <c r="L685" s="727"/>
      <c r="M685" s="728"/>
      <c r="N685" s="737" t="s">
        <v>1333</v>
      </c>
      <c r="O685" s="737" t="s">
        <v>2968</v>
      </c>
      <c r="P685" s="728" t="s">
        <v>672</v>
      </c>
    </row>
    <row r="686" spans="2:16" s="723" customFormat="1" ht="12" customHeight="1">
      <c r="B686" s="722"/>
      <c r="J686" s="735" t="s">
        <v>2815</v>
      </c>
      <c r="K686" s="736"/>
      <c r="L686" s="727"/>
      <c r="M686" s="728"/>
      <c r="N686" s="737" t="s">
        <v>1335</v>
      </c>
      <c r="O686" s="737" t="s">
        <v>351</v>
      </c>
      <c r="P686" s="728" t="s">
        <v>465</v>
      </c>
    </row>
    <row r="687" spans="2:16" s="723" customFormat="1" ht="12" customHeight="1">
      <c r="B687" s="722"/>
      <c r="J687" s="735" t="s">
        <v>2224</v>
      </c>
      <c r="K687" s="736"/>
      <c r="L687" s="727"/>
      <c r="M687" s="728"/>
      <c r="N687" s="737" t="s">
        <v>3282</v>
      </c>
      <c r="O687" s="737" t="s">
        <v>808</v>
      </c>
      <c r="P687" s="728" t="s">
        <v>466</v>
      </c>
    </row>
    <row r="688" spans="2:16" s="723" customFormat="1" ht="12" customHeight="1">
      <c r="B688" s="722"/>
      <c r="J688" s="735" t="s">
        <v>2226</v>
      </c>
      <c r="K688" s="736"/>
      <c r="L688" s="727"/>
      <c r="M688" s="728"/>
      <c r="N688" s="737" t="s">
        <v>2607</v>
      </c>
      <c r="O688" s="737" t="s">
        <v>127</v>
      </c>
      <c r="P688" s="728" t="s">
        <v>467</v>
      </c>
    </row>
    <row r="689" spans="2:16" s="723" customFormat="1" ht="12" customHeight="1">
      <c r="B689" s="722"/>
      <c r="J689" s="735" t="s">
        <v>1332</v>
      </c>
      <c r="K689" s="736"/>
      <c r="L689" s="727"/>
      <c r="M689" s="728"/>
      <c r="N689" s="737" t="s">
        <v>2610</v>
      </c>
      <c r="O689" s="737" t="s">
        <v>2968</v>
      </c>
      <c r="P689" s="728" t="s">
        <v>468</v>
      </c>
    </row>
    <row r="690" spans="2:16" s="723" customFormat="1" ht="12" customHeight="1">
      <c r="B690" s="722"/>
      <c r="J690" s="735" t="s">
        <v>1334</v>
      </c>
      <c r="K690" s="736"/>
      <c r="L690" s="727"/>
      <c r="M690" s="728"/>
      <c r="N690" s="737" t="s">
        <v>2612</v>
      </c>
      <c r="O690" s="737" t="s">
        <v>178</v>
      </c>
      <c r="P690" s="728" t="s">
        <v>469</v>
      </c>
    </row>
    <row r="691" spans="2:16" s="723" customFormat="1" ht="12" customHeight="1">
      <c r="B691" s="722"/>
      <c r="J691" s="735" t="s">
        <v>1336</v>
      </c>
      <c r="K691" s="736"/>
      <c r="L691" s="727"/>
      <c r="M691" s="728"/>
      <c r="N691" s="737" t="s">
        <v>828</v>
      </c>
      <c r="O691" s="737" t="s">
        <v>3159</v>
      </c>
      <c r="P691" s="728" t="s">
        <v>470</v>
      </c>
    </row>
    <row r="692" spans="2:16" s="723" customFormat="1" ht="12" customHeight="1">
      <c r="B692" s="722"/>
      <c r="J692" s="735" t="s">
        <v>3281</v>
      </c>
      <c r="K692" s="736"/>
      <c r="L692" s="727"/>
      <c r="M692" s="728"/>
      <c r="N692" s="737" t="s">
        <v>1210</v>
      </c>
      <c r="O692" s="737" t="s">
        <v>2889</v>
      </c>
      <c r="P692" s="728" t="s">
        <v>471</v>
      </c>
    </row>
    <row r="693" spans="2:16" s="723" customFormat="1" ht="12" customHeight="1">
      <c r="B693" s="722"/>
      <c r="J693" s="735" t="s">
        <v>3283</v>
      </c>
      <c r="K693" s="736"/>
      <c r="L693" s="727"/>
      <c r="M693" s="728"/>
      <c r="N693" s="626" t="s">
        <v>1483</v>
      </c>
      <c r="O693" s="626" t="s">
        <v>2619</v>
      </c>
      <c r="P693" s="1381" t="s">
        <v>2855</v>
      </c>
    </row>
    <row r="694" spans="2:16" s="723" customFormat="1" ht="12" customHeight="1">
      <c r="B694" s="722"/>
      <c r="J694" s="735" t="s">
        <v>3284</v>
      </c>
      <c r="K694" s="736"/>
      <c r="L694" s="727"/>
      <c r="M694" s="728"/>
      <c r="N694" s="626" t="s">
        <v>1484</v>
      </c>
      <c r="O694" s="626" t="s">
        <v>2716</v>
      </c>
      <c r="P694" s="1381" t="s">
        <v>2855</v>
      </c>
    </row>
    <row r="695" spans="2:16" s="723" customFormat="1" ht="12" customHeight="1">
      <c r="B695" s="722"/>
      <c r="J695" s="735" t="s">
        <v>2608</v>
      </c>
      <c r="K695" s="736"/>
      <c r="L695" s="727"/>
      <c r="M695" s="728"/>
      <c r="N695" s="737" t="s">
        <v>1910</v>
      </c>
      <c r="O695" s="737" t="s">
        <v>1631</v>
      </c>
      <c r="P695" s="728" t="s">
        <v>472</v>
      </c>
    </row>
    <row r="696" spans="2:16" s="723" customFormat="1" ht="12" customHeight="1">
      <c r="B696" s="722"/>
      <c r="J696" s="735" t="s">
        <v>2609</v>
      </c>
      <c r="K696" s="736"/>
      <c r="L696" s="727"/>
      <c r="M696" s="728"/>
      <c r="N696" s="737" t="s">
        <v>3038</v>
      </c>
      <c r="O696" s="737" t="s">
        <v>127</v>
      </c>
      <c r="P696" s="728" t="s">
        <v>473</v>
      </c>
    </row>
    <row r="697" spans="2:16" s="723" customFormat="1" ht="12" customHeight="1">
      <c r="B697" s="722"/>
      <c r="J697" s="735" t="s">
        <v>2611</v>
      </c>
      <c r="K697" s="736"/>
      <c r="L697" s="727"/>
      <c r="M697" s="728"/>
      <c r="N697" s="737" t="s">
        <v>1853</v>
      </c>
      <c r="O697" s="737" t="s">
        <v>2968</v>
      </c>
      <c r="P697" s="728" t="s">
        <v>474</v>
      </c>
    </row>
    <row r="698" spans="2:16" s="723" customFormat="1" ht="12" customHeight="1">
      <c r="B698" s="722"/>
      <c r="J698" s="735" t="s">
        <v>827</v>
      </c>
      <c r="K698" s="736"/>
      <c r="L698" s="727"/>
      <c r="M698" s="728"/>
      <c r="N698" s="737" t="s">
        <v>2982</v>
      </c>
      <c r="O698" s="737" t="s">
        <v>2625</v>
      </c>
      <c r="P698" s="728" t="s">
        <v>475</v>
      </c>
    </row>
    <row r="699" spans="2:16" s="723" customFormat="1" ht="12" customHeight="1">
      <c r="B699" s="722"/>
      <c r="J699" s="735" t="s">
        <v>829</v>
      </c>
      <c r="K699" s="736"/>
      <c r="L699" s="727"/>
      <c r="M699" s="728"/>
      <c r="N699" s="737" t="s">
        <v>2984</v>
      </c>
      <c r="O699" s="737" t="s">
        <v>2885</v>
      </c>
      <c r="P699" s="728" t="s">
        <v>476</v>
      </c>
    </row>
    <row r="700" spans="2:16" s="723" customFormat="1" ht="12" customHeight="1">
      <c r="B700" s="722"/>
      <c r="J700" s="735" t="s">
        <v>830</v>
      </c>
      <c r="K700" s="736"/>
      <c r="L700" s="727"/>
      <c r="M700" s="728"/>
      <c r="N700" s="737" t="s">
        <v>2986</v>
      </c>
      <c r="O700" s="737" t="s">
        <v>3159</v>
      </c>
      <c r="P700" s="728" t="s">
        <v>477</v>
      </c>
    </row>
    <row r="701" spans="2:16" s="723" customFormat="1" ht="12" customHeight="1">
      <c r="B701" s="722"/>
      <c r="J701" s="735" t="s">
        <v>3037</v>
      </c>
      <c r="K701" s="736"/>
      <c r="L701" s="727"/>
      <c r="M701" s="728"/>
      <c r="N701" s="737" t="s">
        <v>1524</v>
      </c>
      <c r="O701" s="737" t="s">
        <v>2896</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2761</v>
      </c>
      <c r="O703" s="737" t="s">
        <v>346</v>
      </c>
      <c r="P703" s="728" t="s">
        <v>480</v>
      </c>
    </row>
    <row r="704" spans="2:16" s="723" customFormat="1" ht="12" customHeight="1">
      <c r="B704" s="722"/>
      <c r="J704" s="735" t="s">
        <v>2983</v>
      </c>
      <c r="K704" s="736"/>
      <c r="L704" s="727"/>
      <c r="M704" s="728"/>
      <c r="N704" s="737" t="s">
        <v>2679</v>
      </c>
      <c r="O704" s="737" t="s">
        <v>128</v>
      </c>
      <c r="P704" s="728" t="s">
        <v>481</v>
      </c>
    </row>
    <row r="705" spans="2:17" s="723" customFormat="1" ht="12" customHeight="1">
      <c r="B705" s="722"/>
      <c r="J705" s="735" t="s">
        <v>2985</v>
      </c>
      <c r="K705" s="736"/>
      <c r="L705" s="727"/>
      <c r="M705" s="728"/>
      <c r="N705" s="737" t="s">
        <v>2681</v>
      </c>
      <c r="O705" s="737" t="s">
        <v>355</v>
      </c>
      <c r="P705" s="728" t="s">
        <v>482</v>
      </c>
      <c r="Q705" s="1382"/>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2760</v>
      </c>
      <c r="K708" s="736"/>
      <c r="L708" s="727"/>
      <c r="M708" s="728"/>
      <c r="N708" s="737" t="s">
        <v>2812</v>
      </c>
      <c r="O708" s="737" t="s">
        <v>1038</v>
      </c>
      <c r="P708" s="728" t="s">
        <v>485</v>
      </c>
    </row>
    <row r="709" spans="2:17" s="723" customFormat="1" ht="12" customHeight="1">
      <c r="B709" s="722"/>
      <c r="J709" s="735" t="s">
        <v>2678</v>
      </c>
      <c r="K709" s="736"/>
      <c r="L709" s="727"/>
      <c r="M709" s="728"/>
      <c r="N709" s="737" t="s">
        <v>2839</v>
      </c>
      <c r="O709" s="737" t="s">
        <v>112</v>
      </c>
      <c r="P709" s="728" t="s">
        <v>1422</v>
      </c>
    </row>
    <row r="710" spans="2:17" s="723" customFormat="1" ht="12" customHeight="1">
      <c r="B710" s="722"/>
      <c r="J710" s="735" t="s">
        <v>2680</v>
      </c>
      <c r="K710" s="736"/>
      <c r="L710" s="727"/>
      <c r="M710" s="728"/>
      <c r="N710" s="737" t="s">
        <v>1227</v>
      </c>
      <c r="O710" s="737" t="s">
        <v>2716</v>
      </c>
      <c r="P710" s="1380" t="s">
        <v>1218</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629</v>
      </c>
      <c r="K712" s="736"/>
      <c r="L712" s="727"/>
      <c r="M712" s="728"/>
      <c r="N712" s="737" t="s">
        <v>2841</v>
      </c>
      <c r="O712" s="737" t="s">
        <v>2347</v>
      </c>
      <c r="P712" s="728" t="s">
        <v>487</v>
      </c>
    </row>
    <row r="713" spans="2:17" s="723" customFormat="1" ht="12" customHeight="1">
      <c r="B713" s="722"/>
      <c r="J713" s="735" t="s">
        <v>580</v>
      </c>
      <c r="K713" s="736"/>
      <c r="L713" s="727"/>
      <c r="M713" s="728"/>
      <c r="N713" s="737" t="s">
        <v>3062</v>
      </c>
      <c r="O713" s="737" t="s">
        <v>2583</v>
      </c>
      <c r="P713" s="728" t="s">
        <v>488</v>
      </c>
    </row>
    <row r="714" spans="2:17" s="723" customFormat="1" ht="12" customHeight="1">
      <c r="B714" s="722"/>
      <c r="J714" s="735" t="s">
        <v>2811</v>
      </c>
      <c r="K714" s="736"/>
      <c r="L714" s="727"/>
      <c r="M714" s="728"/>
      <c r="N714" s="737" t="s">
        <v>3063</v>
      </c>
      <c r="O714" s="737" t="s">
        <v>175</v>
      </c>
      <c r="P714" s="728" t="s">
        <v>489</v>
      </c>
    </row>
    <row r="715" spans="2:17" s="723" customFormat="1" ht="12" customHeight="1">
      <c r="B715" s="722"/>
      <c r="J715" s="735" t="s">
        <v>2838</v>
      </c>
      <c r="K715" s="736"/>
      <c r="L715" s="727"/>
      <c r="M715" s="728"/>
      <c r="N715" s="737" t="s">
        <v>3064</v>
      </c>
      <c r="O715" s="737" t="s">
        <v>2349</v>
      </c>
      <c r="P715" s="728" t="s">
        <v>490</v>
      </c>
    </row>
    <row r="716" spans="2:17" s="723" customFormat="1" ht="12" customHeight="1">
      <c r="B716" s="722"/>
      <c r="J716" s="837"/>
      <c r="K716" s="838"/>
      <c r="L716" s="838"/>
      <c r="M716" s="839"/>
      <c r="N716" s="737" t="s">
        <v>3065</v>
      </c>
      <c r="O716" s="737" t="s">
        <v>1513</v>
      </c>
      <c r="P716" s="728" t="s">
        <v>491</v>
      </c>
    </row>
    <row r="717" spans="2:17" s="723" customFormat="1" ht="12" customHeight="1">
      <c r="B717" s="722"/>
      <c r="J717" s="743"/>
      <c r="K717" s="744"/>
      <c r="L717" s="745"/>
      <c r="N717" s="737" t="s">
        <v>3066</v>
      </c>
      <c r="O717" s="737" t="s">
        <v>3155</v>
      </c>
      <c r="P717" s="728" t="s">
        <v>492</v>
      </c>
    </row>
    <row r="718" spans="2:17" s="723" customFormat="1" ht="12" customHeight="1">
      <c r="B718" s="722"/>
      <c r="N718" s="737" t="s">
        <v>2987</v>
      </c>
      <c r="O718" s="737" t="s">
        <v>2890</v>
      </c>
      <c r="P718" s="728" t="s">
        <v>493</v>
      </c>
    </row>
    <row r="719" spans="2:17" s="723" customFormat="1" ht="12" customHeight="1">
      <c r="B719" s="722"/>
      <c r="G719" s="744"/>
      <c r="H719" s="745"/>
      <c r="N719" s="737" t="s">
        <v>2228</v>
      </c>
      <c r="O719" s="737" t="s">
        <v>3157</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2855</v>
      </c>
    </row>
    <row r="723" spans="2:16" s="723" customFormat="1" ht="12" customHeight="1">
      <c r="B723" s="722"/>
      <c r="F723" s="743"/>
      <c r="G723" s="744"/>
      <c r="H723" s="745"/>
      <c r="N723" s="737" t="s">
        <v>1211</v>
      </c>
      <c r="O723" s="737" t="s">
        <v>2659</v>
      </c>
      <c r="P723" s="728" t="s">
        <v>497</v>
      </c>
    </row>
    <row r="724" spans="2:16" s="723" customFormat="1" ht="12" customHeight="1">
      <c r="B724" s="722"/>
      <c r="F724" s="743"/>
      <c r="G724" s="744"/>
      <c r="H724" s="745"/>
      <c r="N724" s="737" t="s">
        <v>2377</v>
      </c>
      <c r="O724" s="737" t="s">
        <v>3318</v>
      </c>
      <c r="P724" s="728" t="s">
        <v>498</v>
      </c>
    </row>
    <row r="725" spans="2:16" s="723" customFormat="1" ht="12" customHeight="1">
      <c r="B725" s="722"/>
      <c r="F725" s="743"/>
      <c r="G725" s="744"/>
      <c r="H725" s="745"/>
      <c r="N725" s="737" t="s">
        <v>2378</v>
      </c>
      <c r="O725" s="737" t="s">
        <v>2968</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2855</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2659</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2617</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3266</v>
      </c>
      <c r="P741" s="1381" t="s">
        <v>2855</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2719</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2585</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3159</v>
      </c>
      <c r="P750" s="728" t="s">
        <v>519</v>
      </c>
    </row>
    <row r="751" spans="2:16" s="723" customFormat="1" ht="12" customHeight="1">
      <c r="B751" s="722"/>
      <c r="F751" s="743"/>
      <c r="G751" s="744"/>
      <c r="H751" s="745"/>
      <c r="N751" s="737" t="s">
        <v>112</v>
      </c>
      <c r="O751" s="737" t="s">
        <v>3155</v>
      </c>
      <c r="P751" s="728" t="s">
        <v>520</v>
      </c>
    </row>
    <row r="752" spans="2:16" s="723" customFormat="1" ht="12" customHeight="1">
      <c r="B752" s="722"/>
      <c r="F752" s="743"/>
      <c r="G752" s="744"/>
      <c r="H752" s="745"/>
      <c r="N752" s="737" t="s">
        <v>324</v>
      </c>
      <c r="O752" s="737" t="s">
        <v>3386</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2855</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2855</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2585</v>
      </c>
      <c r="P769" s="728" t="s">
        <v>535</v>
      </c>
    </row>
    <row r="770" spans="2:16" s="723" customFormat="1" ht="12" customHeight="1">
      <c r="B770" s="722"/>
      <c r="F770" s="743"/>
      <c r="G770" s="744"/>
      <c r="H770" s="745"/>
      <c r="N770" s="737" t="s">
        <v>2007</v>
      </c>
      <c r="O770" s="737" t="s">
        <v>2896</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3136</v>
      </c>
      <c r="O772" s="737" t="s">
        <v>857</v>
      </c>
      <c r="P772" s="728" t="s">
        <v>538</v>
      </c>
    </row>
    <row r="773" spans="2:16" s="723" customFormat="1" ht="12" customHeight="1">
      <c r="B773" s="722"/>
      <c r="F773" s="743"/>
      <c r="G773" s="744"/>
      <c r="H773" s="745"/>
      <c r="N773" s="737" t="s">
        <v>3137</v>
      </c>
      <c r="O773" s="737" t="s">
        <v>843</v>
      </c>
      <c r="P773" s="728" t="s">
        <v>539</v>
      </c>
    </row>
    <row r="774" spans="2:16" s="723" customFormat="1" ht="12" customHeight="1">
      <c r="B774" s="722"/>
      <c r="F774" s="743"/>
      <c r="G774" s="744"/>
      <c r="H774" s="745"/>
      <c r="N774" s="737" t="s">
        <v>3138</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2716</v>
      </c>
      <c r="P776" s="728" t="s">
        <v>542</v>
      </c>
    </row>
    <row r="777" spans="2:16" s="723" customFormat="1" ht="12" customHeight="1">
      <c r="B777" s="722"/>
      <c r="F777" s="743"/>
      <c r="G777" s="744"/>
      <c r="H777" s="745"/>
      <c r="N777" s="737" t="s">
        <v>1230</v>
      </c>
      <c r="O777" s="737" t="s">
        <v>2619</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3289</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A4"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2013-005 The Villas at Stanford, Kennesaw, Cobb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293" t="s">
        <v>4078</v>
      </c>
      <c r="I5" s="1354"/>
      <c r="J5" s="1354"/>
      <c r="K5" s="1354"/>
      <c r="L5" s="1354"/>
      <c r="M5" s="1354"/>
      <c r="N5" s="1355"/>
      <c r="O5" s="778" t="s">
        <v>2700</v>
      </c>
      <c r="P5" s="778"/>
      <c r="Q5" s="1293" t="s">
        <v>4079</v>
      </c>
      <c r="R5" s="1354"/>
      <c r="S5" s="1355"/>
    </row>
    <row r="6" spans="1:26" s="386" customFormat="1" ht="12.6" customHeight="1">
      <c r="D6" s="431"/>
      <c r="E6" s="392" t="s">
        <v>1424</v>
      </c>
      <c r="F6" s="400"/>
      <c r="H6" s="1293" t="s">
        <v>4065</v>
      </c>
      <c r="I6" s="1354"/>
      <c r="J6" s="1354"/>
      <c r="K6" s="1354"/>
      <c r="L6" s="1354"/>
      <c r="M6" s="1354"/>
      <c r="N6" s="1355"/>
      <c r="O6" s="778" t="s">
        <v>2441</v>
      </c>
      <c r="Q6" s="1293" t="s">
        <v>4080</v>
      </c>
      <c r="R6" s="1354"/>
      <c r="S6" s="1355"/>
    </row>
    <row r="7" spans="1:26" s="386" customFormat="1" ht="12.6" customHeight="1">
      <c r="D7" s="431"/>
      <c r="E7" s="392" t="s">
        <v>798</v>
      </c>
      <c r="H7" s="1293" t="s">
        <v>4066</v>
      </c>
      <c r="I7" s="1354"/>
      <c r="J7" s="1355"/>
      <c r="K7" s="1383" t="s">
        <v>1068</v>
      </c>
      <c r="L7" s="1293" t="s">
        <v>4081</v>
      </c>
      <c r="M7" s="1354"/>
      <c r="N7" s="1355"/>
      <c r="O7" s="778" t="s">
        <v>2498</v>
      </c>
      <c r="Q7" s="1301">
        <v>2564174920</v>
      </c>
      <c r="R7" s="1306"/>
      <c r="S7" s="1302"/>
    </row>
    <row r="8" spans="1:26" s="386" customFormat="1" ht="12.6" customHeight="1">
      <c r="D8" s="431"/>
      <c r="E8" s="392" t="s">
        <v>2494</v>
      </c>
      <c r="H8" s="1307" t="s">
        <v>1232</v>
      </c>
      <c r="I8" s="792" t="s">
        <v>1711</v>
      </c>
      <c r="J8" s="1304">
        <v>359713484</v>
      </c>
      <c r="K8" s="1355"/>
      <c r="L8" s="351" t="s">
        <v>3741</v>
      </c>
      <c r="M8" s="1384">
        <v>9605</v>
      </c>
      <c r="N8" s="1385"/>
      <c r="O8" s="778" t="s">
        <v>2689</v>
      </c>
      <c r="Q8" s="1301">
        <v>2569976659</v>
      </c>
      <c r="R8" s="1306"/>
      <c r="S8" s="1302"/>
    </row>
    <row r="9" spans="1:26" s="386" customFormat="1" ht="12.6" customHeight="1">
      <c r="D9" s="431"/>
      <c r="E9" s="392" t="s">
        <v>2695</v>
      </c>
      <c r="H9" s="1301">
        <v>2564174920</v>
      </c>
      <c r="I9" s="1302"/>
      <c r="J9" s="1386">
        <v>295</v>
      </c>
      <c r="K9" s="792" t="s">
        <v>2497</v>
      </c>
      <c r="L9" s="1340">
        <v>2566233944</v>
      </c>
      <c r="M9" s="1387"/>
      <c r="N9" s="394" t="s">
        <v>2694</v>
      </c>
      <c r="O9" s="1308" t="s">
        <v>4082</v>
      </c>
      <c r="P9" s="1309"/>
      <c r="Q9" s="1309"/>
      <c r="R9" s="1309"/>
      <c r="S9" s="1310"/>
    </row>
    <row r="10" spans="1:26" s="386" customFormat="1" ht="13.15" customHeight="1">
      <c r="D10" s="431"/>
      <c r="E10" s="377" t="s">
        <v>3740</v>
      </c>
      <c r="H10" s="425"/>
      <c r="K10" s="351" t="s">
        <v>3742</v>
      </c>
      <c r="M10" s="1356">
        <v>4</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76" t="s">
        <v>3912</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86"/>
      <c r="I14" s="786"/>
      <c r="J14" s="786"/>
      <c r="N14" s="776" t="s">
        <v>3951</v>
      </c>
      <c r="P14" s="763" t="s">
        <v>3950</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2830</v>
      </c>
      <c r="E16" s="386" t="s">
        <v>2559</v>
      </c>
      <c r="H16" s="1293" t="s">
        <v>4083</v>
      </c>
      <c r="I16" s="1354"/>
      <c r="J16" s="1354"/>
      <c r="K16" s="1354"/>
      <c r="L16" s="1354"/>
      <c r="M16" s="1354"/>
      <c r="N16" s="1355"/>
      <c r="O16" s="778" t="s">
        <v>2700</v>
      </c>
      <c r="P16" s="778"/>
      <c r="Q16" s="1293" t="s">
        <v>4079</v>
      </c>
      <c r="R16" s="1354"/>
      <c r="S16" s="1355"/>
    </row>
    <row r="17" spans="4:19" s="386" customFormat="1" ht="12.6" customHeight="1">
      <c r="D17" s="431"/>
      <c r="E17" s="392" t="s">
        <v>1424</v>
      </c>
      <c r="F17" s="400"/>
      <c r="H17" s="1293" t="s">
        <v>4065</v>
      </c>
      <c r="I17" s="1354"/>
      <c r="J17" s="1354"/>
      <c r="K17" s="1354"/>
      <c r="L17" s="1354"/>
      <c r="M17" s="1354"/>
      <c r="N17" s="1355"/>
      <c r="O17" s="778" t="s">
        <v>2441</v>
      </c>
      <c r="Q17" s="1293" t="s">
        <v>4080</v>
      </c>
      <c r="R17" s="1354"/>
      <c r="S17" s="1355"/>
    </row>
    <row r="18" spans="4:19" s="386" customFormat="1" ht="12.6" customHeight="1">
      <c r="D18" s="431"/>
      <c r="E18" s="392" t="s">
        <v>798</v>
      </c>
      <c r="H18" s="1293" t="s">
        <v>4066</v>
      </c>
      <c r="I18" s="1354"/>
      <c r="J18" s="1355"/>
      <c r="O18" s="778" t="s">
        <v>2498</v>
      </c>
      <c r="Q18" s="1301">
        <v>2564174920</v>
      </c>
      <c r="R18" s="1306"/>
      <c r="S18" s="1302"/>
    </row>
    <row r="19" spans="4:19" s="386" customFormat="1" ht="12.6" customHeight="1">
      <c r="D19" s="389"/>
      <c r="E19" s="392" t="s">
        <v>2494</v>
      </c>
      <c r="H19" s="1307" t="s">
        <v>1232</v>
      </c>
      <c r="I19" s="792" t="s">
        <v>1711</v>
      </c>
      <c r="J19" s="1304">
        <v>359713484</v>
      </c>
      <c r="K19" s="1355"/>
      <c r="L19" s="351" t="s">
        <v>1713</v>
      </c>
      <c r="N19" s="1356">
        <v>4</v>
      </c>
      <c r="O19" s="778" t="s">
        <v>2689</v>
      </c>
      <c r="Q19" s="1301">
        <v>2569976659</v>
      </c>
      <c r="R19" s="1306"/>
      <c r="S19" s="1302"/>
    </row>
    <row r="20" spans="4:19" s="386" customFormat="1" ht="12.6" customHeight="1">
      <c r="D20" s="431"/>
      <c r="E20" s="392" t="s">
        <v>2695</v>
      </c>
      <c r="H20" s="1301">
        <v>2564174920</v>
      </c>
      <c r="I20" s="1302"/>
      <c r="J20" s="1386">
        <v>295</v>
      </c>
      <c r="K20" s="792" t="s">
        <v>2497</v>
      </c>
      <c r="L20" s="1340">
        <v>2566233944</v>
      </c>
      <c r="M20" s="1355"/>
      <c r="N20" s="394" t="s">
        <v>2694</v>
      </c>
      <c r="O20" s="1308" t="s">
        <v>4082</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2831</v>
      </c>
      <c r="E22" s="386" t="s">
        <v>2560</v>
      </c>
      <c r="F22" s="786"/>
      <c r="H22" s="1293"/>
      <c r="I22" s="1354"/>
      <c r="J22" s="1354"/>
      <c r="K22" s="1354"/>
      <c r="L22" s="1354"/>
      <c r="M22" s="1354"/>
      <c r="N22" s="1355"/>
      <c r="O22" s="778" t="s">
        <v>2700</v>
      </c>
      <c r="P22" s="778"/>
      <c r="Q22" s="1293"/>
      <c r="R22" s="1354"/>
      <c r="S22" s="1355"/>
    </row>
    <row r="23" spans="4:19" s="386" customFormat="1" ht="12.6" customHeight="1">
      <c r="D23" s="431"/>
      <c r="E23" s="392" t="s">
        <v>1424</v>
      </c>
      <c r="F23" s="400"/>
      <c r="H23" s="1293"/>
      <c r="I23" s="1354"/>
      <c r="J23" s="1354"/>
      <c r="K23" s="1354"/>
      <c r="L23" s="1354"/>
      <c r="M23" s="1354"/>
      <c r="N23" s="1355"/>
      <c r="O23" s="778" t="s">
        <v>2441</v>
      </c>
      <c r="Q23" s="1293"/>
      <c r="R23" s="1354"/>
      <c r="S23" s="1355"/>
    </row>
    <row r="24" spans="4:19" s="386" customFormat="1" ht="12.6" customHeight="1">
      <c r="D24" s="431"/>
      <c r="E24" s="392" t="s">
        <v>798</v>
      </c>
      <c r="H24" s="1293"/>
      <c r="I24" s="1354"/>
      <c r="J24" s="1355"/>
      <c r="O24" s="778" t="s">
        <v>2498</v>
      </c>
      <c r="Q24" s="1301"/>
      <c r="R24" s="1306"/>
      <c r="S24" s="1302"/>
    </row>
    <row r="25" spans="4:19" s="386" customFormat="1" ht="12.6" customHeight="1">
      <c r="E25" s="392" t="s">
        <v>2494</v>
      </c>
      <c r="H25" s="1307"/>
      <c r="I25" s="417" t="s">
        <v>2952</v>
      </c>
      <c r="J25" s="1304"/>
      <c r="K25" s="1355"/>
      <c r="O25" s="778" t="s">
        <v>2689</v>
      </c>
      <c r="Q25" s="1301"/>
      <c r="R25" s="1306"/>
      <c r="S25" s="1302"/>
    </row>
    <row r="26" spans="4:19" s="386" customFormat="1" ht="12.6" customHeight="1">
      <c r="D26" s="431"/>
      <c r="E26" s="392" t="s">
        <v>2695</v>
      </c>
      <c r="H26" s="1301"/>
      <c r="I26" s="1302"/>
      <c r="J26" s="1386"/>
      <c r="K26" s="792" t="s">
        <v>2497</v>
      </c>
      <c r="L26" s="1340"/>
      <c r="M26" s="1355"/>
      <c r="N26" s="394" t="s">
        <v>2694</v>
      </c>
      <c r="O26" s="1308"/>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2560</v>
      </c>
      <c r="F28" s="786"/>
      <c r="H28" s="1293"/>
      <c r="I28" s="1354"/>
      <c r="J28" s="1354"/>
      <c r="K28" s="1354"/>
      <c r="L28" s="1354"/>
      <c r="M28" s="1354"/>
      <c r="N28" s="1355"/>
      <c r="O28" s="778" t="s">
        <v>2700</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2498</v>
      </c>
      <c r="Q30" s="1301"/>
      <c r="R30" s="1306"/>
      <c r="S30" s="1302"/>
    </row>
    <row r="31" spans="4:19" s="386" customFormat="1" ht="12.6" customHeight="1">
      <c r="E31" s="392" t="s">
        <v>2494</v>
      </c>
      <c r="H31" s="1307"/>
      <c r="I31" s="417" t="s">
        <v>2952</v>
      </c>
      <c r="J31" s="1304"/>
      <c r="K31" s="1355"/>
      <c r="O31" s="778" t="s">
        <v>2689</v>
      </c>
      <c r="Q31" s="1301"/>
      <c r="R31" s="1306"/>
      <c r="S31" s="1302"/>
    </row>
    <row r="32" spans="4:19" s="386" customFormat="1" ht="12.6" customHeight="1">
      <c r="D32" s="431"/>
      <c r="E32" s="392" t="s">
        <v>2695</v>
      </c>
      <c r="H32" s="1301"/>
      <c r="I32" s="1302"/>
      <c r="J32" s="1386"/>
      <c r="K32" s="792" t="s">
        <v>2497</v>
      </c>
      <c r="L32" s="1340"/>
      <c r="M32" s="1355"/>
      <c r="N32" s="394" t="s">
        <v>2694</v>
      </c>
      <c r="O32" s="1308"/>
      <c r="P32" s="1309"/>
      <c r="Q32" s="1309"/>
      <c r="R32" s="1309"/>
      <c r="S32" s="1310"/>
    </row>
    <row r="33" spans="3:19" ht="4.1500000000000004" customHeight="1"/>
    <row r="34" spans="3:19" s="386" customFormat="1" ht="13.15" customHeight="1">
      <c r="C34" s="433" t="s">
        <v>2699</v>
      </c>
      <c r="D34" s="430" t="s">
        <v>2562</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2830</v>
      </c>
      <c r="E36" s="386" t="s">
        <v>1055</v>
      </c>
      <c r="H36" s="1293" t="s">
        <v>4179</v>
      </c>
      <c r="I36" s="1354"/>
      <c r="J36" s="1354"/>
      <c r="K36" s="1354"/>
      <c r="L36" s="1354"/>
      <c r="M36" s="1354"/>
      <c r="N36" s="1355"/>
      <c r="O36" s="778" t="s">
        <v>2700</v>
      </c>
      <c r="P36" s="778"/>
      <c r="Q36" s="1293" t="s">
        <v>4172</v>
      </c>
      <c r="R36" s="1354"/>
      <c r="S36" s="1355"/>
    </row>
    <row r="37" spans="3:19" s="386" customFormat="1" ht="12.6" customHeight="1">
      <c r="D37" s="431"/>
      <c r="E37" s="392" t="s">
        <v>1424</v>
      </c>
      <c r="F37" s="400"/>
      <c r="H37" s="1293" t="s">
        <v>4174</v>
      </c>
      <c r="I37" s="1354"/>
      <c r="J37" s="1354"/>
      <c r="K37" s="1354"/>
      <c r="L37" s="1354"/>
      <c r="M37" s="1354"/>
      <c r="N37" s="1355"/>
      <c r="O37" s="778" t="s">
        <v>2441</v>
      </c>
      <c r="Q37" s="1293" t="s">
        <v>4173</v>
      </c>
      <c r="R37" s="1354"/>
      <c r="S37" s="1355"/>
    </row>
    <row r="38" spans="3:19" s="386" customFormat="1" ht="12.6" customHeight="1">
      <c r="D38" s="431"/>
      <c r="E38" s="392" t="s">
        <v>798</v>
      </c>
      <c r="H38" s="1293" t="s">
        <v>4175</v>
      </c>
      <c r="I38" s="1354"/>
      <c r="J38" s="1355"/>
      <c r="O38" s="778" t="s">
        <v>2498</v>
      </c>
      <c r="Q38" s="1301">
        <v>6463806657</v>
      </c>
      <c r="R38" s="1306"/>
      <c r="S38" s="1302"/>
    </row>
    <row r="39" spans="3:19" s="386" customFormat="1" ht="12.6" customHeight="1">
      <c r="E39" s="392" t="s">
        <v>2494</v>
      </c>
      <c r="H39" s="1307" t="s">
        <v>1783</v>
      </c>
      <c r="I39" s="417" t="s">
        <v>2952</v>
      </c>
      <c r="J39" s="1304">
        <v>100365803</v>
      </c>
      <c r="K39" s="1355"/>
      <c r="O39" s="778" t="s">
        <v>2689</v>
      </c>
      <c r="Q39" s="1301">
        <v>5166620267</v>
      </c>
      <c r="R39" s="1306"/>
      <c r="S39" s="1302"/>
    </row>
    <row r="40" spans="3:19" s="386" customFormat="1" ht="12.6" customHeight="1">
      <c r="D40" s="431"/>
      <c r="E40" s="392" t="s">
        <v>2695</v>
      </c>
      <c r="H40" s="1301">
        <v>6463806657</v>
      </c>
      <c r="I40" s="1302"/>
      <c r="J40" s="1386"/>
      <c r="K40" s="792" t="s">
        <v>2497</v>
      </c>
      <c r="L40" s="1340"/>
      <c r="M40" s="1355"/>
      <c r="N40" s="394" t="s">
        <v>2694</v>
      </c>
      <c r="O40" s="1308" t="s">
        <v>4176</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2831</v>
      </c>
      <c r="E42" s="386" t="s">
        <v>1056</v>
      </c>
      <c r="F42" s="389"/>
      <c r="H42" s="1393" t="s">
        <v>4157</v>
      </c>
      <c r="I42" s="1394"/>
      <c r="J42" s="1394"/>
      <c r="K42" s="1394"/>
      <c r="L42" s="1394"/>
      <c r="M42" s="1394"/>
      <c r="N42" s="1395"/>
      <c r="O42" s="778" t="s">
        <v>2700</v>
      </c>
      <c r="P42" s="778"/>
      <c r="Q42" s="1393" t="s">
        <v>4159</v>
      </c>
      <c r="R42" s="1394"/>
      <c r="S42" s="1395"/>
    </row>
    <row r="43" spans="3:19" s="386" customFormat="1" ht="12.6" customHeight="1">
      <c r="D43" s="431"/>
      <c r="E43" s="392" t="s">
        <v>1424</v>
      </c>
      <c r="F43" s="400"/>
      <c r="H43" s="1393" t="s">
        <v>4158</v>
      </c>
      <c r="I43" s="1394"/>
      <c r="J43" s="1394"/>
      <c r="K43" s="1394"/>
      <c r="L43" s="1394"/>
      <c r="M43" s="1394"/>
      <c r="N43" s="1395"/>
      <c r="O43" s="778" t="s">
        <v>2441</v>
      </c>
      <c r="Q43" s="1393" t="s">
        <v>3254</v>
      </c>
      <c r="R43" s="1394"/>
      <c r="S43" s="1395"/>
    </row>
    <row r="44" spans="3:19" s="386" customFormat="1" ht="12.6" customHeight="1">
      <c r="D44" s="431"/>
      <c r="E44" s="392" t="s">
        <v>798</v>
      </c>
      <c r="H44" s="1293" t="s">
        <v>4160</v>
      </c>
      <c r="I44" s="1354"/>
      <c r="J44" s="1355"/>
      <c r="O44" s="778" t="s">
        <v>2498</v>
      </c>
      <c r="Q44" s="1396">
        <v>3149682205</v>
      </c>
      <c r="R44" s="1397"/>
      <c r="S44" s="1398"/>
    </row>
    <row r="45" spans="3:19" s="386" customFormat="1" ht="12.6" customHeight="1">
      <c r="D45" s="389"/>
      <c r="E45" s="392" t="s">
        <v>2494</v>
      </c>
      <c r="H45" s="1307" t="s">
        <v>1776</v>
      </c>
      <c r="I45" s="417" t="s">
        <v>2952</v>
      </c>
      <c r="J45" s="1399">
        <v>631192931</v>
      </c>
      <c r="K45" s="1395"/>
      <c r="O45" s="778" t="s">
        <v>2689</v>
      </c>
      <c r="Q45" s="1396">
        <v>3144821700</v>
      </c>
      <c r="R45" s="1397"/>
      <c r="S45" s="1398"/>
    </row>
    <row r="46" spans="3:19" s="386" customFormat="1" ht="12.6" customHeight="1">
      <c r="D46" s="431"/>
      <c r="E46" s="392" t="s">
        <v>2695</v>
      </c>
      <c r="H46" s="1396">
        <v>3149682205</v>
      </c>
      <c r="I46" s="1398"/>
      <c r="J46" s="1400">
        <v>158</v>
      </c>
      <c r="K46" s="792" t="s">
        <v>2497</v>
      </c>
      <c r="L46" s="1401">
        <v>3149683860</v>
      </c>
      <c r="M46" s="1395"/>
      <c r="N46" s="394" t="s">
        <v>2694</v>
      </c>
      <c r="O46" s="1402" t="s">
        <v>4161</v>
      </c>
      <c r="P46" s="1403"/>
      <c r="Q46" s="1403"/>
      <c r="R46" s="1403"/>
      <c r="S46" s="1404"/>
    </row>
    <row r="47" spans="3:19" s="386" customFormat="1" ht="4.1500000000000004" customHeight="1">
      <c r="D47" s="431"/>
      <c r="E47" s="392"/>
      <c r="F47" s="389"/>
      <c r="H47" s="425"/>
      <c r="I47" s="425"/>
      <c r="J47" s="1405"/>
      <c r="K47" s="792"/>
      <c r="L47" s="425"/>
      <c r="M47" s="425"/>
      <c r="N47" s="792"/>
      <c r="O47" s="425"/>
      <c r="P47" s="425"/>
      <c r="Q47" s="792"/>
      <c r="R47" s="425"/>
      <c r="S47" s="425"/>
    </row>
    <row r="48" spans="3:19" s="386" customFormat="1" ht="13.15" customHeight="1">
      <c r="C48" s="435" t="s">
        <v>3321</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2700</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2498</v>
      </c>
      <c r="Q52" s="1301"/>
      <c r="R52" s="1306"/>
      <c r="S52" s="1302"/>
    </row>
    <row r="53" spans="1:19" s="386" customFormat="1" ht="12.6" customHeight="1">
      <c r="E53" s="392" t="s">
        <v>2494</v>
      </c>
      <c r="H53" s="1307"/>
      <c r="I53" s="417" t="s">
        <v>2952</v>
      </c>
      <c r="J53" s="1304"/>
      <c r="K53" s="1355"/>
      <c r="O53" s="778" t="s">
        <v>2689</v>
      </c>
      <c r="Q53" s="1301"/>
      <c r="R53" s="1306"/>
      <c r="S53" s="1302"/>
    </row>
    <row r="54" spans="1:19" s="386" customFormat="1" ht="12.6" customHeight="1">
      <c r="D54" s="431"/>
      <c r="E54" s="392" t="s">
        <v>2695</v>
      </c>
      <c r="H54" s="1301"/>
      <c r="I54" s="1302"/>
      <c r="J54" s="1386"/>
      <c r="K54" s="792" t="s">
        <v>2497</v>
      </c>
      <c r="L54" s="1340"/>
      <c r="M54" s="1355"/>
      <c r="N54" s="394" t="s">
        <v>2694</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2693</v>
      </c>
      <c r="C58" s="389" t="s">
        <v>312</v>
      </c>
      <c r="H58" s="1293" t="s">
        <v>4084</v>
      </c>
      <c r="I58" s="1354"/>
      <c r="J58" s="1354"/>
      <c r="K58" s="1354"/>
      <c r="L58" s="1354"/>
      <c r="M58" s="1354"/>
      <c r="N58" s="1355"/>
      <c r="O58" s="778" t="s">
        <v>2700</v>
      </c>
      <c r="P58" s="778"/>
      <c r="Q58" s="1293" t="s">
        <v>4079</v>
      </c>
      <c r="R58" s="1354"/>
      <c r="S58" s="1355"/>
    </row>
    <row r="59" spans="1:19" s="386" customFormat="1" ht="13.15" customHeight="1">
      <c r="D59" s="431"/>
      <c r="E59" s="392" t="s">
        <v>1424</v>
      </c>
      <c r="F59" s="400"/>
      <c r="H59" s="1293" t="s">
        <v>4065</v>
      </c>
      <c r="I59" s="1354"/>
      <c r="J59" s="1354"/>
      <c r="K59" s="1354"/>
      <c r="L59" s="1354"/>
      <c r="M59" s="1354"/>
      <c r="N59" s="1355"/>
      <c r="O59" s="778" t="s">
        <v>2441</v>
      </c>
      <c r="Q59" s="1293" t="s">
        <v>4085</v>
      </c>
      <c r="R59" s="1354"/>
      <c r="S59" s="1355"/>
    </row>
    <row r="60" spans="1:19" s="386" customFormat="1" ht="13.15" customHeight="1">
      <c r="D60" s="431"/>
      <c r="E60" s="392" t="s">
        <v>798</v>
      </c>
      <c r="H60" s="1293" t="s">
        <v>4066</v>
      </c>
      <c r="I60" s="1354"/>
      <c r="J60" s="1355"/>
      <c r="O60" s="778" t="s">
        <v>2498</v>
      </c>
      <c r="Q60" s="1301">
        <v>2564174920</v>
      </c>
      <c r="R60" s="1306"/>
      <c r="S60" s="1302"/>
    </row>
    <row r="61" spans="1:19" s="386" customFormat="1" ht="13.15" customHeight="1">
      <c r="E61" s="392" t="s">
        <v>2494</v>
      </c>
      <c r="H61" s="1307" t="s">
        <v>1232</v>
      </c>
      <c r="I61" s="417" t="s">
        <v>2952</v>
      </c>
      <c r="J61" s="1304">
        <v>359713484</v>
      </c>
      <c r="K61" s="1355"/>
      <c r="O61" s="778" t="s">
        <v>2689</v>
      </c>
      <c r="Q61" s="1301">
        <v>2569976659</v>
      </c>
      <c r="R61" s="1306"/>
      <c r="S61" s="1302"/>
    </row>
    <row r="62" spans="1:19" s="386" customFormat="1" ht="13.15" customHeight="1">
      <c r="D62" s="431"/>
      <c r="E62" s="392" t="s">
        <v>2695</v>
      </c>
      <c r="H62" s="1301">
        <v>2564174920</v>
      </c>
      <c r="I62" s="1302"/>
      <c r="J62" s="1386">
        <v>295</v>
      </c>
      <c r="K62" s="792" t="s">
        <v>2497</v>
      </c>
      <c r="L62" s="1340">
        <v>2566233944</v>
      </c>
      <c r="M62" s="1355"/>
      <c r="N62" s="394" t="s">
        <v>2694</v>
      </c>
      <c r="O62" s="1308" t="s">
        <v>4082</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2696</v>
      </c>
      <c r="C64" s="389" t="s">
        <v>313</v>
      </c>
      <c r="H64" s="1293"/>
      <c r="I64" s="1354"/>
      <c r="J64" s="1354"/>
      <c r="K64" s="1354"/>
      <c r="L64" s="1354"/>
      <c r="M64" s="1354"/>
      <c r="N64" s="1355"/>
      <c r="O64" s="778" t="s">
        <v>2700</v>
      </c>
      <c r="P64" s="778"/>
      <c r="Q64" s="1293"/>
      <c r="R64" s="1354"/>
      <c r="S64" s="1355"/>
    </row>
    <row r="65" spans="2:19" s="386" customFormat="1" ht="13.15" customHeight="1">
      <c r="D65" s="431"/>
      <c r="E65" s="392" t="s">
        <v>1424</v>
      </c>
      <c r="F65" s="400"/>
      <c r="H65" s="1293"/>
      <c r="I65" s="1354"/>
      <c r="J65" s="1354"/>
      <c r="K65" s="1354"/>
      <c r="L65" s="1354"/>
      <c r="M65" s="1354"/>
      <c r="N65" s="1355"/>
      <c r="O65" s="778" t="s">
        <v>2441</v>
      </c>
      <c r="Q65" s="1293"/>
      <c r="R65" s="1354"/>
      <c r="S65" s="1355"/>
    </row>
    <row r="66" spans="2:19" s="386" customFormat="1" ht="13.15" customHeight="1">
      <c r="D66" s="431"/>
      <c r="E66" s="392" t="s">
        <v>798</v>
      </c>
      <c r="H66" s="1293"/>
      <c r="I66" s="1354"/>
      <c r="J66" s="1355"/>
      <c r="O66" s="778" t="s">
        <v>2498</v>
      </c>
      <c r="Q66" s="1301"/>
      <c r="R66" s="1306"/>
      <c r="S66" s="1302"/>
    </row>
    <row r="67" spans="2:19" s="386" customFormat="1" ht="13.15" customHeight="1">
      <c r="E67" s="392" t="s">
        <v>2494</v>
      </c>
      <c r="H67" s="1307"/>
      <c r="I67" s="417" t="s">
        <v>2952</v>
      </c>
      <c r="J67" s="1304"/>
      <c r="K67" s="1355"/>
      <c r="O67" s="778" t="s">
        <v>2689</v>
      </c>
      <c r="Q67" s="1301"/>
      <c r="R67" s="1306"/>
      <c r="S67" s="1302"/>
    </row>
    <row r="68" spans="2:19" s="386" customFormat="1" ht="13.15" customHeight="1">
      <c r="D68" s="431"/>
      <c r="E68" s="392" t="s">
        <v>2695</v>
      </c>
      <c r="H68" s="1301"/>
      <c r="I68" s="1302"/>
      <c r="J68" s="1386"/>
      <c r="K68" s="792" t="s">
        <v>2497</v>
      </c>
      <c r="L68" s="1340"/>
      <c r="M68" s="1355"/>
      <c r="N68" s="394" t="s">
        <v>2694</v>
      </c>
      <c r="O68" s="1308"/>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2700</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2498</v>
      </c>
      <c r="Q72" s="1301"/>
      <c r="R72" s="1306"/>
      <c r="S72" s="1302"/>
    </row>
    <row r="73" spans="2:19" s="386" customFormat="1" ht="13.15" customHeight="1">
      <c r="E73" s="392" t="s">
        <v>2494</v>
      </c>
      <c r="H73" s="1307"/>
      <c r="I73" s="417" t="s">
        <v>2952</v>
      </c>
      <c r="J73" s="1304"/>
      <c r="K73" s="1355"/>
      <c r="O73" s="778" t="s">
        <v>2689</v>
      </c>
      <c r="Q73" s="1301"/>
      <c r="R73" s="1306"/>
      <c r="S73" s="1302"/>
    </row>
    <row r="74" spans="2:19" s="386" customFormat="1" ht="13.15" customHeight="1">
      <c r="D74" s="431"/>
      <c r="E74" s="392" t="s">
        <v>2695</v>
      </c>
      <c r="H74" s="1301"/>
      <c r="I74" s="1302"/>
      <c r="J74" s="1386"/>
      <c r="K74" s="792" t="s">
        <v>2497</v>
      </c>
      <c r="L74" s="1340"/>
      <c r="M74" s="1355"/>
      <c r="N74" s="394" t="s">
        <v>2694</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2829</v>
      </c>
      <c r="C76" s="389" t="s">
        <v>314</v>
      </c>
      <c r="H76" s="1293"/>
      <c r="I76" s="1354"/>
      <c r="J76" s="1354"/>
      <c r="K76" s="1354"/>
      <c r="L76" s="1354"/>
      <c r="M76" s="1354"/>
      <c r="N76" s="1355"/>
      <c r="O76" s="778" t="s">
        <v>2700</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2498</v>
      </c>
      <c r="Q78" s="1301"/>
      <c r="R78" s="1306"/>
      <c r="S78" s="1302"/>
    </row>
    <row r="79" spans="2:19" s="386" customFormat="1" ht="13.15" customHeight="1">
      <c r="E79" s="392" t="s">
        <v>2494</v>
      </c>
      <c r="H79" s="1307"/>
      <c r="I79" s="417" t="s">
        <v>2952</v>
      </c>
      <c r="J79" s="1304"/>
      <c r="K79" s="1355"/>
      <c r="O79" s="778" t="s">
        <v>2689</v>
      </c>
      <c r="Q79" s="1301"/>
      <c r="R79" s="1306"/>
      <c r="S79" s="1302"/>
    </row>
    <row r="80" spans="2:19" s="386" customFormat="1" ht="13.15" customHeight="1">
      <c r="D80" s="431"/>
      <c r="E80" s="392" t="s">
        <v>2695</v>
      </c>
      <c r="H80" s="1301"/>
      <c r="I80" s="1302"/>
      <c r="J80" s="1386"/>
      <c r="K80" s="792" t="s">
        <v>2497</v>
      </c>
      <c r="L80" s="1340"/>
      <c r="M80" s="1355"/>
      <c r="N80" s="394" t="s">
        <v>2694</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2693</v>
      </c>
      <c r="C84" s="389" t="s">
        <v>316</v>
      </c>
      <c r="H84" s="1293"/>
      <c r="I84" s="1354"/>
      <c r="J84" s="1354"/>
      <c r="K84" s="1354"/>
      <c r="L84" s="1354"/>
      <c r="M84" s="1354"/>
      <c r="N84" s="1355"/>
      <c r="O84" s="778" t="s">
        <v>2700</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2498</v>
      </c>
      <c r="Q86" s="1301"/>
      <c r="R86" s="1306"/>
      <c r="S86" s="1302"/>
    </row>
    <row r="87" spans="1:19" s="386" customFormat="1" ht="13.15" customHeight="1">
      <c r="E87" s="392" t="s">
        <v>2494</v>
      </c>
      <c r="H87" s="1307"/>
      <c r="I87" s="417" t="s">
        <v>2952</v>
      </c>
      <c r="J87" s="1304"/>
      <c r="K87" s="1355"/>
      <c r="O87" s="778" t="s">
        <v>2689</v>
      </c>
      <c r="Q87" s="1301"/>
      <c r="R87" s="1306"/>
      <c r="S87" s="1302"/>
    </row>
    <row r="88" spans="1:19" s="386" customFormat="1" ht="13.15" customHeight="1">
      <c r="D88" s="431"/>
      <c r="E88" s="392" t="s">
        <v>2695</v>
      </c>
      <c r="H88" s="1301"/>
      <c r="I88" s="1302"/>
      <c r="J88" s="1386"/>
      <c r="K88" s="792" t="s">
        <v>2497</v>
      </c>
      <c r="L88" s="1340"/>
      <c r="M88" s="1355"/>
      <c r="N88" s="394" t="s">
        <v>2694</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2696</v>
      </c>
      <c r="C90" s="389" t="s">
        <v>317</v>
      </c>
      <c r="H90" s="1293" t="s">
        <v>4086</v>
      </c>
      <c r="I90" s="1354"/>
      <c r="J90" s="1354"/>
      <c r="K90" s="1354"/>
      <c r="L90" s="1354"/>
      <c r="M90" s="1354"/>
      <c r="N90" s="1355"/>
      <c r="O90" s="778" t="s">
        <v>2700</v>
      </c>
      <c r="P90" s="778"/>
      <c r="Q90" s="1293" t="s">
        <v>4079</v>
      </c>
      <c r="R90" s="1354"/>
      <c r="S90" s="1355"/>
    </row>
    <row r="91" spans="1:19" s="386" customFormat="1" ht="13.15" customHeight="1">
      <c r="D91" s="431"/>
      <c r="E91" s="392" t="s">
        <v>1424</v>
      </c>
      <c r="F91" s="400"/>
      <c r="H91" s="1293" t="s">
        <v>4065</v>
      </c>
      <c r="I91" s="1354"/>
      <c r="J91" s="1354"/>
      <c r="K91" s="1354"/>
      <c r="L91" s="1354"/>
      <c r="M91" s="1354"/>
      <c r="N91" s="1355"/>
      <c r="O91" s="778" t="s">
        <v>2441</v>
      </c>
      <c r="Q91" s="1293" t="s">
        <v>4085</v>
      </c>
      <c r="R91" s="1354"/>
      <c r="S91" s="1355"/>
    </row>
    <row r="92" spans="1:19" s="386" customFormat="1" ht="13.15" customHeight="1">
      <c r="D92" s="431"/>
      <c r="E92" s="392" t="s">
        <v>798</v>
      </c>
      <c r="H92" s="1293" t="s">
        <v>4087</v>
      </c>
      <c r="I92" s="1354"/>
      <c r="J92" s="1355"/>
      <c r="O92" s="778" t="s">
        <v>2498</v>
      </c>
      <c r="Q92" s="1301">
        <v>2564174920</v>
      </c>
      <c r="R92" s="1306"/>
      <c r="S92" s="1302"/>
    </row>
    <row r="93" spans="1:19" s="386" customFormat="1" ht="13.15" customHeight="1">
      <c r="E93" s="392" t="s">
        <v>2494</v>
      </c>
      <c r="H93" s="1307" t="s">
        <v>1232</v>
      </c>
      <c r="I93" s="417" t="s">
        <v>2952</v>
      </c>
      <c r="J93" s="1304">
        <v>359713484</v>
      </c>
      <c r="K93" s="1355"/>
      <c r="O93" s="778" t="s">
        <v>2689</v>
      </c>
      <c r="Q93" s="1301">
        <v>2569976659</v>
      </c>
      <c r="R93" s="1306"/>
      <c r="S93" s="1302"/>
    </row>
    <row r="94" spans="1:19" s="386" customFormat="1" ht="13.15" customHeight="1">
      <c r="D94" s="431"/>
      <c r="E94" s="392" t="s">
        <v>2695</v>
      </c>
      <c r="H94" s="1301">
        <v>2564174922</v>
      </c>
      <c r="I94" s="1302"/>
      <c r="J94" s="1386">
        <v>295</v>
      </c>
      <c r="K94" s="792" t="s">
        <v>2497</v>
      </c>
      <c r="L94" s="1340">
        <v>2566233944</v>
      </c>
      <c r="M94" s="1355"/>
      <c r="N94" s="394" t="s">
        <v>2694</v>
      </c>
      <c r="O94" s="1308" t="s">
        <v>4082</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4122</v>
      </c>
      <c r="I96" s="1354"/>
      <c r="J96" s="1354"/>
      <c r="K96" s="1354"/>
      <c r="L96" s="1354"/>
      <c r="M96" s="1354"/>
      <c r="N96" s="1355"/>
      <c r="O96" s="778" t="s">
        <v>2700</v>
      </c>
      <c r="P96" s="778"/>
      <c r="Q96" s="1293" t="s">
        <v>4079</v>
      </c>
      <c r="R96" s="1354"/>
      <c r="S96" s="1355"/>
    </row>
    <row r="97" spans="2:19" s="386" customFormat="1" ht="13.15" customHeight="1">
      <c r="D97" s="431"/>
      <c r="E97" s="392" t="s">
        <v>1424</v>
      </c>
      <c r="F97" s="400"/>
      <c r="H97" s="1293" t="s">
        <v>4065</v>
      </c>
      <c r="I97" s="1354"/>
      <c r="J97" s="1354"/>
      <c r="K97" s="1354"/>
      <c r="L97" s="1354"/>
      <c r="M97" s="1354"/>
      <c r="N97" s="1355"/>
      <c r="O97" s="778" t="s">
        <v>2441</v>
      </c>
      <c r="Q97" s="1293" t="s">
        <v>4085</v>
      </c>
      <c r="R97" s="1354"/>
      <c r="S97" s="1355"/>
    </row>
    <row r="98" spans="2:19" s="386" customFormat="1" ht="13.15" customHeight="1">
      <c r="D98" s="431"/>
      <c r="E98" s="392" t="s">
        <v>798</v>
      </c>
      <c r="H98" s="1293" t="s">
        <v>4066</v>
      </c>
      <c r="I98" s="1354"/>
      <c r="J98" s="1355"/>
      <c r="O98" s="778" t="s">
        <v>2498</v>
      </c>
      <c r="Q98" s="1301">
        <v>2564174920</v>
      </c>
      <c r="R98" s="1306"/>
      <c r="S98" s="1302"/>
    </row>
    <row r="99" spans="2:19" s="386" customFormat="1" ht="13.15" customHeight="1">
      <c r="D99" s="431"/>
      <c r="E99" s="392" t="s">
        <v>2494</v>
      </c>
      <c r="H99" s="1307" t="s">
        <v>1232</v>
      </c>
      <c r="I99" s="417" t="s">
        <v>2952</v>
      </c>
      <c r="J99" s="1304">
        <v>359713484</v>
      </c>
      <c r="K99" s="1355"/>
      <c r="O99" s="778" t="s">
        <v>2689</v>
      </c>
      <c r="Q99" s="1301">
        <v>2569976659</v>
      </c>
      <c r="R99" s="1306"/>
      <c r="S99" s="1302"/>
    </row>
    <row r="100" spans="2:19" s="386" customFormat="1" ht="13.15" customHeight="1">
      <c r="D100" s="431"/>
      <c r="E100" s="392" t="s">
        <v>2695</v>
      </c>
      <c r="H100" s="1301">
        <v>2564174921</v>
      </c>
      <c r="I100" s="1302"/>
      <c r="J100" s="1386">
        <v>295</v>
      </c>
      <c r="K100" s="792" t="s">
        <v>2497</v>
      </c>
      <c r="L100" s="1340">
        <v>2566233944</v>
      </c>
      <c r="M100" s="1355"/>
      <c r="N100" s="394" t="s">
        <v>2694</v>
      </c>
      <c r="O100" s="1308" t="s">
        <v>4082</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2829</v>
      </c>
      <c r="C102" s="389" t="s">
        <v>319</v>
      </c>
      <c r="H102" s="1293" t="s">
        <v>4123</v>
      </c>
      <c r="I102" s="1354"/>
      <c r="J102" s="1354"/>
      <c r="K102" s="1354"/>
      <c r="L102" s="1354"/>
      <c r="M102" s="1354"/>
      <c r="N102" s="1355"/>
      <c r="O102" s="778" t="s">
        <v>2700</v>
      </c>
      <c r="P102" s="778"/>
      <c r="Q102" s="1293" t="s">
        <v>4088</v>
      </c>
      <c r="R102" s="1354"/>
      <c r="S102" s="1355"/>
    </row>
    <row r="103" spans="2:19" s="386" customFormat="1" ht="13.15" customHeight="1">
      <c r="D103" s="431"/>
      <c r="E103" s="392" t="s">
        <v>1424</v>
      </c>
      <c r="F103" s="400"/>
      <c r="H103" s="1293" t="s">
        <v>4089</v>
      </c>
      <c r="I103" s="1354"/>
      <c r="J103" s="1354"/>
      <c r="K103" s="1354"/>
      <c r="L103" s="1354"/>
      <c r="M103" s="1354"/>
      <c r="N103" s="1355"/>
      <c r="O103" s="778" t="s">
        <v>2441</v>
      </c>
      <c r="Q103" s="1293" t="s">
        <v>4090</v>
      </c>
      <c r="R103" s="1354"/>
      <c r="S103" s="1355"/>
    </row>
    <row r="104" spans="2:19" s="386" customFormat="1" ht="13.15" customHeight="1">
      <c r="D104" s="431"/>
      <c r="E104" s="392" t="s">
        <v>798</v>
      </c>
      <c r="H104" s="1293" t="s">
        <v>1225</v>
      </c>
      <c r="I104" s="1354"/>
      <c r="J104" s="1355"/>
      <c r="O104" s="778" t="s">
        <v>2498</v>
      </c>
      <c r="Q104" s="1301">
        <v>4022318479</v>
      </c>
      <c r="R104" s="1306"/>
      <c r="S104" s="1302"/>
    </row>
    <row r="105" spans="2:19" s="386" customFormat="1" ht="13.15" customHeight="1">
      <c r="D105" s="431"/>
      <c r="E105" s="392" t="s">
        <v>2494</v>
      </c>
      <c r="H105" s="1307" t="s">
        <v>1778</v>
      </c>
      <c r="I105" s="417" t="s">
        <v>2952</v>
      </c>
      <c r="J105" s="1304">
        <v>681022186</v>
      </c>
      <c r="K105" s="1355"/>
      <c r="O105" s="778" t="s">
        <v>2689</v>
      </c>
      <c r="Q105" s="1301">
        <v>4023466000</v>
      </c>
      <c r="R105" s="1306"/>
      <c r="S105" s="1302"/>
    </row>
    <row r="106" spans="2:19" ht="13.15" customHeight="1">
      <c r="E106" s="392" t="s">
        <v>2695</v>
      </c>
      <c r="F106" s="386"/>
      <c r="G106" s="386"/>
      <c r="H106" s="1301">
        <v>4022318479</v>
      </c>
      <c r="I106" s="1302"/>
      <c r="J106" s="1386"/>
      <c r="K106" s="792" t="s">
        <v>2497</v>
      </c>
      <c r="L106" s="1340">
        <v>4023461148</v>
      </c>
      <c r="M106" s="1355"/>
      <c r="N106" s="394" t="s">
        <v>2694</v>
      </c>
      <c r="O106" s="1308" t="s">
        <v>4091</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406"/>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4124</v>
      </c>
      <c r="I109" s="1354"/>
      <c r="J109" s="1354"/>
      <c r="K109" s="1354"/>
      <c r="L109" s="1354"/>
      <c r="M109" s="1354"/>
      <c r="N109" s="1355"/>
      <c r="O109" s="778" t="s">
        <v>2700</v>
      </c>
      <c r="P109" s="778"/>
      <c r="Q109" s="1293" t="s">
        <v>4092</v>
      </c>
      <c r="R109" s="1354"/>
      <c r="S109" s="1355"/>
    </row>
    <row r="110" spans="2:19" s="386" customFormat="1" ht="13.15" customHeight="1">
      <c r="D110" s="431"/>
      <c r="E110" s="392" t="s">
        <v>1424</v>
      </c>
      <c r="F110" s="400"/>
      <c r="H110" s="1293" t="s">
        <v>4093</v>
      </c>
      <c r="I110" s="1354"/>
      <c r="J110" s="1354"/>
      <c r="K110" s="1354"/>
      <c r="L110" s="1354"/>
      <c r="M110" s="1354"/>
      <c r="N110" s="1355"/>
      <c r="O110" s="778" t="s">
        <v>2441</v>
      </c>
      <c r="Q110" s="1293" t="s">
        <v>4094</v>
      </c>
      <c r="R110" s="1354"/>
      <c r="S110" s="1355"/>
    </row>
    <row r="111" spans="2:19" s="386" customFormat="1" ht="13.15" customHeight="1">
      <c r="D111" s="431"/>
      <c r="E111" s="392" t="s">
        <v>798</v>
      </c>
      <c r="H111" s="1293" t="s">
        <v>4095</v>
      </c>
      <c r="I111" s="1354"/>
      <c r="J111" s="1355"/>
      <c r="O111" s="778" t="s">
        <v>2498</v>
      </c>
      <c r="Q111" s="1301">
        <v>2564133057</v>
      </c>
      <c r="R111" s="1306"/>
      <c r="S111" s="1302"/>
    </row>
    <row r="112" spans="2:19" s="386" customFormat="1" ht="13.15" customHeight="1">
      <c r="D112" s="431"/>
      <c r="E112" s="392" t="s">
        <v>2494</v>
      </c>
      <c r="H112" s="1307" t="s">
        <v>1232</v>
      </c>
      <c r="I112" s="417" t="s">
        <v>2952</v>
      </c>
      <c r="J112" s="1304">
        <v>359063206</v>
      </c>
      <c r="K112" s="1355"/>
      <c r="O112" s="778" t="s">
        <v>2689</v>
      </c>
      <c r="Q112" s="1301">
        <v>2563905972</v>
      </c>
      <c r="R112" s="1306"/>
      <c r="S112" s="1302"/>
    </row>
    <row r="113" spans="1:19" ht="13.15" customHeight="1">
      <c r="E113" s="392" t="s">
        <v>2695</v>
      </c>
      <c r="F113" s="386"/>
      <c r="G113" s="386"/>
      <c r="H113" s="1301">
        <v>2564133057</v>
      </c>
      <c r="I113" s="1302"/>
      <c r="J113" s="1386"/>
      <c r="K113" s="792" t="s">
        <v>2497</v>
      </c>
      <c r="L113" s="1340">
        <v>2564133058</v>
      </c>
      <c r="M113" s="1355"/>
      <c r="N113" s="394" t="s">
        <v>2694</v>
      </c>
      <c r="O113" s="1308" t="s">
        <v>4096</v>
      </c>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4097</v>
      </c>
      <c r="I115" s="1354"/>
      <c r="J115" s="1354"/>
      <c r="K115" s="1354"/>
      <c r="L115" s="1354"/>
      <c r="M115" s="1354"/>
      <c r="N115" s="1355"/>
      <c r="O115" s="778" t="s">
        <v>2700</v>
      </c>
      <c r="P115" s="778"/>
      <c r="Q115" s="1293" t="s">
        <v>4098</v>
      </c>
      <c r="R115" s="1354"/>
      <c r="S115" s="1355"/>
    </row>
    <row r="116" spans="1:19" s="386" customFormat="1" ht="13.15" customHeight="1">
      <c r="D116" s="431"/>
      <c r="E116" s="392" t="s">
        <v>1424</v>
      </c>
      <c r="F116" s="400"/>
      <c r="H116" s="1293" t="s">
        <v>4099</v>
      </c>
      <c r="I116" s="1354"/>
      <c r="J116" s="1354"/>
      <c r="K116" s="1354"/>
      <c r="L116" s="1354"/>
      <c r="M116" s="1354"/>
      <c r="N116" s="1355"/>
      <c r="O116" s="778" t="s">
        <v>2441</v>
      </c>
      <c r="Q116" s="1293" t="s">
        <v>4085</v>
      </c>
      <c r="R116" s="1354"/>
      <c r="S116" s="1355"/>
    </row>
    <row r="117" spans="1:19" s="386" customFormat="1" ht="13.15" customHeight="1">
      <c r="D117" s="431"/>
      <c r="E117" s="392" t="s">
        <v>798</v>
      </c>
      <c r="H117" s="1293" t="s">
        <v>1626</v>
      </c>
      <c r="I117" s="1354"/>
      <c r="J117" s="1355"/>
      <c r="O117" s="778" t="s">
        <v>2498</v>
      </c>
      <c r="Q117" s="1301">
        <v>4045914141</v>
      </c>
      <c r="R117" s="1306"/>
      <c r="S117" s="1302"/>
    </row>
    <row r="118" spans="1:19" s="386" customFormat="1" ht="13.15" customHeight="1">
      <c r="D118" s="436"/>
      <c r="E118" s="392" t="s">
        <v>2494</v>
      </c>
      <c r="H118" s="1307" t="s">
        <v>1242</v>
      </c>
      <c r="I118" s="417" t="s">
        <v>2952</v>
      </c>
      <c r="J118" s="1304">
        <v>303031264</v>
      </c>
      <c r="K118" s="1355"/>
      <c r="O118" s="778" t="s">
        <v>2689</v>
      </c>
      <c r="Q118" s="1301">
        <v>4046260193</v>
      </c>
      <c r="R118" s="1306"/>
      <c r="S118" s="1302"/>
    </row>
    <row r="119" spans="1:19" s="386" customFormat="1" ht="13.15" customHeight="1">
      <c r="D119" s="436"/>
      <c r="E119" s="392" t="s">
        <v>2695</v>
      </c>
      <c r="H119" s="1301">
        <v>4045914141</v>
      </c>
      <c r="I119" s="1302"/>
      <c r="J119" s="1386">
        <v>301</v>
      </c>
      <c r="K119" s="792" t="s">
        <v>2497</v>
      </c>
      <c r="L119" s="1340"/>
      <c r="M119" s="1355"/>
      <c r="N119" s="394" t="s">
        <v>2694</v>
      </c>
      <c r="O119" s="1308" t="s">
        <v>4100</v>
      </c>
      <c r="P119" s="1309"/>
      <c r="Q119" s="1309"/>
      <c r="R119" s="1309"/>
      <c r="S119" s="1310"/>
    </row>
    <row r="120" spans="1:19" ht="13.15" customHeight="1"/>
    <row r="121" spans="1:19" s="386" customFormat="1" ht="13.15" customHeight="1">
      <c r="A121" s="389" t="s">
        <v>2487</v>
      </c>
      <c r="B121" s="389" t="s">
        <v>3399</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407"/>
      <c r="C123" s="1407"/>
      <c r="D123" s="1408"/>
      <c r="E123" s="878" t="s">
        <v>3947</v>
      </c>
      <c r="F123" s="853" t="s">
        <v>3096</v>
      </c>
      <c r="G123" s="846" t="s">
        <v>3097</v>
      </c>
      <c r="H123" s="857"/>
      <c r="I123" s="858"/>
      <c r="J123" s="846" t="s">
        <v>3098</v>
      </c>
      <c r="K123" s="864"/>
      <c r="L123" s="846" t="s">
        <v>3099</v>
      </c>
      <c r="M123" s="869"/>
      <c r="N123" s="846" t="s">
        <v>3100</v>
      </c>
      <c r="O123" s="858"/>
      <c r="P123" s="846" t="s">
        <v>3101</v>
      </c>
      <c r="Q123" s="858"/>
      <c r="R123" s="846" t="s">
        <v>3102</v>
      </c>
      <c r="S123" s="847"/>
    </row>
    <row r="124" spans="1:19" s="386" customFormat="1" ht="21.6" customHeight="1">
      <c r="A124" s="1409"/>
      <c r="B124" s="1410"/>
      <c r="C124" s="1410"/>
      <c r="D124" s="1411"/>
      <c r="E124" s="879"/>
      <c r="F124" s="854"/>
      <c r="G124" s="848"/>
      <c r="H124" s="859"/>
      <c r="I124" s="860"/>
      <c r="J124" s="865"/>
      <c r="K124" s="866"/>
      <c r="L124" s="848"/>
      <c r="M124" s="870"/>
      <c r="N124" s="848"/>
      <c r="O124" s="860"/>
      <c r="P124" s="848"/>
      <c r="Q124" s="860"/>
      <c r="R124" s="848"/>
      <c r="S124" s="849"/>
    </row>
    <row r="125" spans="1:19" s="386" customFormat="1" ht="21.6" customHeight="1">
      <c r="A125" s="1409"/>
      <c r="B125" s="1410"/>
      <c r="C125" s="1410"/>
      <c r="D125" s="1411"/>
      <c r="E125" s="879"/>
      <c r="F125" s="855"/>
      <c r="G125" s="848"/>
      <c r="H125" s="859"/>
      <c r="I125" s="860"/>
      <c r="J125" s="865"/>
      <c r="K125" s="866"/>
      <c r="L125" s="871"/>
      <c r="M125" s="870"/>
      <c r="N125" s="848"/>
      <c r="O125" s="860"/>
      <c r="P125" s="848"/>
      <c r="Q125" s="860"/>
      <c r="R125" s="850"/>
      <c r="S125" s="849"/>
    </row>
    <row r="126" spans="1:19" s="386" customFormat="1" ht="21.6" customHeight="1">
      <c r="A126" s="1409"/>
      <c r="B126" s="1410"/>
      <c r="C126" s="1410"/>
      <c r="D126" s="1411"/>
      <c r="E126" s="879"/>
      <c r="F126" s="855"/>
      <c r="G126" s="848"/>
      <c r="H126" s="859"/>
      <c r="I126" s="860"/>
      <c r="J126" s="865"/>
      <c r="K126" s="866"/>
      <c r="L126" s="871"/>
      <c r="M126" s="870"/>
      <c r="N126" s="848"/>
      <c r="O126" s="860"/>
      <c r="P126" s="848"/>
      <c r="Q126" s="860"/>
      <c r="R126" s="850"/>
      <c r="S126" s="849"/>
    </row>
    <row r="127" spans="1:19" s="386" customFormat="1" ht="21.6" customHeight="1">
      <c r="A127" s="1412"/>
      <c r="B127" s="1413"/>
      <c r="C127" s="1413"/>
      <c r="D127" s="1414"/>
      <c r="E127" s="880"/>
      <c r="F127" s="856"/>
      <c r="G127" s="861"/>
      <c r="H127" s="862"/>
      <c r="I127" s="863"/>
      <c r="J127" s="867"/>
      <c r="K127" s="868"/>
      <c r="L127" s="872"/>
      <c r="M127" s="873"/>
      <c r="N127" s="861"/>
      <c r="O127" s="863"/>
      <c r="P127" s="861"/>
      <c r="Q127" s="863"/>
      <c r="R127" s="851"/>
      <c r="S127" s="852"/>
    </row>
    <row r="128" spans="1:19" s="386" customFormat="1" ht="15" customHeight="1">
      <c r="A128" s="787" t="s">
        <v>3095</v>
      </c>
      <c r="B128" s="788"/>
      <c r="C128" s="788"/>
      <c r="D128" s="789"/>
      <c r="E128" s="1415" t="s">
        <v>4070</v>
      </c>
      <c r="F128" s="1415" t="s">
        <v>4070</v>
      </c>
      <c r="G128" s="1416" t="s">
        <v>4070</v>
      </c>
      <c r="H128" s="1417"/>
      <c r="I128" s="1418"/>
      <c r="J128" s="1416" t="s">
        <v>4061</v>
      </c>
      <c r="K128" s="1418"/>
      <c r="L128" s="1416" t="s">
        <v>4070</v>
      </c>
      <c r="M128" s="1418"/>
      <c r="N128" s="1416" t="s">
        <v>4070</v>
      </c>
      <c r="O128" s="1418"/>
      <c r="P128" s="1419" t="s">
        <v>4125</v>
      </c>
      <c r="Q128" s="1420"/>
      <c r="R128" s="1421">
        <v>1E-4</v>
      </c>
      <c r="S128" s="1422"/>
    </row>
    <row r="129" spans="1:19" s="386" customFormat="1" ht="15" customHeight="1">
      <c r="A129" s="785" t="s">
        <v>3085</v>
      </c>
      <c r="B129" s="786"/>
      <c r="C129" s="786"/>
      <c r="D129" s="790"/>
      <c r="E129" s="1423"/>
      <c r="F129" s="1423"/>
      <c r="G129" s="1424"/>
      <c r="H129" s="1425"/>
      <c r="I129" s="1426"/>
      <c r="J129" s="1424"/>
      <c r="K129" s="1426"/>
      <c r="L129" s="1424"/>
      <c r="M129" s="1426"/>
      <c r="N129" s="1424"/>
      <c r="O129" s="1426"/>
      <c r="P129" s="1427"/>
      <c r="Q129" s="1428"/>
      <c r="R129" s="1429"/>
      <c r="S129" s="1430"/>
    </row>
    <row r="130" spans="1:19" s="386" customFormat="1" ht="15" customHeight="1">
      <c r="A130" s="785" t="s">
        <v>3086</v>
      </c>
      <c r="B130" s="786"/>
      <c r="C130" s="786"/>
      <c r="D130" s="790"/>
      <c r="E130" s="1423"/>
      <c r="F130" s="1423"/>
      <c r="G130" s="1424"/>
      <c r="H130" s="1425"/>
      <c r="I130" s="1426"/>
      <c r="J130" s="1424"/>
      <c r="K130" s="1426"/>
      <c r="L130" s="1424"/>
      <c r="M130" s="1426"/>
      <c r="N130" s="1424"/>
      <c r="O130" s="1426"/>
      <c r="P130" s="1427"/>
      <c r="Q130" s="1428"/>
      <c r="R130" s="1429"/>
      <c r="S130" s="1430"/>
    </row>
    <row r="131" spans="1:19" s="386" customFormat="1" ht="15" customHeight="1">
      <c r="A131" s="785" t="s">
        <v>3087</v>
      </c>
      <c r="B131" s="786"/>
      <c r="C131" s="786"/>
      <c r="D131" s="790"/>
      <c r="E131" s="1423" t="s">
        <v>4070</v>
      </c>
      <c r="F131" s="1423" t="s">
        <v>4070</v>
      </c>
      <c r="G131" s="1424" t="s">
        <v>4070</v>
      </c>
      <c r="H131" s="1425"/>
      <c r="I131" s="1426"/>
      <c r="J131" s="1424" t="s">
        <v>4070</v>
      </c>
      <c r="K131" s="1426"/>
      <c r="L131" s="1424" t="s">
        <v>4070</v>
      </c>
      <c r="M131" s="1426"/>
      <c r="N131" s="1424" t="s">
        <v>4070</v>
      </c>
      <c r="O131" s="1426"/>
      <c r="P131" s="1427" t="s">
        <v>4125</v>
      </c>
      <c r="Q131" s="1428"/>
      <c r="R131" s="1429">
        <v>0.9899</v>
      </c>
      <c r="S131" s="1430"/>
    </row>
    <row r="132" spans="1:19" s="386" customFormat="1" ht="15" customHeight="1">
      <c r="A132" s="785" t="s">
        <v>3088</v>
      </c>
      <c r="B132" s="786"/>
      <c r="C132" s="786"/>
      <c r="D132" s="790"/>
      <c r="E132" s="1423" t="s">
        <v>4070</v>
      </c>
      <c r="F132" s="1423" t="s">
        <v>4070</v>
      </c>
      <c r="G132" s="1424" t="s">
        <v>4070</v>
      </c>
      <c r="H132" s="1425"/>
      <c r="I132" s="1426"/>
      <c r="J132" s="1424" t="s">
        <v>4070</v>
      </c>
      <c r="K132" s="1426"/>
      <c r="L132" s="1424" t="s">
        <v>4070</v>
      </c>
      <c r="M132" s="1426"/>
      <c r="N132" s="1424" t="s">
        <v>4070</v>
      </c>
      <c r="O132" s="1426"/>
      <c r="P132" s="1427" t="s">
        <v>4125</v>
      </c>
      <c r="Q132" s="1428"/>
      <c r="R132" s="1429">
        <v>0.01</v>
      </c>
      <c r="S132" s="1430"/>
    </row>
    <row r="133" spans="1:19" s="386" customFormat="1" ht="15" customHeight="1">
      <c r="A133" s="785" t="s">
        <v>3089</v>
      </c>
      <c r="B133" s="786"/>
      <c r="C133" s="786"/>
      <c r="D133" s="790"/>
      <c r="E133" s="1423"/>
      <c r="F133" s="1423"/>
      <c r="G133" s="1424"/>
      <c r="H133" s="1425"/>
      <c r="I133" s="1426"/>
      <c r="J133" s="1424"/>
      <c r="K133" s="1426"/>
      <c r="L133" s="1424"/>
      <c r="M133" s="1426"/>
      <c r="N133" s="1424"/>
      <c r="O133" s="1426"/>
      <c r="P133" s="1427"/>
      <c r="Q133" s="1428"/>
      <c r="R133" s="1429"/>
      <c r="S133" s="1430"/>
    </row>
    <row r="134" spans="1:19" s="386" customFormat="1" ht="15" customHeight="1">
      <c r="A134" s="785" t="s">
        <v>838</v>
      </c>
      <c r="B134" s="786"/>
      <c r="C134" s="786"/>
      <c r="D134" s="790"/>
      <c r="E134" s="1423" t="s">
        <v>4070</v>
      </c>
      <c r="F134" s="1423" t="s">
        <v>4070</v>
      </c>
      <c r="G134" s="1424" t="s">
        <v>4070</v>
      </c>
      <c r="H134" s="1425"/>
      <c r="I134" s="1426"/>
      <c r="J134" s="1424" t="s">
        <v>4061</v>
      </c>
      <c r="K134" s="1426"/>
      <c r="L134" s="1424" t="s">
        <v>4070</v>
      </c>
      <c r="M134" s="1426"/>
      <c r="N134" s="1424" t="s">
        <v>4070</v>
      </c>
      <c r="O134" s="1426"/>
      <c r="P134" s="1427" t="s">
        <v>4125</v>
      </c>
      <c r="Q134" s="1428"/>
      <c r="R134" s="1429">
        <v>0</v>
      </c>
      <c r="S134" s="1430"/>
    </row>
    <row r="135" spans="1:19" s="386" customFormat="1" ht="15" customHeight="1">
      <c r="A135" s="785" t="s">
        <v>3090</v>
      </c>
      <c r="B135" s="786"/>
      <c r="C135" s="786"/>
      <c r="D135" s="790"/>
      <c r="E135" s="1423"/>
      <c r="F135" s="1423"/>
      <c r="G135" s="1424"/>
      <c r="H135" s="1425"/>
      <c r="I135" s="1426"/>
      <c r="J135" s="1424"/>
      <c r="K135" s="1426"/>
      <c r="L135" s="1424"/>
      <c r="M135" s="1426"/>
      <c r="N135" s="1424"/>
      <c r="O135" s="1426"/>
      <c r="P135" s="1427"/>
      <c r="Q135" s="1428"/>
      <c r="R135" s="1429"/>
      <c r="S135" s="1430"/>
    </row>
    <row r="136" spans="1:19" s="386" customFormat="1" ht="15" customHeight="1">
      <c r="A136" s="785" t="s">
        <v>3091</v>
      </c>
      <c r="B136" s="786"/>
      <c r="C136" s="786"/>
      <c r="D136" s="790"/>
      <c r="E136" s="1423"/>
      <c r="F136" s="1423"/>
      <c r="G136" s="1424"/>
      <c r="H136" s="1425"/>
      <c r="I136" s="1426"/>
      <c r="J136" s="1424"/>
      <c r="K136" s="1426"/>
      <c r="L136" s="1424"/>
      <c r="M136" s="1426"/>
      <c r="N136" s="1424"/>
      <c r="O136" s="1426"/>
      <c r="P136" s="1427"/>
      <c r="Q136" s="1428"/>
      <c r="R136" s="1429"/>
      <c r="S136" s="1430"/>
    </row>
    <row r="137" spans="1:19" s="386" customFormat="1" ht="15" customHeight="1">
      <c r="A137" s="785" t="s">
        <v>3092</v>
      </c>
      <c r="B137" s="786"/>
      <c r="C137" s="786"/>
      <c r="D137" s="790"/>
      <c r="E137" s="1423"/>
      <c r="F137" s="1423"/>
      <c r="G137" s="1424"/>
      <c r="H137" s="1425"/>
      <c r="I137" s="1426"/>
      <c r="J137" s="1424"/>
      <c r="K137" s="1426"/>
      <c r="L137" s="1424"/>
      <c r="M137" s="1426"/>
      <c r="N137" s="1424"/>
      <c r="O137" s="1426"/>
      <c r="P137" s="1427"/>
      <c r="Q137" s="1428"/>
      <c r="R137" s="1429"/>
      <c r="S137" s="1430"/>
    </row>
    <row r="138" spans="1:19" s="386" customFormat="1" ht="15" customHeight="1">
      <c r="A138" s="785" t="s">
        <v>3093</v>
      </c>
      <c r="B138" s="786"/>
      <c r="C138" s="786"/>
      <c r="D138" s="790"/>
      <c r="E138" s="1423"/>
      <c r="F138" s="1423"/>
      <c r="G138" s="1424"/>
      <c r="H138" s="1425"/>
      <c r="I138" s="1426"/>
      <c r="J138" s="1424"/>
      <c r="K138" s="1426"/>
      <c r="L138" s="1424"/>
      <c r="M138" s="1426"/>
      <c r="N138" s="1424"/>
      <c r="O138" s="1426"/>
      <c r="P138" s="1427"/>
      <c r="Q138" s="1428"/>
      <c r="R138" s="1429"/>
      <c r="S138" s="1430"/>
    </row>
    <row r="139" spans="1:19" s="386" customFormat="1" ht="15" customHeight="1">
      <c r="A139" s="785" t="s">
        <v>1986</v>
      </c>
      <c r="B139" s="786"/>
      <c r="C139" s="786"/>
      <c r="D139" s="790"/>
      <c r="E139" s="1423" t="s">
        <v>4070</v>
      </c>
      <c r="F139" s="1423" t="s">
        <v>4070</v>
      </c>
      <c r="G139" s="1424" t="s">
        <v>4070</v>
      </c>
      <c r="H139" s="1425"/>
      <c r="I139" s="1426"/>
      <c r="J139" s="1424" t="s">
        <v>4061</v>
      </c>
      <c r="K139" s="1426"/>
      <c r="L139" s="1424" t="s">
        <v>4070</v>
      </c>
      <c r="M139" s="1426"/>
      <c r="N139" s="1424" t="s">
        <v>4070</v>
      </c>
      <c r="O139" s="1426"/>
      <c r="P139" s="1427" t="s">
        <v>4125</v>
      </c>
      <c r="Q139" s="1428"/>
      <c r="R139" s="1429">
        <v>0</v>
      </c>
      <c r="S139" s="1430"/>
    </row>
    <row r="140" spans="1:19" s="386" customFormat="1" ht="15" customHeight="1">
      <c r="A140" s="794" t="s">
        <v>3094</v>
      </c>
      <c r="B140" s="795"/>
      <c r="C140" s="795"/>
      <c r="D140" s="437"/>
      <c r="E140" s="1431" t="s">
        <v>4070</v>
      </c>
      <c r="F140" s="1431" t="s">
        <v>4070</v>
      </c>
      <c r="G140" s="1432" t="s">
        <v>4070</v>
      </c>
      <c r="H140" s="1433"/>
      <c r="I140" s="1434"/>
      <c r="J140" s="1432" t="s">
        <v>4061</v>
      </c>
      <c r="K140" s="1434"/>
      <c r="L140" s="1432" t="s">
        <v>4070</v>
      </c>
      <c r="M140" s="1434"/>
      <c r="N140" s="1432" t="s">
        <v>4070</v>
      </c>
      <c r="O140" s="1434"/>
      <c r="P140" s="1435" t="s">
        <v>4125</v>
      </c>
      <c r="Q140" s="1436"/>
      <c r="R140" s="1437">
        <v>0</v>
      </c>
      <c r="S140" s="1438"/>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374" t="s">
        <v>4177</v>
      </c>
      <c r="B145" s="1375"/>
      <c r="C145" s="1375"/>
      <c r="D145" s="1375"/>
      <c r="E145" s="1375"/>
      <c r="F145" s="1375"/>
      <c r="G145" s="1375"/>
      <c r="H145" s="1375"/>
      <c r="I145" s="1375"/>
      <c r="J145" s="1375"/>
      <c r="K145" s="1375"/>
      <c r="L145" s="1375"/>
      <c r="M145" s="1376"/>
      <c r="N145" s="1377"/>
      <c r="O145" s="1378"/>
      <c r="P145" s="1378"/>
      <c r="Q145" s="1378"/>
      <c r="R145" s="1378"/>
      <c r="S145" s="1379"/>
      <c r="T145" s="816" t="s">
        <v>3593</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39" t="s">
        <v>2494</v>
      </c>
    </row>
    <row r="151" spans="1:24" s="386" customFormat="1" ht="12" customHeight="1">
      <c r="A151" s="431"/>
      <c r="B151" s="406"/>
      <c r="C151" s="406"/>
      <c r="D151" s="406"/>
      <c r="E151" s="406"/>
      <c r="F151" s="406"/>
      <c r="G151" s="406"/>
      <c r="H151" s="406"/>
      <c r="I151" s="406"/>
      <c r="J151" s="406"/>
      <c r="K151" s="406"/>
      <c r="L151" s="406"/>
      <c r="M151" s="406"/>
      <c r="N151" s="406"/>
      <c r="O151" s="406"/>
      <c r="P151" s="1440" t="s">
        <v>1232</v>
      </c>
    </row>
    <row r="152" spans="1:24" s="386" customFormat="1" ht="12" customHeight="1">
      <c r="A152" s="431"/>
      <c r="B152" s="406"/>
      <c r="C152" s="406"/>
      <c r="D152" s="406"/>
      <c r="E152" s="406"/>
      <c r="F152" s="406"/>
      <c r="G152" s="406"/>
      <c r="H152" s="406"/>
      <c r="I152" s="406"/>
      <c r="J152" s="406"/>
      <c r="K152" s="406"/>
      <c r="L152" s="406"/>
      <c r="M152" s="406"/>
      <c r="N152" s="406"/>
      <c r="O152" s="406"/>
      <c r="P152" s="1440" t="s">
        <v>1233</v>
      </c>
    </row>
    <row r="153" spans="1:24" s="386" customFormat="1" ht="12" customHeight="1">
      <c r="A153" s="431"/>
      <c r="B153" s="406"/>
      <c r="C153" s="406"/>
      <c r="D153" s="406"/>
      <c r="E153" s="406"/>
      <c r="F153" s="406"/>
      <c r="G153" s="406"/>
      <c r="H153" s="406"/>
      <c r="I153" s="406"/>
      <c r="J153" s="406"/>
      <c r="K153" s="406"/>
      <c r="L153" s="406"/>
      <c r="M153" s="406"/>
      <c r="N153" s="406"/>
      <c r="O153" s="406"/>
      <c r="P153" s="1440" t="s">
        <v>1234</v>
      </c>
    </row>
    <row r="154" spans="1:24" s="386" customFormat="1" ht="12" customHeight="1">
      <c r="A154" s="687"/>
      <c r="B154" s="406"/>
      <c r="C154" s="406"/>
      <c r="D154" s="406"/>
      <c r="E154" s="406"/>
      <c r="F154" s="406"/>
      <c r="G154" s="406"/>
      <c r="H154" s="406"/>
      <c r="I154" s="406"/>
      <c r="J154" s="406"/>
      <c r="K154" s="406"/>
      <c r="L154" s="406"/>
      <c r="M154" s="406"/>
      <c r="N154" s="406"/>
      <c r="O154" s="406"/>
      <c r="P154" s="1440" t="s">
        <v>1235</v>
      </c>
    </row>
    <row r="155" spans="1:24" s="386" customFormat="1" ht="12" customHeight="1">
      <c r="B155" s="406"/>
      <c r="C155" s="406"/>
      <c r="D155" s="406"/>
      <c r="E155" s="406"/>
      <c r="F155" s="406"/>
      <c r="G155" s="406"/>
      <c r="H155" s="406"/>
      <c r="I155" s="406"/>
      <c r="J155" s="406"/>
      <c r="K155" s="406"/>
      <c r="L155" s="406"/>
      <c r="M155" s="406"/>
      <c r="N155" s="406"/>
      <c r="O155" s="406"/>
      <c r="P155" s="1440" t="s">
        <v>1236</v>
      </c>
    </row>
    <row r="156" spans="1:24" s="386" customFormat="1" ht="12" customHeight="1">
      <c r="B156" s="406"/>
      <c r="C156" s="406"/>
      <c r="D156" s="406"/>
      <c r="E156" s="406"/>
      <c r="F156" s="406"/>
      <c r="G156" s="406"/>
      <c r="H156" s="406"/>
      <c r="I156" s="406"/>
      <c r="J156" s="406"/>
      <c r="K156" s="406"/>
      <c r="L156" s="406"/>
      <c r="M156" s="406"/>
      <c r="N156" s="406"/>
      <c r="O156" s="406"/>
      <c r="P156" s="1440" t="s">
        <v>1237</v>
      </c>
    </row>
    <row r="157" spans="1:24" s="386" customFormat="1" ht="12" customHeight="1">
      <c r="B157" s="406"/>
      <c r="C157" s="406"/>
      <c r="D157" s="406"/>
      <c r="E157" s="406"/>
      <c r="F157" s="406"/>
      <c r="G157" s="406"/>
      <c r="H157" s="406"/>
      <c r="I157" s="406"/>
      <c r="J157" s="406"/>
      <c r="K157" s="406"/>
      <c r="L157" s="406"/>
      <c r="M157" s="406"/>
      <c r="N157" s="406"/>
      <c r="O157" s="406"/>
      <c r="P157" s="1440" t="s">
        <v>1238</v>
      </c>
    </row>
    <row r="158" spans="1:24" s="386" customFormat="1" ht="12" customHeight="1">
      <c r="B158" s="406"/>
      <c r="C158" s="406"/>
      <c r="D158" s="406"/>
      <c r="E158" s="406"/>
      <c r="F158" s="406"/>
      <c r="G158" s="406"/>
      <c r="H158" s="406"/>
      <c r="I158" s="406"/>
      <c r="J158" s="406"/>
      <c r="K158" s="406"/>
      <c r="L158" s="406"/>
      <c r="M158" s="406"/>
      <c r="N158" s="406"/>
      <c r="O158" s="406"/>
      <c r="P158" s="1440" t="s">
        <v>1239</v>
      </c>
    </row>
    <row r="159" spans="1:24" ht="12" customHeight="1">
      <c r="P159" s="1440" t="s">
        <v>1240</v>
      </c>
    </row>
    <row r="160" spans="1:24" ht="12" customHeight="1">
      <c r="A160" s="415"/>
      <c r="P160" s="1440" t="s">
        <v>1241</v>
      </c>
    </row>
    <row r="161" spans="16:16" ht="12" customHeight="1">
      <c r="P161" s="1440" t="s">
        <v>1242</v>
      </c>
    </row>
    <row r="162" spans="16:16" ht="12" customHeight="1">
      <c r="P162" s="1440" t="s">
        <v>1243</v>
      </c>
    </row>
    <row r="163" spans="16:16" ht="12" customHeight="1">
      <c r="P163" s="1440" t="s">
        <v>1244</v>
      </c>
    </row>
    <row r="164" spans="16:16" ht="12" customHeight="1">
      <c r="P164" s="1440" t="s">
        <v>1245</v>
      </c>
    </row>
    <row r="165" spans="16:16" ht="12" customHeight="1">
      <c r="P165" s="1440" t="s">
        <v>1246</v>
      </c>
    </row>
    <row r="166" spans="16:16" ht="12" customHeight="1">
      <c r="P166" s="1440" t="s">
        <v>1247</v>
      </c>
    </row>
    <row r="167" spans="16:16" ht="12" customHeight="1">
      <c r="P167" s="1440" t="s">
        <v>1248</v>
      </c>
    </row>
    <row r="168" spans="16:16" ht="12" customHeight="1">
      <c r="P168" s="1440" t="s">
        <v>1249</v>
      </c>
    </row>
    <row r="169" spans="16:16" ht="12" customHeight="1">
      <c r="P169" s="1440" t="s">
        <v>1250</v>
      </c>
    </row>
    <row r="170" spans="16:16" ht="12" customHeight="1">
      <c r="P170" s="1440" t="s">
        <v>1251</v>
      </c>
    </row>
    <row r="171" spans="16:16" ht="12" customHeight="1">
      <c r="P171" s="1440" t="s">
        <v>1252</v>
      </c>
    </row>
    <row r="172" spans="16:16" ht="12" customHeight="1">
      <c r="P172" s="1440" t="s">
        <v>1253</v>
      </c>
    </row>
    <row r="173" spans="16:16" ht="12" customHeight="1">
      <c r="P173" s="1440" t="s">
        <v>1254</v>
      </c>
    </row>
    <row r="174" spans="16:16" ht="12" customHeight="1">
      <c r="P174" s="1440" t="s">
        <v>1255</v>
      </c>
    </row>
    <row r="175" spans="16:16" ht="12" customHeight="1">
      <c r="P175" s="1440" t="s">
        <v>1256</v>
      </c>
    </row>
    <row r="176" spans="16:16" ht="12" customHeight="1">
      <c r="P176" s="1440" t="s">
        <v>1776</v>
      </c>
    </row>
    <row r="177" spans="16:16" ht="12" customHeight="1">
      <c r="P177" s="1440" t="s">
        <v>1777</v>
      </c>
    </row>
    <row r="178" spans="16:16" ht="12" customHeight="1">
      <c r="P178" s="1440" t="s">
        <v>1778</v>
      </c>
    </row>
    <row r="179" spans="16:16" ht="12" customHeight="1">
      <c r="P179" s="1440" t="s">
        <v>1779</v>
      </c>
    </row>
    <row r="180" spans="16:16" ht="12" customHeight="1">
      <c r="P180" s="1440" t="s">
        <v>1780</v>
      </c>
    </row>
    <row r="181" spans="16:16" ht="13.5">
      <c r="P181" s="1440" t="s">
        <v>1781</v>
      </c>
    </row>
    <row r="182" spans="16:16" ht="12" customHeight="1">
      <c r="P182" s="1440" t="s">
        <v>1782</v>
      </c>
    </row>
    <row r="183" spans="16:16" ht="12" customHeight="1">
      <c r="P183" s="1440" t="s">
        <v>1783</v>
      </c>
    </row>
    <row r="184" spans="16:16" ht="12" customHeight="1">
      <c r="P184" s="1440" t="s">
        <v>1784</v>
      </c>
    </row>
    <row r="185" spans="16:16" ht="12" customHeight="1">
      <c r="P185" s="1440" t="s">
        <v>1785</v>
      </c>
    </row>
    <row r="186" spans="16:16" ht="12" customHeight="1">
      <c r="P186" s="1440" t="s">
        <v>1786</v>
      </c>
    </row>
    <row r="187" spans="16:16" ht="12" customHeight="1">
      <c r="P187" s="1440" t="s">
        <v>1787</v>
      </c>
    </row>
    <row r="188" spans="16:16" ht="12" customHeight="1">
      <c r="P188" s="1440" t="s">
        <v>1788</v>
      </c>
    </row>
    <row r="189" spans="16:16" ht="12" customHeight="1">
      <c r="P189" s="1440" t="s">
        <v>1789</v>
      </c>
    </row>
    <row r="190" spans="16:16" ht="12" customHeight="1">
      <c r="P190" s="1440" t="s">
        <v>1790</v>
      </c>
    </row>
    <row r="191" spans="16:16" ht="12" customHeight="1">
      <c r="P191" s="1440" t="s">
        <v>1791</v>
      </c>
    </row>
    <row r="192" spans="16:16" ht="12" customHeight="1">
      <c r="P192" s="1440" t="s">
        <v>1792</v>
      </c>
    </row>
    <row r="193" spans="16:16" ht="12" customHeight="1">
      <c r="P193" s="1440" t="s">
        <v>1793</v>
      </c>
    </row>
    <row r="194" spans="16:16" ht="12" customHeight="1">
      <c r="P194" s="1440" t="s">
        <v>1794</v>
      </c>
    </row>
    <row r="195" spans="16:16" ht="12" customHeight="1">
      <c r="P195" s="1440" t="s">
        <v>1795</v>
      </c>
    </row>
    <row r="196" spans="16:16" ht="12" customHeight="1">
      <c r="P196" s="1440" t="s">
        <v>1796</v>
      </c>
    </row>
    <row r="197" spans="16:16" ht="12" customHeight="1">
      <c r="P197" s="1440" t="s">
        <v>1797</v>
      </c>
    </row>
    <row r="198" spans="16:16" ht="12" customHeight="1">
      <c r="P198" s="1440" t="s">
        <v>1798</v>
      </c>
    </row>
    <row r="199" spans="16:16" ht="12" customHeight="1">
      <c r="P199" s="1440" t="s">
        <v>1799</v>
      </c>
    </row>
    <row r="200" spans="16:16" ht="12" customHeight="1">
      <c r="P200" s="1440" t="s">
        <v>1800</v>
      </c>
    </row>
    <row r="201" spans="16:16" ht="12" customHeight="1">
      <c r="P201" s="1440"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10" zoomScaleNormal="100" zoomScaleSheetLayoutView="90" workbookViewId="0">
      <selection activeCell="A10"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2013-005 The Villas at Stanford, Kennesaw, Cobb County</v>
      </c>
      <c r="B1" s="875"/>
      <c r="C1" s="875"/>
      <c r="D1" s="875"/>
      <c r="E1" s="875"/>
      <c r="F1" s="875"/>
      <c r="G1" s="875"/>
      <c r="H1" s="875"/>
      <c r="I1" s="875"/>
      <c r="J1" s="875"/>
      <c r="K1" s="875"/>
      <c r="L1" s="875"/>
      <c r="M1" s="875"/>
      <c r="N1" s="875"/>
      <c r="O1" s="875"/>
      <c r="P1" s="875"/>
      <c r="Q1" s="876"/>
      <c r="S1" s="882" t="str">
        <f>$A$1</f>
        <v>PART THREE - SOURCES OF FUNDS  -  2013-005 The Villas at Stanford, Kennesaw, Cobb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3271</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3546</v>
      </c>
      <c r="T4" s="883"/>
    </row>
    <row r="5" spans="1:20" s="351" customFormat="1" ht="16.899999999999999" customHeight="1">
      <c r="A5" s="687"/>
      <c r="B5" s="1307" t="s">
        <v>4061</v>
      </c>
      <c r="C5" s="778" t="s">
        <v>3173</v>
      </c>
      <c r="D5" s="386"/>
      <c r="E5" s="1307" t="s">
        <v>4070</v>
      </c>
      <c r="F5" s="783" t="s">
        <v>2343</v>
      </c>
      <c r="G5" s="386"/>
      <c r="J5" s="1441"/>
      <c r="K5" s="1442"/>
      <c r="M5" s="1307" t="s">
        <v>4070</v>
      </c>
      <c r="N5" s="386" t="s">
        <v>3408</v>
      </c>
      <c r="S5" s="1443"/>
      <c r="T5" s="1444"/>
    </row>
    <row r="6" spans="1:20" s="351" customFormat="1" ht="16.899999999999999" customHeight="1">
      <c r="A6" s="687"/>
      <c r="B6" s="1307" t="s">
        <v>4070</v>
      </c>
      <c r="C6" s="778" t="s">
        <v>2499</v>
      </c>
      <c r="D6" s="386"/>
      <c r="E6" s="1307" t="s">
        <v>4070</v>
      </c>
      <c r="F6" s="386" t="s">
        <v>3406</v>
      </c>
      <c r="H6" s="1307" t="s">
        <v>4070</v>
      </c>
      <c r="I6" s="392" t="s">
        <v>3405</v>
      </c>
      <c r="J6" s="778"/>
      <c r="K6" s="377"/>
      <c r="L6" s="377"/>
      <c r="M6" s="1307" t="s">
        <v>4070</v>
      </c>
      <c r="N6" s="778" t="s">
        <v>716</v>
      </c>
      <c r="Q6" s="765"/>
      <c r="S6" s="1445"/>
      <c r="T6" s="1446"/>
    </row>
    <row r="7" spans="1:20" s="351" customFormat="1" ht="16.899999999999999" customHeight="1">
      <c r="A7" s="386"/>
      <c r="B7" s="1307" t="s">
        <v>4070</v>
      </c>
      <c r="C7" s="778" t="s">
        <v>2500</v>
      </c>
      <c r="E7" s="1307" t="s">
        <v>4070</v>
      </c>
      <c r="F7" s="783" t="s">
        <v>2918</v>
      </c>
      <c r="G7" s="386"/>
      <c r="H7" s="1307" t="s">
        <v>4070</v>
      </c>
      <c r="I7" s="778" t="s">
        <v>1996</v>
      </c>
      <c r="J7" s="377"/>
      <c r="K7" s="1307" t="s">
        <v>4070</v>
      </c>
      <c r="L7" s="778" t="s">
        <v>718</v>
      </c>
      <c r="M7" s="1307" t="s">
        <v>4070</v>
      </c>
      <c r="N7" s="392" t="s">
        <v>3407</v>
      </c>
      <c r="Q7" s="766"/>
      <c r="S7" s="1445"/>
      <c r="T7" s="1446"/>
    </row>
    <row r="8" spans="1:20" s="351" customFormat="1" ht="16.899999999999999" customHeight="1">
      <c r="A8" s="687"/>
      <c r="B8" s="1307" t="s">
        <v>4070</v>
      </c>
      <c r="C8" s="786" t="s">
        <v>3397</v>
      </c>
      <c r="D8" s="386"/>
      <c r="E8" s="1307" t="s">
        <v>4070</v>
      </c>
      <c r="F8" s="411" t="s">
        <v>3398</v>
      </c>
      <c r="H8" s="1307" t="s">
        <v>4070</v>
      </c>
      <c r="I8" s="778" t="s">
        <v>717</v>
      </c>
      <c r="J8" s="377"/>
      <c r="K8" s="392"/>
      <c r="L8" s="424"/>
      <c r="M8" s="1307" t="s">
        <v>4061</v>
      </c>
      <c r="N8" s="1293" t="s">
        <v>4169</v>
      </c>
      <c r="O8" s="1294"/>
      <c r="P8" s="1294"/>
      <c r="Q8" s="1295"/>
      <c r="S8" s="1447"/>
      <c r="T8" s="1448"/>
    </row>
    <row r="9" spans="1:20" s="351" customFormat="1" ht="16.899999999999999" customHeight="1">
      <c r="A9" s="687"/>
      <c r="B9" s="351" t="s">
        <v>3948</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3076</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2575</v>
      </c>
      <c r="C13" s="386"/>
      <c r="D13" s="386"/>
      <c r="E13" s="386"/>
      <c r="F13" s="386"/>
      <c r="G13" s="386"/>
      <c r="H13" s="902" t="s">
        <v>1731</v>
      </c>
      <c r="I13" s="902"/>
      <c r="J13" s="902"/>
      <c r="K13" s="902"/>
      <c r="L13" s="831" t="s">
        <v>2701</v>
      </c>
      <c r="M13" s="831"/>
      <c r="N13" s="831" t="s">
        <v>1964</v>
      </c>
      <c r="O13" s="831"/>
      <c r="P13" s="831" t="s">
        <v>2233</v>
      </c>
      <c r="Q13" s="831"/>
      <c r="S13" s="883" t="s">
        <v>3546</v>
      </c>
      <c r="T13" s="883"/>
    </row>
    <row r="14" spans="1:20" s="351" customFormat="1" ht="16.899999999999999" customHeight="1">
      <c r="A14" s="386"/>
      <c r="B14" s="886" t="s">
        <v>2051</v>
      </c>
      <c r="C14" s="887"/>
      <c r="D14" s="887"/>
      <c r="E14" s="788"/>
      <c r="F14" s="788"/>
      <c r="G14" s="788"/>
      <c r="H14" s="1293" t="s">
        <v>4178</v>
      </c>
      <c r="I14" s="1294"/>
      <c r="J14" s="1294"/>
      <c r="K14" s="1295"/>
      <c r="L14" s="1449">
        <v>6349511</v>
      </c>
      <c r="M14" s="1450"/>
      <c r="N14" s="1451">
        <v>4.7500000000000001E-2</v>
      </c>
      <c r="O14" s="1452"/>
      <c r="P14" s="1453">
        <v>24</v>
      </c>
      <c r="Q14" s="1454"/>
      <c r="S14" s="1443"/>
      <c r="T14" s="1444"/>
    </row>
    <row r="15" spans="1:20" s="351" customFormat="1" ht="16.899999999999999" customHeight="1">
      <c r="A15" s="386"/>
      <c r="B15" s="884" t="s">
        <v>2052</v>
      </c>
      <c r="C15" s="885"/>
      <c r="D15" s="885"/>
      <c r="E15" s="786"/>
      <c r="F15" s="786"/>
      <c r="G15" s="786"/>
      <c r="H15" s="1293" t="s">
        <v>2514</v>
      </c>
      <c r="I15" s="1294"/>
      <c r="J15" s="1294"/>
      <c r="K15" s="1295"/>
      <c r="L15" s="1449">
        <v>220000</v>
      </c>
      <c r="M15" s="1450"/>
      <c r="N15" s="1451">
        <v>2.4500000000000001E-2</v>
      </c>
      <c r="O15" s="1452"/>
      <c r="P15" s="1455">
        <v>24</v>
      </c>
      <c r="Q15" s="1456"/>
      <c r="S15" s="1445"/>
      <c r="T15" s="1446"/>
    </row>
    <row r="16" spans="1:20" s="351" customFormat="1" ht="16.899999999999999" customHeight="1">
      <c r="A16" s="386"/>
      <c r="B16" s="891" t="s">
        <v>2053</v>
      </c>
      <c r="C16" s="892"/>
      <c r="D16" s="892"/>
      <c r="E16" s="795"/>
      <c r="F16" s="795"/>
      <c r="G16" s="795"/>
      <c r="H16" s="1293" t="s">
        <v>4166</v>
      </c>
      <c r="I16" s="1294"/>
      <c r="J16" s="1294"/>
      <c r="K16" s="1295"/>
      <c r="L16" s="1449">
        <v>333000</v>
      </c>
      <c r="M16" s="1450"/>
      <c r="N16" s="1451">
        <v>5.0000000000000001E-3</v>
      </c>
      <c r="O16" s="1452"/>
      <c r="P16" s="1455">
        <v>24</v>
      </c>
      <c r="Q16" s="1456"/>
      <c r="S16" s="1445"/>
      <c r="T16" s="1446"/>
    </row>
    <row r="17" spans="1:20" s="351" customFormat="1" ht="16.899999999999999" customHeight="1">
      <c r="A17" s="386"/>
      <c r="B17" s="886" t="s">
        <v>2936</v>
      </c>
      <c r="C17" s="887"/>
      <c r="D17" s="887"/>
      <c r="E17" s="786"/>
      <c r="F17" s="786"/>
      <c r="G17" s="786"/>
      <c r="H17" s="1293"/>
      <c r="I17" s="1294"/>
      <c r="J17" s="1294"/>
      <c r="K17" s="1295"/>
      <c r="L17" s="1449"/>
      <c r="M17" s="1450"/>
      <c r="N17" s="888"/>
      <c r="O17" s="889"/>
      <c r="P17" s="890"/>
      <c r="Q17" s="890"/>
      <c r="S17" s="1445"/>
      <c r="T17" s="1446"/>
    </row>
    <row r="18" spans="1:20" s="351" customFormat="1" ht="16.899999999999999" customHeight="1">
      <c r="A18" s="386"/>
      <c r="B18" s="884" t="s">
        <v>1194</v>
      </c>
      <c r="C18" s="885"/>
      <c r="D18" s="885"/>
      <c r="E18" s="786"/>
      <c r="H18" s="1293"/>
      <c r="I18" s="1294"/>
      <c r="J18" s="1294"/>
      <c r="K18" s="1295"/>
      <c r="L18" s="1449"/>
      <c r="M18" s="1450"/>
      <c r="N18" s="888"/>
      <c r="O18" s="889"/>
      <c r="P18" s="890"/>
      <c r="Q18" s="890"/>
      <c r="S18" s="1445"/>
      <c r="T18" s="1446"/>
    </row>
    <row r="19" spans="1:20" s="351" customFormat="1" ht="16.899999999999999" customHeight="1">
      <c r="A19" s="386"/>
      <c r="B19" s="884" t="s">
        <v>821</v>
      </c>
      <c r="C19" s="885"/>
      <c r="D19" s="885"/>
      <c r="E19" s="786"/>
      <c r="H19" s="1293"/>
      <c r="I19" s="1294"/>
      <c r="J19" s="1294"/>
      <c r="K19" s="1295"/>
      <c r="L19" s="1449"/>
      <c r="M19" s="1450"/>
      <c r="N19" s="888"/>
      <c r="O19" s="889"/>
      <c r="P19" s="890"/>
      <c r="Q19" s="890"/>
      <c r="S19" s="1445"/>
      <c r="T19" s="1446"/>
    </row>
    <row r="20" spans="1:20" s="351" customFormat="1" ht="16.899999999999999" customHeight="1">
      <c r="A20" s="386"/>
      <c r="B20" s="884" t="s">
        <v>1195</v>
      </c>
      <c r="C20" s="885"/>
      <c r="D20" s="885"/>
      <c r="E20" s="786"/>
      <c r="H20" s="1293" t="s">
        <v>4171</v>
      </c>
      <c r="I20" s="1294"/>
      <c r="J20" s="1294"/>
      <c r="K20" s="1295"/>
      <c r="L20" s="1449">
        <v>2827740</v>
      </c>
      <c r="M20" s="1450"/>
      <c r="N20" s="386"/>
      <c r="O20" s="386"/>
      <c r="P20" s="386"/>
      <c r="Q20" s="386"/>
      <c r="S20" s="1447"/>
      <c r="T20" s="1448"/>
    </row>
    <row r="21" spans="1:20" s="351" customFormat="1" ht="16.899999999999999" customHeight="1">
      <c r="A21" s="386"/>
      <c r="B21" s="884" t="s">
        <v>1196</v>
      </c>
      <c r="C21" s="885"/>
      <c r="D21" s="885"/>
      <c r="E21" s="786"/>
      <c r="H21" s="1293" t="s">
        <v>4167</v>
      </c>
      <c r="I21" s="1294"/>
      <c r="J21" s="1294"/>
      <c r="K21" s="1295"/>
      <c r="L21" s="1449">
        <v>1103508</v>
      </c>
      <c r="M21" s="1450"/>
      <c r="N21" s="386"/>
      <c r="O21" s="386"/>
      <c r="P21" s="386"/>
      <c r="Q21" s="386"/>
      <c r="S21" s="1443"/>
      <c r="T21" s="1444"/>
    </row>
    <row r="22" spans="1:20" s="351" customFormat="1" ht="16.899999999999999" customHeight="1">
      <c r="A22" s="386"/>
      <c r="B22" s="785" t="s">
        <v>265</v>
      </c>
      <c r="C22" s="786"/>
      <c r="D22" s="1457"/>
      <c r="E22" s="1457"/>
      <c r="F22" s="1457"/>
      <c r="G22" s="1457"/>
      <c r="H22" s="1293"/>
      <c r="I22" s="1294"/>
      <c r="J22" s="1294"/>
      <c r="K22" s="1295"/>
      <c r="L22" s="1449"/>
      <c r="M22" s="1450"/>
      <c r="N22" s="386"/>
      <c r="O22" s="386"/>
      <c r="P22" s="386"/>
      <c r="Q22" s="386"/>
      <c r="S22" s="1445"/>
      <c r="T22" s="1446"/>
    </row>
    <row r="23" spans="1:20" s="351" customFormat="1" ht="16.899999999999999" customHeight="1">
      <c r="A23" s="386"/>
      <c r="B23" s="785" t="s">
        <v>265</v>
      </c>
      <c r="C23" s="786"/>
      <c r="D23" s="1457"/>
      <c r="E23" s="1457"/>
      <c r="F23" s="1457"/>
      <c r="G23" s="1457"/>
      <c r="H23" s="1293"/>
      <c r="I23" s="1294"/>
      <c r="J23" s="1294"/>
      <c r="K23" s="1295"/>
      <c r="L23" s="1449"/>
      <c r="M23" s="1450"/>
      <c r="N23" s="386"/>
      <c r="O23" s="386"/>
      <c r="P23" s="386"/>
      <c r="Q23" s="386"/>
      <c r="S23" s="1445"/>
      <c r="T23" s="1446"/>
    </row>
    <row r="24" spans="1:20" s="351" customFormat="1" ht="16.899999999999999" customHeight="1">
      <c r="A24" s="386"/>
      <c r="B24" s="794" t="s">
        <v>265</v>
      </c>
      <c r="C24" s="795"/>
      <c r="D24" s="1457"/>
      <c r="E24" s="1457"/>
      <c r="F24" s="1457"/>
      <c r="G24" s="1457"/>
      <c r="H24" s="1293"/>
      <c r="I24" s="1294"/>
      <c r="J24" s="1294"/>
      <c r="K24" s="1295"/>
      <c r="L24" s="1449"/>
      <c r="M24" s="1450"/>
      <c r="N24" s="386"/>
      <c r="O24" s="386"/>
      <c r="P24" s="386"/>
      <c r="Q24" s="386"/>
      <c r="S24" s="1445"/>
      <c r="T24" s="1446"/>
    </row>
    <row r="25" spans="1:20" s="351" customFormat="1" ht="16.899999999999999" customHeight="1">
      <c r="A25" s="386"/>
      <c r="B25" s="350" t="s">
        <v>1732</v>
      </c>
      <c r="C25" s="386"/>
      <c r="D25" s="386"/>
      <c r="E25" s="386"/>
      <c r="F25" s="386"/>
      <c r="G25" s="386"/>
      <c r="H25" s="386"/>
      <c r="I25" s="386"/>
      <c r="L25" s="907">
        <f>SUM(L14:L24)</f>
        <v>10833759</v>
      </c>
      <c r="M25" s="908"/>
      <c r="N25" s="406"/>
      <c r="O25" s="406"/>
      <c r="P25" s="406"/>
      <c r="Q25" s="406"/>
      <c r="S25" s="1445"/>
      <c r="T25" s="1446"/>
    </row>
    <row r="26" spans="1:20" s="351" customFormat="1" ht="16.899999999999999" customHeight="1">
      <c r="A26" s="386"/>
      <c r="B26" s="778" t="s">
        <v>1733</v>
      </c>
      <c r="C26" s="386"/>
      <c r="D26" s="386"/>
      <c r="E26" s="386"/>
      <c r="F26" s="386"/>
      <c r="G26" s="386"/>
      <c r="H26" s="386"/>
      <c r="I26" s="386"/>
      <c r="L26" s="1458">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8655275</v>
      </c>
      <c r="M26" s="1459"/>
      <c r="N26" s="905"/>
      <c r="O26" s="906"/>
      <c r="P26" s="906"/>
      <c r="Q26" s="906"/>
      <c r="S26" s="1445"/>
      <c r="T26" s="1446"/>
    </row>
    <row r="27" spans="1:20" s="351" customFormat="1" ht="16.899999999999999" customHeight="1">
      <c r="A27" s="386"/>
      <c r="B27" s="392" t="s">
        <v>2872</v>
      </c>
      <c r="C27" s="386"/>
      <c r="D27" s="386"/>
      <c r="E27" s="386"/>
      <c r="F27" s="386"/>
      <c r="G27" s="386"/>
      <c r="H27" s="386"/>
      <c r="I27" s="386"/>
      <c r="L27" s="909">
        <f>L25-L26</f>
        <v>2178484</v>
      </c>
      <c r="M27" s="910"/>
      <c r="N27" s="905"/>
      <c r="O27" s="906"/>
      <c r="P27" s="906"/>
      <c r="Q27" s="906"/>
      <c r="S27" s="1447"/>
      <c r="T27" s="1448"/>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2813</v>
      </c>
      <c r="K30" s="792" t="s">
        <v>1729</v>
      </c>
      <c r="L30" s="792" t="s">
        <v>1734</v>
      </c>
      <c r="M30" s="826" t="s">
        <v>37</v>
      </c>
      <c r="N30" s="826"/>
      <c r="O30" s="781"/>
      <c r="P30" s="792"/>
      <c r="Q30" s="900" t="s">
        <v>3073</v>
      </c>
      <c r="S30" s="440"/>
    </row>
    <row r="31" spans="1:20" s="351" customFormat="1" ht="13.15" customHeight="1">
      <c r="A31" s="386"/>
      <c r="B31" s="791" t="s">
        <v>2575</v>
      </c>
      <c r="C31" s="795"/>
      <c r="D31" s="795"/>
      <c r="E31" s="885" t="s">
        <v>1731</v>
      </c>
      <c r="F31" s="885"/>
      <c r="G31" s="885"/>
      <c r="H31" s="831" t="s">
        <v>622</v>
      </c>
      <c r="I31" s="831"/>
      <c r="J31" s="780" t="s">
        <v>2504</v>
      </c>
      <c r="K31" s="780" t="s">
        <v>2935</v>
      </c>
      <c r="L31" s="780" t="s">
        <v>2935</v>
      </c>
      <c r="M31" s="1460"/>
      <c r="N31" s="1460"/>
      <c r="O31" s="831" t="s">
        <v>78</v>
      </c>
      <c r="P31" s="831"/>
      <c r="Q31" s="901"/>
      <c r="S31" s="883" t="s">
        <v>3546</v>
      </c>
      <c r="T31" s="883"/>
    </row>
    <row r="32" spans="1:20" s="351" customFormat="1" ht="13.15" customHeight="1">
      <c r="A32" s="386"/>
      <c r="B32" s="886" t="s">
        <v>3412</v>
      </c>
      <c r="C32" s="887"/>
      <c r="D32" s="887"/>
      <c r="E32" s="1330" t="s">
        <v>4178</v>
      </c>
      <c r="F32" s="1461"/>
      <c r="G32" s="1462"/>
      <c r="H32" s="1463">
        <v>452640</v>
      </c>
      <c r="I32" s="1464"/>
      <c r="J32" s="1465">
        <v>7.0000000000000007E-2</v>
      </c>
      <c r="K32" s="1307">
        <v>10</v>
      </c>
      <c r="L32" s="1307">
        <v>10</v>
      </c>
      <c r="M32" s="1466">
        <f t="shared" ref="M32:M37" si="0">IF(OR(H32&lt;=0,H32=""),"",IF(O32="Amortizing",-PMT(J32/12,L32*12,H32,0,0)*12,""))</f>
        <v>63066.410440221589</v>
      </c>
      <c r="N32" s="1467"/>
      <c r="O32" s="1289" t="s">
        <v>4143</v>
      </c>
      <c r="P32" s="1290"/>
      <c r="Q32" s="1468">
        <v>1.4</v>
      </c>
      <c r="S32" s="1443"/>
      <c r="T32" s="1444"/>
    </row>
    <row r="33" spans="1:20" s="351" customFormat="1" ht="13.15" customHeight="1">
      <c r="A33" s="386"/>
      <c r="B33" s="884" t="s">
        <v>3413</v>
      </c>
      <c r="C33" s="885"/>
      <c r="D33" s="885"/>
      <c r="E33" s="1298" t="s">
        <v>4168</v>
      </c>
      <c r="F33" s="1469"/>
      <c r="G33" s="1470"/>
      <c r="H33" s="1471">
        <v>220000</v>
      </c>
      <c r="I33" s="1464"/>
      <c r="J33" s="1465">
        <v>2.4500000000000001E-2</v>
      </c>
      <c r="K33" s="1307">
        <v>10</v>
      </c>
      <c r="L33" s="1307">
        <v>10</v>
      </c>
      <c r="M33" s="1466">
        <f t="shared" ref="M33" si="1">IF(OR(H33&lt;=0,H33=""),"",IF(O33="Amortizing",-PMT(J33/12,L33*12,H33,0,0)*12,""))</f>
        <v>24827.274747576244</v>
      </c>
      <c r="N33" s="1467"/>
      <c r="O33" s="1289" t="s">
        <v>4143</v>
      </c>
      <c r="P33" s="1290"/>
      <c r="Q33" s="1468">
        <v>1.4</v>
      </c>
      <c r="S33" s="1445"/>
      <c r="T33" s="1446"/>
    </row>
    <row r="34" spans="1:20" s="351" customFormat="1" ht="13.15" customHeight="1">
      <c r="A34" s="386"/>
      <c r="B34" s="884" t="s">
        <v>3414</v>
      </c>
      <c r="C34" s="885"/>
      <c r="D34" s="885"/>
      <c r="E34" s="1293" t="s">
        <v>4166</v>
      </c>
      <c r="F34" s="1472"/>
      <c r="G34" s="1464"/>
      <c r="H34" s="1471">
        <v>330000</v>
      </c>
      <c r="I34" s="1464"/>
      <c r="J34" s="1465">
        <v>5.0000000000000001E-3</v>
      </c>
      <c r="K34" s="1307">
        <v>10</v>
      </c>
      <c r="L34" s="1307">
        <v>10</v>
      </c>
      <c r="M34" s="1466">
        <f t="shared" si="0"/>
        <v>33838.747804512597</v>
      </c>
      <c r="N34" s="1467"/>
      <c r="O34" s="1289" t="s">
        <v>4143</v>
      </c>
      <c r="P34" s="1290"/>
      <c r="Q34" s="1468">
        <v>1.4</v>
      </c>
      <c r="S34" s="1445"/>
      <c r="T34" s="1446"/>
    </row>
    <row r="35" spans="1:20" s="351" customFormat="1" ht="13.15" customHeight="1">
      <c r="A35" s="386"/>
      <c r="B35" s="785" t="s">
        <v>1046</v>
      </c>
      <c r="C35" s="1330"/>
      <c r="D35" s="1332"/>
      <c r="E35" s="1293"/>
      <c r="F35" s="1472"/>
      <c r="G35" s="1464"/>
      <c r="H35" s="1471"/>
      <c r="I35" s="1464"/>
      <c r="J35" s="1465"/>
      <c r="K35" s="1307"/>
      <c r="L35" s="1307"/>
      <c r="M35" s="1466" t="str">
        <f t="shared" si="0"/>
        <v/>
      </c>
      <c r="N35" s="1467"/>
      <c r="O35" s="1289"/>
      <c r="P35" s="1290"/>
      <c r="Q35" s="1468"/>
      <c r="S35" s="1445"/>
      <c r="T35" s="1446"/>
    </row>
    <row r="36" spans="1:20" s="351" customFormat="1" ht="13.15" customHeight="1">
      <c r="A36" s="386"/>
      <c r="B36" s="785" t="s">
        <v>3770</v>
      </c>
      <c r="C36" s="786"/>
      <c r="D36" s="790"/>
      <c r="E36" s="1293"/>
      <c r="F36" s="1472"/>
      <c r="G36" s="1464"/>
      <c r="H36" s="1471"/>
      <c r="I36" s="1464"/>
      <c r="J36" s="648"/>
      <c r="K36" s="784"/>
      <c r="L36" s="784"/>
      <c r="M36" s="917" t="str">
        <f t="shared" si="0"/>
        <v/>
      </c>
      <c r="N36" s="917"/>
      <c r="O36" s="916"/>
      <c r="P36" s="916"/>
      <c r="Q36" s="649"/>
      <c r="S36" s="1445"/>
      <c r="T36" s="1446"/>
    </row>
    <row r="37" spans="1:20" s="351" customFormat="1" ht="13.15" customHeight="1">
      <c r="A37" s="386"/>
      <c r="B37" s="794" t="s">
        <v>249</v>
      </c>
      <c r="C37" s="795"/>
      <c r="D37" s="475" t="str">
        <f>IF(OR(H37="",H37=0,'Part IV-Uses of Funds'!$G$115="",'Part IV-Uses of Funds'!$G$115=0),"",H37/'Part IV-Uses of Funds'!$G$115)</f>
        <v/>
      </c>
      <c r="E37" s="1293"/>
      <c r="F37" s="1472"/>
      <c r="G37" s="1464"/>
      <c r="H37" s="1471"/>
      <c r="I37" s="1464"/>
      <c r="J37" s="1465"/>
      <c r="K37" s="1307"/>
      <c r="L37" s="1307"/>
      <c r="M37" s="1466" t="str">
        <f t="shared" si="0"/>
        <v/>
      </c>
      <c r="N37" s="1467"/>
      <c r="O37" s="1289"/>
      <c r="P37" s="1290"/>
      <c r="Q37" s="1468"/>
      <c r="S37" s="1445"/>
      <c r="T37" s="1446"/>
    </row>
    <row r="38" spans="1:20" s="351" customFormat="1" ht="13.15" customHeight="1">
      <c r="A38" s="386"/>
      <c r="B38" s="886" t="s">
        <v>2936</v>
      </c>
      <c r="C38" s="887"/>
      <c r="D38" s="911"/>
      <c r="E38" s="1293"/>
      <c r="F38" s="1472"/>
      <c r="G38" s="1464"/>
      <c r="H38" s="1473"/>
      <c r="I38" s="1474"/>
      <c r="K38" s="476"/>
      <c r="L38" s="476"/>
      <c r="M38" s="476"/>
      <c r="N38" s="476"/>
      <c r="O38" s="476"/>
      <c r="P38" s="476"/>
      <c r="Q38" s="476"/>
      <c r="S38" s="1443"/>
      <c r="T38" s="1444"/>
    </row>
    <row r="39" spans="1:20" s="351" customFormat="1" ht="13.15" customHeight="1">
      <c r="A39" s="386"/>
      <c r="B39" s="884" t="s">
        <v>1194</v>
      </c>
      <c r="C39" s="885"/>
      <c r="D39" s="893"/>
      <c r="E39" s="1293"/>
      <c r="F39" s="1472"/>
      <c r="G39" s="1464"/>
      <c r="H39" s="1473"/>
      <c r="I39" s="1474"/>
      <c r="J39" s="896" t="s">
        <v>684</v>
      </c>
      <c r="K39" s="897"/>
      <c r="L39" s="895" t="s">
        <v>685</v>
      </c>
      <c r="M39" s="895"/>
      <c r="O39" s="528" t="s">
        <v>683</v>
      </c>
      <c r="P39" s="477"/>
      <c r="Q39" s="476"/>
      <c r="S39" s="1445"/>
      <c r="T39" s="1446"/>
    </row>
    <row r="40" spans="1:20" s="351" customFormat="1" ht="13.15" customHeight="1">
      <c r="A40" s="386"/>
      <c r="B40" s="884" t="s">
        <v>1195</v>
      </c>
      <c r="C40" s="885"/>
      <c r="D40" s="893"/>
      <c r="E40" s="1293" t="s">
        <v>4171</v>
      </c>
      <c r="F40" s="1294"/>
      <c r="G40" s="1295"/>
      <c r="H40" s="1471">
        <v>7069349</v>
      </c>
      <c r="I40" s="1475"/>
      <c r="J40" s="898">
        <f>'Part IV-Uses of Funds'!$J$172*10*'Part IV-Uses of Funds'!$N$165</f>
        <v>7069343</v>
      </c>
      <c r="K40" s="899"/>
      <c r="L40" s="894">
        <f>H40-J40</f>
        <v>6</v>
      </c>
      <c r="M40" s="894"/>
      <c r="O40" s="529" t="s">
        <v>3356</v>
      </c>
      <c r="P40" s="477"/>
      <c r="Q40" s="476"/>
      <c r="S40" s="1445"/>
      <c r="T40" s="1446"/>
    </row>
    <row r="41" spans="1:20" s="351" customFormat="1" ht="13.15" customHeight="1">
      <c r="A41" s="386"/>
      <c r="B41" s="884" t="s">
        <v>1196</v>
      </c>
      <c r="C41" s="885"/>
      <c r="D41" s="893"/>
      <c r="E41" s="1293" t="s">
        <v>4167</v>
      </c>
      <c r="F41" s="1294"/>
      <c r="G41" s="1295"/>
      <c r="H41" s="1471">
        <v>2758771</v>
      </c>
      <c r="I41" s="1475"/>
      <c r="J41" s="898">
        <f>'Part IV-Uses of Funds'!$J$172*10*'Part IV-Uses of Funds'!$Q$165</f>
        <v>2758768</v>
      </c>
      <c r="K41" s="899"/>
      <c r="L41" s="894">
        <f>H41-J41</f>
        <v>3</v>
      </c>
      <c r="M41" s="894"/>
      <c r="O41" s="530">
        <f>H40/H50</f>
        <v>0.65271033611676377</v>
      </c>
      <c r="P41" s="477"/>
      <c r="Q41" s="476"/>
      <c r="S41" s="1445"/>
      <c r="T41" s="1446"/>
    </row>
    <row r="42" spans="1:20" s="351" customFormat="1" ht="13.15" customHeight="1">
      <c r="A42" s="386"/>
      <c r="B42" s="884" t="s">
        <v>1850</v>
      </c>
      <c r="C42" s="885"/>
      <c r="D42" s="893"/>
      <c r="E42" s="1293"/>
      <c r="F42" s="1294"/>
      <c r="G42" s="1295"/>
      <c r="H42" s="1471"/>
      <c r="I42" s="1475"/>
      <c r="M42" s="477"/>
      <c r="O42" s="530">
        <f>H41/H50</f>
        <v>0.25471628953092856</v>
      </c>
      <c r="P42" s="477"/>
      <c r="Q42" s="476"/>
      <c r="S42" s="1447"/>
      <c r="T42" s="1448"/>
    </row>
    <row r="43" spans="1:20" s="351" customFormat="1" ht="13.15" customHeight="1">
      <c r="A43" s="386"/>
      <c r="B43" s="785" t="s">
        <v>698</v>
      </c>
      <c r="C43" s="786"/>
      <c r="D43" s="790"/>
      <c r="E43" s="1293"/>
      <c r="F43" s="1294"/>
      <c r="G43" s="1295"/>
      <c r="H43" s="1471"/>
      <c r="I43" s="1475"/>
      <c r="K43" s="386"/>
      <c r="L43" s="386"/>
      <c r="M43" s="477"/>
      <c r="O43" s="531">
        <f>SUM(O41:O42)</f>
        <v>0.90742662564769239</v>
      </c>
      <c r="P43" s="477"/>
      <c r="Q43" s="476"/>
      <c r="S43" s="1445"/>
      <c r="T43" s="1446"/>
    </row>
    <row r="44" spans="1:20" s="351" customFormat="1" ht="13.15" customHeight="1">
      <c r="A44" s="386"/>
      <c r="B44" s="785" t="s">
        <v>2573</v>
      </c>
      <c r="C44" s="786"/>
      <c r="D44" s="790"/>
      <c r="E44" s="1293"/>
      <c r="F44" s="1294"/>
      <c r="G44" s="1295"/>
      <c r="H44" s="1471"/>
      <c r="I44" s="1475"/>
      <c r="J44" s="386"/>
      <c r="M44" s="477"/>
      <c r="N44" s="477"/>
      <c r="O44" s="477"/>
      <c r="P44" s="477"/>
      <c r="Q44" s="476"/>
      <c r="S44" s="1445"/>
      <c r="T44" s="1446"/>
    </row>
    <row r="45" spans="1:20" s="351" customFormat="1" ht="13.15" customHeight="1">
      <c r="A45" s="386"/>
      <c r="B45" s="785" t="s">
        <v>2574</v>
      </c>
      <c r="C45" s="786"/>
      <c r="D45" s="790"/>
      <c r="E45" s="1293"/>
      <c r="F45" s="1294"/>
      <c r="G45" s="1295"/>
      <c r="H45" s="1471"/>
      <c r="I45" s="1475"/>
      <c r="J45" s="386"/>
      <c r="M45" s="477"/>
      <c r="N45" s="477"/>
      <c r="O45" s="477"/>
      <c r="P45" s="477"/>
      <c r="Q45" s="476"/>
      <c r="S45" s="1445"/>
      <c r="T45" s="1446"/>
    </row>
    <row r="46" spans="1:20" s="351" customFormat="1" ht="13.15" customHeight="1">
      <c r="A46" s="386"/>
      <c r="B46" s="785" t="s">
        <v>1046</v>
      </c>
      <c r="C46" s="1293"/>
      <c r="D46" s="1295"/>
      <c r="E46" s="1293"/>
      <c r="F46" s="1294"/>
      <c r="G46" s="1295"/>
      <c r="H46" s="1471"/>
      <c r="I46" s="1475"/>
      <c r="J46" s="386"/>
      <c r="M46" s="477"/>
      <c r="N46" s="477"/>
      <c r="O46" s="477"/>
      <c r="P46" s="477"/>
      <c r="Q46" s="476"/>
      <c r="S46" s="1445"/>
      <c r="T46" s="1446"/>
    </row>
    <row r="47" spans="1:20" s="351" customFormat="1" ht="13.15" customHeight="1">
      <c r="A47" s="386"/>
      <c r="B47" s="785" t="s">
        <v>1046</v>
      </c>
      <c r="C47" s="1293"/>
      <c r="D47" s="1295"/>
      <c r="E47" s="1293"/>
      <c r="F47" s="1294"/>
      <c r="G47" s="1295"/>
      <c r="H47" s="1471"/>
      <c r="I47" s="1475"/>
      <c r="J47" s="386"/>
      <c r="K47" s="386"/>
      <c r="L47" s="478"/>
      <c r="M47" s="477"/>
      <c r="N47" s="477"/>
      <c r="O47" s="477"/>
      <c r="P47" s="477"/>
      <c r="Q47" s="476"/>
      <c r="S47" s="1445"/>
      <c r="T47" s="1446"/>
    </row>
    <row r="48" spans="1:20" s="351" customFormat="1" ht="13.15" customHeight="1">
      <c r="A48" s="386"/>
      <c r="B48" s="794" t="s">
        <v>1046</v>
      </c>
      <c r="C48" s="1293"/>
      <c r="D48" s="1295"/>
      <c r="E48" s="1293"/>
      <c r="F48" s="1294"/>
      <c r="G48" s="1295"/>
      <c r="H48" s="1471"/>
      <c r="I48" s="1475"/>
      <c r="J48" s="386"/>
      <c r="K48" s="386"/>
      <c r="L48" s="478"/>
      <c r="M48" s="477"/>
      <c r="N48" s="477"/>
      <c r="O48" s="477"/>
      <c r="P48" s="477"/>
      <c r="Q48" s="476"/>
      <c r="S48" s="1445"/>
      <c r="T48" s="1446"/>
    </row>
    <row r="49" spans="1:23" s="351" customFormat="1" ht="13.15" customHeight="1">
      <c r="A49" s="386"/>
      <c r="B49" s="778" t="s">
        <v>2937</v>
      </c>
      <c r="C49" s="386"/>
      <c r="D49" s="386"/>
      <c r="E49" s="386"/>
      <c r="F49" s="386"/>
      <c r="G49" s="386"/>
      <c r="H49" s="914">
        <f>SUM(H32:I48)</f>
        <v>10830760</v>
      </c>
      <c r="I49" s="915"/>
      <c r="J49" s="406"/>
      <c r="K49" s="386"/>
      <c r="L49" s="478"/>
      <c r="M49" s="477"/>
      <c r="N49" s="477"/>
      <c r="O49" s="477"/>
      <c r="P49" s="477"/>
      <c r="Q49" s="476"/>
      <c r="S49" s="1445"/>
      <c r="T49" s="1446"/>
    </row>
    <row r="50" spans="1:23" s="351" customFormat="1" ht="13.15" customHeight="1" thickBot="1">
      <c r="A50" s="386"/>
      <c r="B50" s="778" t="s">
        <v>2938</v>
      </c>
      <c r="C50" s="386"/>
      <c r="D50" s="386"/>
      <c r="E50" s="386"/>
      <c r="F50" s="386"/>
      <c r="G50" s="386"/>
      <c r="H50" s="912">
        <f>'Part IV-Uses of Funds'!$G$129</f>
        <v>10830760</v>
      </c>
      <c r="I50" s="913"/>
      <c r="J50" s="406"/>
      <c r="K50" s="386"/>
      <c r="L50" s="478"/>
      <c r="M50" s="477"/>
      <c r="N50" s="477"/>
      <c r="O50" s="477"/>
      <c r="P50" s="477"/>
      <c r="Q50" s="476"/>
      <c r="S50" s="1445"/>
      <c r="T50" s="1446"/>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47"/>
      <c r="T51" s="1448"/>
    </row>
    <row r="52" spans="1:23" s="351" customFormat="1" ht="13.15" customHeight="1">
      <c r="A52" s="386" t="s">
        <v>3771</v>
      </c>
      <c r="B52" s="392"/>
      <c r="C52" s="386"/>
      <c r="D52" s="386"/>
      <c r="E52" s="386"/>
      <c r="F52" s="386"/>
      <c r="G52" s="386"/>
      <c r="H52" s="469"/>
      <c r="I52" s="469"/>
      <c r="J52" s="406"/>
      <c r="K52" s="386"/>
      <c r="L52" s="478"/>
      <c r="M52" s="477"/>
      <c r="N52" s="477"/>
      <c r="O52" s="477"/>
      <c r="P52" s="477"/>
      <c r="Q52" s="476"/>
      <c r="S52" s="1476"/>
      <c r="T52" s="1476"/>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74"/>
      <c r="B56" s="1477"/>
      <c r="C56" s="1477"/>
      <c r="D56" s="1477"/>
      <c r="E56" s="1477"/>
      <c r="F56" s="1477"/>
      <c r="G56" s="1477"/>
      <c r="H56" s="1477"/>
      <c r="I56" s="1477"/>
      <c r="J56" s="1478"/>
      <c r="K56" s="1377"/>
      <c r="L56" s="1477"/>
      <c r="M56" s="1477"/>
      <c r="N56" s="1477"/>
      <c r="O56" s="1477"/>
      <c r="P56" s="1477"/>
      <c r="Q56" s="1478"/>
      <c r="S56" s="881" t="s">
        <v>3593</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5"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2013-005 The Villas at Stanford, Kennesaw, Cobb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2981</v>
      </c>
      <c r="B5" s="40"/>
      <c r="C5" s="333"/>
      <c r="D5" s="334">
        <f>IF(C5&gt;1500000,1500000,0)</f>
        <v>0</v>
      </c>
      <c r="E5" s="335">
        <f>IF(C5&gt;1500000,C5-1500000,0)</f>
        <v>0</v>
      </c>
    </row>
    <row r="6" spans="1:17">
      <c r="A6" s="40" t="s">
        <v>3243</v>
      </c>
      <c r="B6" s="272" t="s">
        <v>640</v>
      </c>
      <c r="C6" s="336">
        <v>0</v>
      </c>
      <c r="D6" s="143" t="s">
        <v>641</v>
      </c>
      <c r="E6" s="40"/>
    </row>
    <row r="7" spans="1:17">
      <c r="A7" s="40"/>
      <c r="B7" s="272" t="s">
        <v>3259</v>
      </c>
      <c r="C7" s="337"/>
      <c r="D7" s="143" t="s">
        <v>2344</v>
      </c>
      <c r="E7" s="40"/>
    </row>
    <row r="8" spans="1:17" ht="13.15" customHeight="1">
      <c r="A8" s="40" t="s">
        <v>3247</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3260</v>
      </c>
      <c r="B16" s="261" t="s">
        <v>3257</v>
      </c>
      <c r="C16" s="261" t="s">
        <v>3258</v>
      </c>
      <c r="D16" s="929" t="s">
        <v>2980</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2013-005 The Villas at Stanford, Kennesaw, Cobb County</v>
      </c>
      <c r="B58" s="921"/>
      <c r="C58" s="921"/>
      <c r="D58" s="921"/>
      <c r="E58" s="921"/>
      <c r="F58" s="921"/>
      <c r="G58" s="921" t="str">
        <f>CONCATENATE('Part I-Project Information'!$O$4," ",'Part I-Project Information'!$F$23,", ",'Part I-Project Information'!$F$26,", ",'Part I-Project Information'!$J$27," County")</f>
        <v>2013-005 The Villas at Stanford, Kennesaw, Cobb County</v>
      </c>
      <c r="H58" s="921"/>
      <c r="I58" s="921"/>
      <c r="J58" s="921"/>
      <c r="K58" s="921"/>
      <c r="L58" s="921"/>
    </row>
    <row r="59" spans="1:12" ht="15">
      <c r="A59" s="918" t="s">
        <v>3251</v>
      </c>
      <c r="B59" s="918"/>
      <c r="C59" s="918"/>
      <c r="D59" s="918"/>
      <c r="E59" s="918"/>
      <c r="F59" s="918"/>
      <c r="G59" s="918" t="s">
        <v>3251</v>
      </c>
      <c r="H59" s="918"/>
      <c r="I59" s="918"/>
      <c r="J59" s="918"/>
      <c r="K59" s="918"/>
      <c r="L59" s="918"/>
    </row>
    <row r="60" spans="1:12" ht="6" customHeight="1">
      <c r="C60" s="245"/>
      <c r="D60" s="245"/>
      <c r="I60" s="245"/>
      <c r="J60" s="245"/>
    </row>
    <row r="61" spans="1:12">
      <c r="A61" s="248" t="s">
        <v>3252</v>
      </c>
      <c r="B61" s="249" t="s">
        <v>3253</v>
      </c>
      <c r="C61" s="249" t="s">
        <v>1728</v>
      </c>
      <c r="D61" s="249" t="s">
        <v>3254</v>
      </c>
      <c r="E61" s="248" t="s">
        <v>3255</v>
      </c>
      <c r="F61" s="280" t="s">
        <v>3260</v>
      </c>
      <c r="G61" s="248" t="s">
        <v>3252</v>
      </c>
      <c r="H61" s="249" t="s">
        <v>3253</v>
      </c>
      <c r="I61" s="249" t="s">
        <v>1728</v>
      </c>
      <c r="J61" s="249" t="s">
        <v>3254</v>
      </c>
      <c r="K61" s="248" t="s">
        <v>3255</v>
      </c>
      <c r="L61" s="280" t="s">
        <v>3260</v>
      </c>
    </row>
    <row r="62" spans="1:12" ht="3.6" customHeight="1">
      <c r="A62" s="251"/>
      <c r="B62" s="142"/>
      <c r="C62" s="142"/>
      <c r="D62" s="142"/>
      <c r="E62" s="142"/>
      <c r="F62" s="97"/>
      <c r="G62" s="251"/>
      <c r="H62" s="142"/>
      <c r="I62" s="142"/>
      <c r="J62" s="142"/>
      <c r="K62" s="142"/>
      <c r="L62" s="97"/>
    </row>
    <row r="63" spans="1:12">
      <c r="A63" s="252" t="s">
        <v>3256</v>
      </c>
      <c r="B63" s="253"/>
      <c r="C63" s="253"/>
      <c r="D63" s="253"/>
      <c r="E63" s="254">
        <f>IF($C$5&gt;1500000,$D$5,$C$5)</f>
        <v>0</v>
      </c>
      <c r="F63" s="97"/>
      <c r="G63" s="252" t="s">
        <v>3256</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2013-005 The Villas at Stanford, Kennesaw, Cobb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2981</v>
      </c>
      <c r="D5" s="278"/>
      <c r="E5" s="930" t="s">
        <v>1353</v>
      </c>
      <c r="F5" s="931"/>
      <c r="G5" s="197"/>
    </row>
    <row r="6" spans="1:17">
      <c r="E6" s="931"/>
      <c r="F6" s="931"/>
      <c r="G6" s="197"/>
    </row>
    <row r="7" spans="1:17">
      <c r="A7" s="31" t="s">
        <v>3243</v>
      </c>
      <c r="C7" s="31" t="s">
        <v>3244</v>
      </c>
      <c r="D7" s="279"/>
      <c r="E7" s="931"/>
      <c r="F7" s="931"/>
      <c r="G7" s="197"/>
    </row>
    <row r="8" spans="1:17">
      <c r="C8" s="31" t="s">
        <v>3245</v>
      </c>
      <c r="D8" s="279"/>
      <c r="E8" s="931"/>
      <c r="F8" s="931"/>
      <c r="G8" s="197"/>
    </row>
    <row r="9" spans="1:17">
      <c r="C9" s="31" t="s">
        <v>3246</v>
      </c>
      <c r="D9" s="279"/>
      <c r="E9" s="931"/>
      <c r="F9" s="931"/>
      <c r="G9" s="197"/>
    </row>
    <row r="10" spans="1:17">
      <c r="C10" s="31" t="s">
        <v>3259</v>
      </c>
      <c r="D10" s="287">
        <f>D7+D8+D9</f>
        <v>0</v>
      </c>
      <c r="E10" s="931"/>
      <c r="F10" s="931"/>
      <c r="G10" s="197"/>
    </row>
    <row r="11" spans="1:17">
      <c r="F11" s="197"/>
      <c r="G11" s="197"/>
    </row>
    <row r="12" spans="1:17">
      <c r="A12" s="31" t="s">
        <v>2408</v>
      </c>
      <c r="D12" s="277"/>
      <c r="E12" s="31" t="s">
        <v>2848</v>
      </c>
      <c r="F12" s="197"/>
      <c r="G12" s="197"/>
    </row>
    <row r="13" spans="1:17">
      <c r="D13" s="245"/>
      <c r="F13" s="197"/>
      <c r="G13" s="197"/>
    </row>
    <row r="14" spans="1:17">
      <c r="A14" s="31" t="s">
        <v>3248</v>
      </c>
      <c r="D14" s="276"/>
      <c r="E14" s="31" t="s">
        <v>3249</v>
      </c>
      <c r="F14" s="288"/>
    </row>
    <row r="15" spans="1:17">
      <c r="D15" s="265"/>
      <c r="F15" s="288"/>
    </row>
    <row r="16" spans="1:17">
      <c r="A16" s="31" t="s">
        <v>3250</v>
      </c>
      <c r="D16" s="276"/>
      <c r="E16" s="31" t="s">
        <v>3249</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2980</v>
      </c>
      <c r="D26" s="285"/>
      <c r="E26" s="97"/>
      <c r="F26" s="932" t="s">
        <v>2980</v>
      </c>
      <c r="J26" s="290"/>
    </row>
    <row r="27" spans="1:10">
      <c r="A27" s="291" t="s">
        <v>3260</v>
      </c>
      <c r="B27" s="86" t="s">
        <v>1429</v>
      </c>
      <c r="C27" s="933"/>
      <c r="D27" s="292" t="s">
        <v>3260</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2013-005 The Villas at Stanford, Kennesaw, Cobb County</v>
      </c>
      <c r="B50" s="921"/>
      <c r="C50" s="921"/>
      <c r="D50" s="921"/>
      <c r="E50" s="921"/>
      <c r="F50" s="921"/>
      <c r="G50" s="272"/>
      <c r="H50" s="272"/>
    </row>
    <row r="51" spans="1:10" ht="15">
      <c r="A51" s="918" t="s">
        <v>3251</v>
      </c>
      <c r="B51" s="918"/>
      <c r="C51" s="918"/>
      <c r="D51" s="918"/>
      <c r="E51" s="918"/>
      <c r="F51" s="918"/>
      <c r="G51" s="302"/>
      <c r="H51" s="302"/>
      <c r="I51" s="302"/>
      <c r="J51" s="302"/>
    </row>
    <row r="52" spans="1:10" ht="5.45" customHeight="1">
      <c r="C52" s="245"/>
      <c r="D52" s="245"/>
      <c r="G52" s="250"/>
      <c r="H52" s="244"/>
      <c r="I52" s="250"/>
    </row>
    <row r="53" spans="1:10">
      <c r="A53" s="248" t="s">
        <v>3252</v>
      </c>
      <c r="B53" s="248" t="s">
        <v>3253</v>
      </c>
      <c r="C53" s="248" t="s">
        <v>1728</v>
      </c>
      <c r="D53" s="248" t="s">
        <v>3254</v>
      </c>
      <c r="E53" s="248" t="s">
        <v>3255</v>
      </c>
      <c r="F53" s="280" t="s">
        <v>3260</v>
      </c>
      <c r="G53" s="303"/>
      <c r="H53" s="303"/>
      <c r="I53" s="303"/>
    </row>
    <row r="54" spans="1:10" ht="3.6" customHeight="1">
      <c r="F54" s="97"/>
      <c r="G54" s="250"/>
      <c r="H54" s="244"/>
      <c r="I54" s="250"/>
    </row>
    <row r="55" spans="1:10">
      <c r="A55" s="31" t="s">
        <v>3256</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2013-005 The Villas at Stanford, Kennesaw, Cobb County</v>
      </c>
      <c r="B1" s="992"/>
      <c r="C1" s="992"/>
      <c r="D1" s="992"/>
      <c r="E1" s="992"/>
      <c r="F1" s="992"/>
      <c r="G1" s="992"/>
      <c r="H1" s="992"/>
      <c r="I1" s="992"/>
      <c r="J1" s="992"/>
      <c r="K1" s="992"/>
      <c r="L1" s="992"/>
      <c r="M1" s="992"/>
      <c r="N1" s="992"/>
      <c r="O1" s="992"/>
      <c r="P1" s="992"/>
      <c r="Q1" s="992"/>
      <c r="R1" s="992"/>
      <c r="S1" s="992"/>
      <c r="T1" s="992"/>
      <c r="V1" s="990" t="str">
        <f>A1</f>
        <v>PART FOUR -  USES OF FUNDS  -  2013-005 The Villas at Stanford, Kennesaw, Cobb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3546</v>
      </c>
      <c r="W6" s="1004"/>
    </row>
    <row r="7" spans="1:23" s="386" customFormat="1" ht="13.15" customHeight="1">
      <c r="B7" s="389" t="s">
        <v>108</v>
      </c>
      <c r="O7" s="687" t="str">
        <f>B7</f>
        <v>PRE-DEVELOPMENT COSTS</v>
      </c>
      <c r="V7" s="386" t="str">
        <f>B7</f>
        <v>PRE-DEVELOPMENT COSTS</v>
      </c>
    </row>
    <row r="8" spans="1:23" s="386" customFormat="1" ht="12.6" customHeight="1">
      <c r="B8" s="386" t="s">
        <v>2711</v>
      </c>
      <c r="G8" s="1449">
        <v>8500</v>
      </c>
      <c r="H8" s="1450"/>
      <c r="J8" s="1449">
        <v>8500</v>
      </c>
      <c r="K8" s="1450"/>
      <c r="L8" s="796"/>
      <c r="M8" s="1449"/>
      <c r="N8" s="1450"/>
      <c r="P8" s="1449"/>
      <c r="Q8" s="1450"/>
      <c r="S8" s="1449"/>
      <c r="T8" s="1450"/>
      <c r="V8" s="1479"/>
      <c r="W8" s="1480"/>
    </row>
    <row r="9" spans="1:23" s="386" customFormat="1" ht="12.6" customHeight="1">
      <c r="B9" s="386" t="s">
        <v>584</v>
      </c>
      <c r="G9" s="1449">
        <v>9000</v>
      </c>
      <c r="H9" s="1450"/>
      <c r="J9" s="1449">
        <v>9000</v>
      </c>
      <c r="K9" s="1450"/>
      <c r="L9" s="796"/>
      <c r="M9" s="1449"/>
      <c r="N9" s="1450"/>
      <c r="P9" s="1449"/>
      <c r="Q9" s="1450"/>
      <c r="S9" s="1449"/>
      <c r="T9" s="1450"/>
      <c r="V9" s="1481"/>
      <c r="W9" s="1482"/>
    </row>
    <row r="10" spans="1:23" s="386" customFormat="1" ht="12.6" customHeight="1">
      <c r="B10" s="386" t="s">
        <v>620</v>
      </c>
      <c r="G10" s="1449">
        <v>10000</v>
      </c>
      <c r="H10" s="1450"/>
      <c r="J10" s="1449">
        <v>10000</v>
      </c>
      <c r="K10" s="1450"/>
      <c r="L10" s="796"/>
      <c r="M10" s="1449"/>
      <c r="N10" s="1450"/>
      <c r="P10" s="1449"/>
      <c r="Q10" s="1450"/>
      <c r="S10" s="1449"/>
      <c r="T10" s="1450"/>
      <c r="V10" s="1481"/>
      <c r="W10" s="1482"/>
    </row>
    <row r="11" spans="1:23" s="386" customFormat="1" ht="12.6" customHeight="1">
      <c r="B11" s="386" t="s">
        <v>621</v>
      </c>
      <c r="G11" s="1449">
        <v>10000</v>
      </c>
      <c r="H11" s="1450"/>
      <c r="J11" s="1449">
        <v>10000</v>
      </c>
      <c r="K11" s="1450"/>
      <c r="L11" s="796"/>
      <c r="M11" s="1449"/>
      <c r="N11" s="1450"/>
      <c r="P11" s="1449"/>
      <c r="Q11" s="1450"/>
      <c r="S11" s="1449"/>
      <c r="T11" s="1450"/>
      <c r="V11" s="1481"/>
      <c r="W11" s="1482"/>
    </row>
    <row r="12" spans="1:23" s="386" customFormat="1" ht="12.6" customHeight="1">
      <c r="B12" s="386" t="s">
        <v>3280</v>
      </c>
      <c r="G12" s="1449">
        <v>12000</v>
      </c>
      <c r="H12" s="1450"/>
      <c r="J12" s="1449">
        <v>12000</v>
      </c>
      <c r="K12" s="1450"/>
      <c r="L12" s="796"/>
      <c r="M12" s="1449"/>
      <c r="N12" s="1450"/>
      <c r="P12" s="1449"/>
      <c r="Q12" s="1450"/>
      <c r="S12" s="1449"/>
      <c r="T12" s="1450"/>
      <c r="V12" s="1481"/>
      <c r="W12" s="1482"/>
    </row>
    <row r="13" spans="1:23" s="386" customFormat="1" ht="12.6" customHeight="1">
      <c r="B13" s="386" t="s">
        <v>208</v>
      </c>
      <c r="G13" s="1449">
        <f>3400+2500</f>
        <v>5900</v>
      </c>
      <c r="H13" s="1450"/>
      <c r="J13" s="1449">
        <f>3400+2500</f>
        <v>5900</v>
      </c>
      <c r="K13" s="1450"/>
      <c r="L13" s="796"/>
      <c r="M13" s="1449"/>
      <c r="N13" s="1450"/>
      <c r="P13" s="1449"/>
      <c r="Q13" s="1450"/>
      <c r="S13" s="1449"/>
      <c r="T13" s="1450"/>
      <c r="V13" s="1481"/>
      <c r="W13" s="1482"/>
    </row>
    <row r="14" spans="1:23" s="386" customFormat="1" ht="12.6" customHeight="1">
      <c r="A14" s="480" t="str">
        <f>IF(AND(G14&gt;0,OR(C14="",C14="&lt;Enter detailed description here; use Comments section if needed&gt;")),"X","")</f>
        <v/>
      </c>
      <c r="B14" s="386" t="s">
        <v>1046</v>
      </c>
      <c r="C14" s="1299" t="s">
        <v>3179</v>
      </c>
      <c r="D14" s="1299"/>
      <c r="E14" s="1299"/>
      <c r="F14" s="1300"/>
      <c r="G14" s="1449"/>
      <c r="H14" s="1450"/>
      <c r="J14" s="1449"/>
      <c r="K14" s="1450"/>
      <c r="L14" s="796"/>
      <c r="M14" s="1449"/>
      <c r="N14" s="1450"/>
      <c r="P14" s="1449"/>
      <c r="Q14" s="1450"/>
      <c r="S14" s="1449"/>
      <c r="T14" s="1450"/>
      <c r="U14" s="479" t="str">
        <f>IF(AND(G14&gt;0,OR(C14="",C14="&lt;Enter detailed description here; use Comments section if needed&gt;")),"NO DESCRIPTION PROVIDED - please enter detailed description in Other box at left; use Comments section below if needed.","")</f>
        <v/>
      </c>
      <c r="V14" s="1481"/>
      <c r="W14" s="1482"/>
    </row>
    <row r="15" spans="1:23" s="386" customFormat="1" ht="12.6" customHeight="1">
      <c r="A15" s="480" t="str">
        <f>IF(AND(G15&gt;0,OR(C15="",C15="&lt;Enter detailed description here; use Comments section if needed&gt;")),"X","")</f>
        <v/>
      </c>
      <c r="B15" s="386" t="s">
        <v>1046</v>
      </c>
      <c r="C15" s="1299" t="s">
        <v>3179</v>
      </c>
      <c r="D15" s="1299"/>
      <c r="E15" s="1299"/>
      <c r="F15" s="1300"/>
      <c r="G15" s="1449"/>
      <c r="H15" s="1450"/>
      <c r="J15" s="1449"/>
      <c r="K15" s="1450"/>
      <c r="L15" s="796"/>
      <c r="M15" s="1449"/>
      <c r="N15" s="1450"/>
      <c r="P15" s="1449"/>
      <c r="Q15" s="1450"/>
      <c r="S15" s="1449"/>
      <c r="T15" s="1450"/>
      <c r="U15" s="479" t="str">
        <f>IF(AND(G15&gt;0,OR(C15="",C15="&lt;Enter detailed description here; use Comments section if needed&gt;")),"NO DESCRIPTION PROVIDED - please enter detailed description in Other box at left; use Comments section below if needed.","")</f>
        <v/>
      </c>
      <c r="V15" s="1481"/>
      <c r="W15" s="1482"/>
    </row>
    <row r="16" spans="1:23" s="386" customFormat="1" ht="12.6" customHeight="1" thickBot="1">
      <c r="A16" s="480" t="str">
        <f>IF(AND(G16&gt;0,OR(C16="",C16="&lt;Enter detailed description here; use Comments section if needed&gt;")),"X","")</f>
        <v/>
      </c>
      <c r="B16" s="386" t="s">
        <v>1046</v>
      </c>
      <c r="C16" s="1299" t="s">
        <v>3179</v>
      </c>
      <c r="D16" s="1299"/>
      <c r="E16" s="1299"/>
      <c r="F16" s="1300"/>
      <c r="G16" s="1449"/>
      <c r="H16" s="1450"/>
      <c r="J16" s="1449"/>
      <c r="K16" s="1450"/>
      <c r="L16" s="796"/>
      <c r="M16" s="1449"/>
      <c r="N16" s="1450"/>
      <c r="P16" s="1449"/>
      <c r="Q16" s="1450"/>
      <c r="S16" s="1483"/>
      <c r="T16" s="1484"/>
      <c r="U16" s="479" t="str">
        <f>IF(AND(G16&gt;0,OR(C16="",C16="&lt;Enter detailed description here; use Comments section if needed&gt;")),"NO DESCRIPTION PROVIDED - please enter detailed description in Other box at left; use Comments section below if needed.","")</f>
        <v/>
      </c>
      <c r="V16" s="1481"/>
      <c r="W16" s="1482"/>
    </row>
    <row r="17" spans="2:23" s="386" customFormat="1" ht="12.6" customHeight="1" thickTop="1">
      <c r="F17" s="446" t="s">
        <v>209</v>
      </c>
      <c r="G17" s="943">
        <f>SUM(G8:H16)</f>
        <v>55400</v>
      </c>
      <c r="H17" s="944"/>
      <c r="J17" s="943">
        <f>SUM(J8:K16)</f>
        <v>55400</v>
      </c>
      <c r="K17" s="1005"/>
      <c r="L17" s="796"/>
      <c r="M17" s="943">
        <f>SUM(M8:N16)</f>
        <v>0</v>
      </c>
      <c r="N17" s="944"/>
      <c r="P17" s="943">
        <f>SUM(P8:Q16)</f>
        <v>0</v>
      </c>
      <c r="Q17" s="944"/>
      <c r="S17" s="943">
        <f>SUM(S8:T16)</f>
        <v>0</v>
      </c>
      <c r="T17" s="944"/>
      <c r="V17" s="1485"/>
      <c r="W17" s="1486"/>
    </row>
    <row r="18" spans="2:23" s="386" customFormat="1" ht="13.15" customHeight="1">
      <c r="B18" s="389" t="s">
        <v>2914</v>
      </c>
      <c r="J18" s="445"/>
      <c r="K18" s="445"/>
      <c r="M18" s="445"/>
      <c r="N18" s="445"/>
      <c r="O18" s="447" t="str">
        <f>B18</f>
        <v>ACQUISITION</v>
      </c>
      <c r="P18" s="445"/>
      <c r="Q18" s="445"/>
      <c r="S18" s="445"/>
      <c r="T18" s="445"/>
      <c r="V18" s="386" t="str">
        <f>B18</f>
        <v>ACQUISITION</v>
      </c>
    </row>
    <row r="19" spans="2:23" s="386" customFormat="1" ht="12.6" customHeight="1">
      <c r="B19" s="386" t="s">
        <v>2915</v>
      </c>
      <c r="G19" s="1449">
        <v>400000</v>
      </c>
      <c r="H19" s="1450"/>
      <c r="J19" s="448"/>
      <c r="K19" s="445"/>
      <c r="L19" s="448"/>
      <c r="M19" s="448"/>
      <c r="N19" s="445"/>
      <c r="P19" s="448"/>
      <c r="Q19" s="445"/>
      <c r="S19" s="1449"/>
      <c r="T19" s="1450"/>
      <c r="V19" s="1479"/>
      <c r="W19" s="1480"/>
    </row>
    <row r="20" spans="2:23" s="386" customFormat="1" ht="12.6" customHeight="1">
      <c r="B20" s="386" t="s">
        <v>1527</v>
      </c>
      <c r="G20" s="1449"/>
      <c r="H20" s="1450"/>
      <c r="J20" s="448"/>
      <c r="K20" s="445"/>
      <c r="L20" s="448"/>
      <c r="M20" s="448"/>
      <c r="N20" s="445"/>
      <c r="P20" s="448"/>
      <c r="Q20" s="445"/>
      <c r="S20" s="1449"/>
      <c r="T20" s="1450"/>
      <c r="V20" s="1481"/>
      <c r="W20" s="1482"/>
    </row>
    <row r="21" spans="2:23" s="386" customFormat="1" ht="12.6" customHeight="1">
      <c r="B21" s="386" t="s">
        <v>585</v>
      </c>
      <c r="G21" s="1449"/>
      <c r="H21" s="1450"/>
      <c r="J21" s="448"/>
      <c r="K21" s="445"/>
      <c r="L21" s="448"/>
      <c r="M21" s="1449"/>
      <c r="N21" s="1450"/>
      <c r="P21" s="448"/>
      <c r="Q21" s="445"/>
      <c r="S21" s="1449"/>
      <c r="T21" s="1450"/>
      <c r="V21" s="1481"/>
      <c r="W21" s="1482"/>
    </row>
    <row r="22" spans="2:23" s="386" customFormat="1" ht="12.6" customHeight="1" thickBot="1">
      <c r="B22" s="386" t="s">
        <v>553</v>
      </c>
      <c r="G22" s="1487"/>
      <c r="H22" s="1488"/>
      <c r="J22" s="448"/>
      <c r="K22" s="445"/>
      <c r="L22" s="448"/>
      <c r="M22" s="1487"/>
      <c r="N22" s="1488"/>
      <c r="P22" s="448"/>
      <c r="Q22" s="445"/>
      <c r="S22" s="1449"/>
      <c r="T22" s="1450"/>
      <c r="V22" s="1481"/>
      <c r="W22" s="1482"/>
    </row>
    <row r="23" spans="2:23" s="386" customFormat="1" ht="12.6" customHeight="1" thickTop="1">
      <c r="F23" s="446" t="s">
        <v>209</v>
      </c>
      <c r="G23" s="943">
        <f>SUM(G19:H22)</f>
        <v>400000</v>
      </c>
      <c r="H23" s="944"/>
      <c r="J23" s="448"/>
      <c r="K23" s="445"/>
      <c r="L23" s="448"/>
      <c r="M23" s="943">
        <f>SUM(M21:N22)</f>
        <v>0</v>
      </c>
      <c r="N23" s="944"/>
      <c r="P23" s="448"/>
      <c r="Q23" s="445"/>
      <c r="S23" s="943">
        <f>SUM(S19:T22)</f>
        <v>0</v>
      </c>
      <c r="T23" s="944"/>
      <c r="V23" s="1485"/>
      <c r="W23" s="1486"/>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49">
        <v>1480000</v>
      </c>
      <c r="H25" s="1450"/>
      <c r="J25" s="1449">
        <v>1480000</v>
      </c>
      <c r="K25" s="1450"/>
      <c r="L25" s="796"/>
      <c r="M25" s="1483"/>
      <c r="N25" s="1484"/>
      <c r="P25" s="1483"/>
      <c r="Q25" s="1484"/>
      <c r="S25" s="1449"/>
      <c r="T25" s="1450"/>
      <c r="V25" s="1479"/>
      <c r="W25" s="1480"/>
    </row>
    <row r="26" spans="2:23" s="386" customFormat="1" ht="12.6" customHeight="1" thickBot="1">
      <c r="B26" s="386" t="s">
        <v>1530</v>
      </c>
      <c r="G26" s="1449"/>
      <c r="H26" s="1450"/>
      <c r="J26" s="1483"/>
      <c r="K26" s="1484"/>
      <c r="L26" s="449"/>
      <c r="M26" s="989"/>
      <c r="N26" s="989"/>
      <c r="P26" s="989"/>
      <c r="Q26" s="989"/>
      <c r="S26" s="1449"/>
      <c r="T26" s="1450"/>
      <c r="V26" s="1481"/>
      <c r="W26" s="1482"/>
    </row>
    <row r="27" spans="2:23" s="386" customFormat="1" ht="12.6" customHeight="1" thickTop="1">
      <c r="F27" s="446" t="s">
        <v>209</v>
      </c>
      <c r="G27" s="943">
        <f>SUM(G25:H26)</f>
        <v>1480000</v>
      </c>
      <c r="H27" s="944"/>
      <c r="J27" s="943">
        <f>SUM(J25:K26)</f>
        <v>1480000</v>
      </c>
      <c r="K27" s="944"/>
      <c r="L27" s="448"/>
      <c r="M27" s="943">
        <f>M25</f>
        <v>0</v>
      </c>
      <c r="N27" s="944"/>
      <c r="P27" s="943">
        <f>P25</f>
        <v>0</v>
      </c>
      <c r="Q27" s="944"/>
      <c r="S27" s="943">
        <f>SUM(S25:T26)</f>
        <v>0</v>
      </c>
      <c r="T27" s="944"/>
      <c r="V27" s="1485"/>
      <c r="W27" s="1486"/>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49">
        <v>4698030</v>
      </c>
      <c r="H29" s="1450"/>
      <c r="J29" s="1449">
        <v>4698030</v>
      </c>
      <c r="K29" s="1450"/>
      <c r="L29" s="796"/>
      <c r="M29" s="1449"/>
      <c r="N29" s="1450"/>
      <c r="P29" s="1449"/>
      <c r="Q29" s="1450"/>
      <c r="S29" s="1449"/>
      <c r="T29" s="1450"/>
      <c r="V29" s="1479"/>
      <c r="W29" s="1480"/>
    </row>
    <row r="30" spans="2:23" s="386" customFormat="1" ht="12.6" customHeight="1">
      <c r="B30" s="386" t="s">
        <v>1533</v>
      </c>
      <c r="G30" s="1449"/>
      <c r="H30" s="1450"/>
      <c r="J30" s="1449"/>
      <c r="K30" s="1450"/>
      <c r="L30" s="796"/>
      <c r="M30" s="1449"/>
      <c r="N30" s="1450"/>
      <c r="P30" s="1449"/>
      <c r="Q30" s="1450"/>
      <c r="S30" s="1449"/>
      <c r="T30" s="1450"/>
      <c r="V30" s="1481"/>
      <c r="W30" s="1482"/>
    </row>
    <row r="31" spans="2:23" ht="12.6" customHeight="1" thickBot="1">
      <c r="B31" s="386" t="s">
        <v>1534</v>
      </c>
      <c r="G31" s="1449"/>
      <c r="H31" s="1450"/>
      <c r="I31" s="386"/>
      <c r="J31" s="1449"/>
      <c r="K31" s="1450"/>
      <c r="L31" s="796"/>
      <c r="M31" s="1449"/>
      <c r="N31" s="1450"/>
      <c r="O31" s="386"/>
      <c r="P31" s="1449"/>
      <c r="Q31" s="1450"/>
      <c r="R31" s="386"/>
      <c r="S31" s="1449"/>
      <c r="T31" s="1450"/>
      <c r="V31" s="1481"/>
      <c r="W31" s="1482"/>
    </row>
    <row r="32" spans="2:23" s="386" customFormat="1" ht="12.6" customHeight="1" thickTop="1">
      <c r="C32" s="957"/>
      <c r="D32" s="957"/>
      <c r="E32" s="798"/>
      <c r="F32" s="446" t="s">
        <v>209</v>
      </c>
      <c r="G32" s="943">
        <f>SUM(G29:H31)</f>
        <v>4698030</v>
      </c>
      <c r="H32" s="944"/>
      <c r="J32" s="943">
        <f>SUM(J29:K31)</f>
        <v>4698030</v>
      </c>
      <c r="K32" s="944"/>
      <c r="L32" s="796"/>
      <c r="M32" s="943">
        <f>SUM(M29:N31)</f>
        <v>0</v>
      </c>
      <c r="N32" s="944"/>
      <c r="P32" s="943">
        <f>SUM(P29:Q31)</f>
        <v>0</v>
      </c>
      <c r="Q32" s="944"/>
      <c r="S32" s="943">
        <f>SUM(S29:T31)</f>
        <v>0</v>
      </c>
      <c r="T32" s="944"/>
      <c r="V32" s="1485"/>
      <c r="W32" s="1486"/>
    </row>
    <row r="33" spans="1:23" s="386" customFormat="1" ht="13.15" customHeight="1">
      <c r="B33" s="389" t="s">
        <v>3074</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3075</v>
      </c>
      <c r="E34" s="450">
        <f>'DCA Underwriting Assumptions'!$R$36</f>
        <v>0.06</v>
      </c>
      <c r="F34" s="521">
        <f>E34*($G$27+$G$32)</f>
        <v>370681.8</v>
      </c>
      <c r="G34" s="1449">
        <v>370680</v>
      </c>
      <c r="H34" s="1450"/>
      <c r="I34" s="406"/>
      <c r="J34" s="1449">
        <v>370680</v>
      </c>
      <c r="K34" s="1450"/>
      <c r="L34" s="796"/>
      <c r="M34" s="1449"/>
      <c r="N34" s="1450"/>
      <c r="P34" s="1449"/>
      <c r="Q34" s="1450"/>
      <c r="S34" s="1449"/>
      <c r="T34" s="1450"/>
      <c r="V34" s="1479"/>
      <c r="W34" s="1480"/>
    </row>
    <row r="35" spans="1:23" s="386" customFormat="1" ht="12.6" customHeight="1">
      <c r="B35" s="386" t="s">
        <v>3749</v>
      </c>
      <c r="E35" s="520">
        <f>'DCA Underwriting Assumptions'!$R$37</f>
        <v>0.02</v>
      </c>
      <c r="F35" s="521">
        <f>E35*($G$27+$G$32)</f>
        <v>123560.6</v>
      </c>
      <c r="G35" s="1449">
        <v>123560</v>
      </c>
      <c r="H35" s="1450"/>
      <c r="I35" s="406"/>
      <c r="J35" s="1449">
        <v>123560</v>
      </c>
      <c r="K35" s="1450"/>
      <c r="L35" s="796"/>
      <c r="M35" s="1449"/>
      <c r="N35" s="1450"/>
      <c r="P35" s="1449"/>
      <c r="Q35" s="1450"/>
      <c r="S35" s="1449"/>
      <c r="T35" s="1450"/>
      <c r="V35" s="1481"/>
      <c r="W35" s="1482"/>
    </row>
    <row r="36" spans="1:23" s="386" customFormat="1" ht="12.6" customHeight="1" thickBot="1">
      <c r="B36" s="386" t="s">
        <v>3750</v>
      </c>
      <c r="E36" s="520">
        <f>'DCA Underwriting Assumptions'!$R$38</f>
        <v>0.06</v>
      </c>
      <c r="F36" s="521">
        <f>E36*($G$27+$G$32)</f>
        <v>370681.8</v>
      </c>
      <c r="G36" s="1449">
        <v>370680</v>
      </c>
      <c r="H36" s="1450"/>
      <c r="I36" s="406"/>
      <c r="J36" s="1449">
        <v>370680</v>
      </c>
      <c r="K36" s="1450"/>
      <c r="L36" s="796"/>
      <c r="M36" s="1449"/>
      <c r="N36" s="1450"/>
      <c r="P36" s="1449"/>
      <c r="Q36" s="1450"/>
      <c r="S36" s="1449"/>
      <c r="T36" s="1450"/>
      <c r="V36" s="1481"/>
      <c r="W36" s="1482"/>
    </row>
    <row r="37" spans="1:23" s="386" customFormat="1" ht="12.6" customHeight="1" thickTop="1">
      <c r="B37" s="386" t="s">
        <v>2752</v>
      </c>
      <c r="D37" s="453"/>
      <c r="E37" s="786"/>
      <c r="F37" s="522" t="s">
        <v>209</v>
      </c>
      <c r="G37" s="943">
        <f>SUM(G34:H36)</f>
        <v>864920</v>
      </c>
      <c r="H37" s="944"/>
      <c r="J37" s="943">
        <f>SUM(J34:K36)</f>
        <v>864920</v>
      </c>
      <c r="K37" s="944"/>
      <c r="L37" s="448"/>
      <c r="M37" s="943">
        <f>SUM(M34:N36)</f>
        <v>0</v>
      </c>
      <c r="N37" s="944"/>
      <c r="P37" s="943">
        <f>SUM(P34:Q36)</f>
        <v>0</v>
      </c>
      <c r="Q37" s="944"/>
      <c r="S37" s="943">
        <f>SUM(S34:T36)</f>
        <v>0</v>
      </c>
      <c r="T37" s="944"/>
      <c r="V37" s="1485"/>
      <c r="W37" s="1486"/>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3754</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3179</v>
      </c>
      <c r="D40" s="1489"/>
      <c r="E40" s="1489"/>
      <c r="F40" s="1490"/>
      <c r="G40" s="1449"/>
      <c r="H40" s="1450"/>
      <c r="I40" s="386"/>
      <c r="J40" s="1449"/>
      <c r="K40" s="1450"/>
      <c r="L40" s="796"/>
      <c r="M40" s="1449"/>
      <c r="N40" s="1450"/>
      <c r="O40" s="386"/>
      <c r="P40" s="1449"/>
      <c r="Q40" s="1450"/>
      <c r="R40" s="386"/>
      <c r="S40" s="1449"/>
      <c r="T40" s="1450"/>
      <c r="V40" s="1479"/>
      <c r="W40" s="1480"/>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1"/>
      <c r="W41" s="1482"/>
    </row>
    <row r="42" spans="1:23" s="386" customFormat="1" ht="12.6" customHeight="1">
      <c r="B42" s="454" t="s">
        <v>3763</v>
      </c>
      <c r="C42" s="455"/>
      <c r="D42" s="996" t="s">
        <v>3762</v>
      </c>
      <c r="E42" s="456">
        <f>B43/'Part VI-Revenues &amp; Expenses'!$M$60</f>
        <v>95175</v>
      </c>
      <c r="F42" s="688" t="s">
        <v>3728</v>
      </c>
      <c r="G42" s="998">
        <f>B43/'Part VI-Revenues &amp; Expenses'!$M$62</f>
        <v>95175</v>
      </c>
      <c r="H42" s="998"/>
      <c r="I42" s="690"/>
      <c r="J42" s="457" t="s">
        <v>1840</v>
      </c>
      <c r="V42" s="1481"/>
      <c r="W42" s="1482"/>
    </row>
    <row r="43" spans="1:23" s="386" customFormat="1" ht="12.6" customHeight="1">
      <c r="B43" s="999">
        <f>G27+G32+G37+G40</f>
        <v>7042950</v>
      </c>
      <c r="C43" s="1000"/>
      <c r="D43" s="997"/>
      <c r="E43" s="797">
        <f>B43/'Part VI-Revenues &amp; Expenses'!$M$98</f>
        <v>99.617397454031121</v>
      </c>
      <c r="F43" s="689" t="s">
        <v>3729</v>
      </c>
      <c r="G43" s="995">
        <f>B43/'Part VI-Revenues &amp; Expenses'!$M$100</f>
        <v>99.617397454031121</v>
      </c>
      <c r="H43" s="995"/>
      <c r="I43" s="795"/>
      <c r="J43" s="458" t="s">
        <v>1151</v>
      </c>
      <c r="K43" s="445"/>
      <c r="L43" s="459"/>
      <c r="M43" s="445"/>
      <c r="N43" s="796"/>
      <c r="P43" s="445"/>
      <c r="Q43" s="796"/>
      <c r="S43" s="445"/>
      <c r="T43" s="796"/>
      <c r="V43" s="1485"/>
      <c r="W43" s="1486"/>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4.9998935105318082E-2</v>
      </c>
      <c r="G46" s="1449">
        <v>352140</v>
      </c>
      <c r="H46" s="1450"/>
      <c r="I46" s="386"/>
      <c r="J46" s="1449">
        <v>352140</v>
      </c>
      <c r="K46" s="1450"/>
      <c r="L46" s="796"/>
      <c r="M46" s="1449"/>
      <c r="N46" s="1450"/>
      <c r="O46" s="386"/>
      <c r="P46" s="1449"/>
      <c r="Q46" s="1450"/>
      <c r="R46" s="386"/>
      <c r="S46" s="1449"/>
      <c r="T46" s="1450"/>
      <c r="V46" s="1491"/>
      <c r="W46" s="1492"/>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3546</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3077</v>
      </c>
      <c r="G52" s="1449">
        <f>63495+3600</f>
        <v>67095</v>
      </c>
      <c r="H52" s="1450"/>
      <c r="J52" s="1449">
        <f>63495+3600</f>
        <v>67095</v>
      </c>
      <c r="K52" s="1450"/>
      <c r="L52" s="796"/>
      <c r="M52" s="1449"/>
      <c r="N52" s="1450"/>
      <c r="P52" s="1449"/>
      <c r="Q52" s="1450"/>
      <c r="S52" s="1449"/>
      <c r="T52" s="1450"/>
      <c r="V52" s="1479"/>
      <c r="W52" s="1480"/>
    </row>
    <row r="53" spans="1:23" s="386" customFormat="1" ht="12" customHeight="1">
      <c r="B53" s="386" t="s">
        <v>3078</v>
      </c>
      <c r="G53" s="1449">
        <f>119420+15000</f>
        <v>134420</v>
      </c>
      <c r="H53" s="1450"/>
      <c r="J53" s="1449">
        <f>119420+15000</f>
        <v>134420</v>
      </c>
      <c r="K53" s="1450"/>
      <c r="L53" s="796"/>
      <c r="M53" s="1449"/>
      <c r="N53" s="1450"/>
      <c r="P53" s="1449"/>
      <c r="Q53" s="1450"/>
      <c r="S53" s="1449"/>
      <c r="T53" s="1450"/>
      <c r="V53" s="1481"/>
      <c r="W53" s="1482"/>
    </row>
    <row r="54" spans="1:23" s="386" customFormat="1" ht="12" customHeight="1">
      <c r="B54" s="386" t="s">
        <v>3079</v>
      </c>
      <c r="G54" s="1449">
        <v>30000</v>
      </c>
      <c r="H54" s="1450"/>
      <c r="J54" s="1449">
        <v>30000</v>
      </c>
      <c r="K54" s="1450"/>
      <c r="L54" s="796"/>
      <c r="M54" s="1449"/>
      <c r="N54" s="1450"/>
      <c r="P54" s="1449"/>
      <c r="Q54" s="1450"/>
      <c r="S54" s="1449"/>
      <c r="T54" s="1450"/>
      <c r="V54" s="1481"/>
      <c r="W54" s="1482"/>
    </row>
    <row r="55" spans="1:23" s="386" customFormat="1" ht="12" customHeight="1">
      <c r="B55" s="386" t="s">
        <v>3578</v>
      </c>
      <c r="G55" s="1449">
        <v>12000</v>
      </c>
      <c r="H55" s="1450"/>
      <c r="J55" s="1449">
        <v>12000</v>
      </c>
      <c r="K55" s="1450"/>
      <c r="L55" s="796"/>
      <c r="M55" s="1449"/>
      <c r="N55" s="1450"/>
      <c r="P55" s="1449"/>
      <c r="Q55" s="1450"/>
      <c r="S55" s="1449"/>
      <c r="T55" s="1450"/>
      <c r="V55" s="1481"/>
      <c r="W55" s="1482"/>
    </row>
    <row r="56" spans="1:23" s="386" customFormat="1" ht="12" customHeight="1">
      <c r="B56" s="386" t="s">
        <v>916</v>
      </c>
      <c r="G56" s="1449">
        <v>5000</v>
      </c>
      <c r="H56" s="1450"/>
      <c r="J56" s="1449" t="s">
        <v>4140</v>
      </c>
      <c r="K56" s="1450"/>
      <c r="L56" s="796"/>
      <c r="M56" s="1449"/>
      <c r="N56" s="1450"/>
      <c r="P56" s="1449"/>
      <c r="Q56" s="1450"/>
      <c r="S56" s="1449"/>
      <c r="T56" s="1450"/>
      <c r="V56" s="1481"/>
      <c r="W56" s="1482"/>
    </row>
    <row r="57" spans="1:23" s="386" customFormat="1" ht="12" customHeight="1">
      <c r="B57" s="386" t="s">
        <v>3080</v>
      </c>
      <c r="G57" s="1449">
        <v>19000</v>
      </c>
      <c r="H57" s="1450"/>
      <c r="J57" s="1449">
        <v>19000</v>
      </c>
      <c r="K57" s="1450"/>
      <c r="L57" s="796"/>
      <c r="M57" s="1449"/>
      <c r="N57" s="1450"/>
      <c r="P57" s="1449"/>
      <c r="Q57" s="1450"/>
      <c r="S57" s="1449"/>
      <c r="T57" s="1450"/>
      <c r="V57" s="1481"/>
      <c r="W57" s="1482"/>
    </row>
    <row r="58" spans="1:23" s="386" customFormat="1" ht="12" customHeight="1">
      <c r="B58" s="386" t="s">
        <v>1701</v>
      </c>
      <c r="G58" s="1449">
        <v>51495</v>
      </c>
      <c r="H58" s="1450"/>
      <c r="J58" s="1449">
        <v>51495</v>
      </c>
      <c r="K58" s="1450"/>
      <c r="L58" s="796"/>
      <c r="M58" s="1449"/>
      <c r="N58" s="1450"/>
      <c r="P58" s="1449"/>
      <c r="Q58" s="1450"/>
      <c r="S58" s="1449"/>
      <c r="T58" s="1450"/>
      <c r="V58" s="1481"/>
      <c r="W58" s="1482"/>
    </row>
    <row r="59" spans="1:23" s="386" customFormat="1" ht="12" customHeight="1">
      <c r="B59" s="386" t="s">
        <v>309</v>
      </c>
      <c r="G59" s="1449"/>
      <c r="H59" s="1450"/>
      <c r="J59" s="1449"/>
      <c r="K59" s="1450"/>
      <c r="L59" s="796"/>
      <c r="M59" s="1449"/>
      <c r="N59" s="1450"/>
      <c r="P59" s="1449"/>
      <c r="Q59" s="1450"/>
      <c r="S59" s="1449"/>
      <c r="T59" s="1450"/>
      <c r="V59" s="1481"/>
      <c r="W59" s="1482"/>
    </row>
    <row r="60" spans="1:23" s="386" customFormat="1" ht="12" customHeight="1">
      <c r="B60" s="452" t="s">
        <v>1566</v>
      </c>
      <c r="D60" s="450"/>
      <c r="E60" s="450"/>
      <c r="F60" s="451"/>
      <c r="G60" s="1449"/>
      <c r="H60" s="1450"/>
      <c r="I60" s="406"/>
      <c r="J60" s="1449"/>
      <c r="K60" s="1450"/>
      <c r="L60" s="796"/>
      <c r="M60" s="1449"/>
      <c r="N60" s="1450"/>
      <c r="P60" s="1449"/>
      <c r="Q60" s="1450"/>
      <c r="S60" s="1449"/>
      <c r="T60" s="1450"/>
      <c r="V60" s="1481"/>
      <c r="W60" s="1482"/>
    </row>
    <row r="61" spans="1:23" s="386" customFormat="1" ht="12" customHeight="1">
      <c r="A61" s="480" t="str">
        <f>IF(AND(G61&gt;0,OR(C61="",C61="&lt;Enter detailed description here; use Comments section if needed&gt;")),"X","")</f>
        <v/>
      </c>
      <c r="B61" s="386" t="s">
        <v>1046</v>
      </c>
      <c r="C61" s="1299" t="s">
        <v>4170</v>
      </c>
      <c r="D61" s="1299"/>
      <c r="E61" s="1299"/>
      <c r="F61" s="1300"/>
      <c r="G61" s="1449">
        <v>2200</v>
      </c>
      <c r="H61" s="1450"/>
      <c r="J61" s="1449">
        <v>2200</v>
      </c>
      <c r="K61" s="1450"/>
      <c r="L61" s="796"/>
      <c r="M61" s="1449"/>
      <c r="N61" s="1450"/>
      <c r="P61" s="1449"/>
      <c r="Q61" s="1450"/>
      <c r="S61" s="1449"/>
      <c r="T61" s="1450"/>
      <c r="U61" s="479" t="str">
        <f>IF(AND(G61&gt;0,OR(C61="",C61="&lt;Enter detailed description here; use Comments section if needed&gt;")),"NO DESCRIPTION PROVIDED - please enter detailed description in Other box at left; use Comments section below if needed.","")</f>
        <v/>
      </c>
      <c r="V61" s="1481"/>
      <c r="W61" s="1482"/>
    </row>
    <row r="62" spans="1:23" s="386" customFormat="1" ht="12" customHeight="1" thickBot="1">
      <c r="A62" s="480" t="str">
        <f>IF(AND(G62&gt;0,OR(C62="",C62="&lt;Enter detailed description here; use Comments section if needed&gt;")),"X","")</f>
        <v/>
      </c>
      <c r="B62" s="386" t="s">
        <v>1046</v>
      </c>
      <c r="C62" s="1299" t="s">
        <v>3179</v>
      </c>
      <c r="D62" s="1299"/>
      <c r="E62" s="1299"/>
      <c r="F62" s="1300"/>
      <c r="G62" s="1449"/>
      <c r="H62" s="1450"/>
      <c r="J62" s="1449"/>
      <c r="K62" s="1450"/>
      <c r="L62" s="796"/>
      <c r="M62" s="1449"/>
      <c r="N62" s="1450"/>
      <c r="P62" s="1449"/>
      <c r="Q62" s="1450"/>
      <c r="S62" s="1449"/>
      <c r="T62" s="1450"/>
      <c r="U62" s="479" t="str">
        <f>IF(AND(G62&gt;0,OR(C62="",C62="&lt;Enter detailed description here; use Comments section if needed&gt;")),"NO DESCRIPTION PROVIDED - please enter detailed description in Other box at left; use Comments section below if needed.","")</f>
        <v/>
      </c>
      <c r="V62" s="1481"/>
      <c r="W62" s="1482"/>
    </row>
    <row r="63" spans="1:23" s="386" customFormat="1" ht="12" customHeight="1" thickTop="1">
      <c r="F63" s="446" t="s">
        <v>209</v>
      </c>
      <c r="G63" s="943">
        <f>SUM(G52:H62)</f>
        <v>321210</v>
      </c>
      <c r="H63" s="944"/>
      <c r="J63" s="943">
        <f>SUM(J52:K62)</f>
        <v>316210</v>
      </c>
      <c r="K63" s="944"/>
      <c r="L63" s="448"/>
      <c r="M63" s="943">
        <f>SUM(M52:N62)</f>
        <v>0</v>
      </c>
      <c r="N63" s="944"/>
      <c r="P63" s="943">
        <f>SUM(P52:Q62)</f>
        <v>0</v>
      </c>
      <c r="Q63" s="944"/>
      <c r="S63" s="943">
        <f>SUM(S52:T62)</f>
        <v>0</v>
      </c>
      <c r="T63" s="944"/>
      <c r="V63" s="1485"/>
      <c r="W63" s="1486"/>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49">
        <v>177600</v>
      </c>
      <c r="H65" s="1450"/>
      <c r="J65" s="1449">
        <v>177600</v>
      </c>
      <c r="K65" s="1450"/>
      <c r="L65" s="796"/>
      <c r="M65" s="1449"/>
      <c r="N65" s="1450"/>
      <c r="P65" s="1449"/>
      <c r="Q65" s="1450"/>
      <c r="S65" s="1449"/>
      <c r="T65" s="1450"/>
      <c r="V65" s="1479"/>
      <c r="W65" s="1480"/>
    </row>
    <row r="66" spans="1:23" s="386" customFormat="1" ht="12" customHeight="1">
      <c r="B66" s="386" t="s">
        <v>610</v>
      </c>
      <c r="G66" s="1449">
        <v>12000</v>
      </c>
      <c r="H66" s="1450"/>
      <c r="J66" s="1449">
        <v>12000</v>
      </c>
      <c r="K66" s="1450"/>
      <c r="L66" s="796"/>
      <c r="M66" s="1449"/>
      <c r="N66" s="1450"/>
      <c r="P66" s="1449"/>
      <c r="Q66" s="1450"/>
      <c r="S66" s="1449"/>
      <c r="T66" s="1450"/>
      <c r="V66" s="1481"/>
      <c r="W66" s="1482"/>
    </row>
    <row r="67" spans="1:23" s="386" customFormat="1" ht="12" customHeight="1">
      <c r="B67" s="386" t="s">
        <v>1537</v>
      </c>
      <c r="F67" s="386" t="s">
        <v>3949</v>
      </c>
      <c r="G67" s="1449"/>
      <c r="H67" s="1450"/>
      <c r="J67" s="1449"/>
      <c r="K67" s="1450"/>
      <c r="L67" s="796"/>
      <c r="M67" s="1449"/>
      <c r="N67" s="1450"/>
      <c r="P67" s="1449"/>
      <c r="Q67" s="1450"/>
      <c r="S67" s="1449"/>
      <c r="T67" s="1450"/>
      <c r="V67" s="1481"/>
      <c r="W67" s="1482"/>
    </row>
    <row r="68" spans="1:23" s="386" customFormat="1" ht="12" customHeight="1">
      <c r="B68" s="386" t="s">
        <v>1538</v>
      </c>
      <c r="G68" s="1449">
        <v>45000</v>
      </c>
      <c r="H68" s="1450"/>
      <c r="J68" s="1449">
        <v>45000</v>
      </c>
      <c r="K68" s="1450"/>
      <c r="L68" s="796"/>
      <c r="M68" s="1449"/>
      <c r="N68" s="1450"/>
      <c r="P68" s="1449"/>
      <c r="Q68" s="1450"/>
      <c r="S68" s="1449"/>
      <c r="T68" s="1450"/>
      <c r="V68" s="1481"/>
      <c r="W68" s="1482"/>
    </row>
    <row r="69" spans="1:23" s="386" customFormat="1" ht="12" customHeight="1">
      <c r="B69" s="386" t="s">
        <v>1539</v>
      </c>
      <c r="G69" s="1449">
        <v>10000</v>
      </c>
      <c r="H69" s="1450"/>
      <c r="J69" s="1449">
        <v>10000</v>
      </c>
      <c r="K69" s="1450"/>
      <c r="L69" s="796"/>
      <c r="M69" s="1449"/>
      <c r="N69" s="1450"/>
      <c r="P69" s="1449"/>
      <c r="Q69" s="1450"/>
      <c r="S69" s="1449"/>
      <c r="T69" s="1450"/>
      <c r="V69" s="1481"/>
      <c r="W69" s="1482"/>
    </row>
    <row r="70" spans="1:23" s="386" customFormat="1" ht="12" customHeight="1">
      <c r="B70" s="386" t="s">
        <v>1540</v>
      </c>
      <c r="G70" s="1449"/>
      <c r="H70" s="1450"/>
      <c r="J70" s="1449"/>
      <c r="K70" s="1450"/>
      <c r="L70" s="796"/>
      <c r="M70" s="1449"/>
      <c r="N70" s="1450"/>
      <c r="P70" s="1449"/>
      <c r="Q70" s="1450"/>
      <c r="S70" s="1449"/>
      <c r="T70" s="1450"/>
      <c r="V70" s="1481"/>
      <c r="W70" s="1482"/>
    </row>
    <row r="71" spans="1:23" s="386" customFormat="1" ht="12" customHeight="1">
      <c r="B71" s="386" t="s">
        <v>611</v>
      </c>
      <c r="G71" s="1449">
        <v>40000</v>
      </c>
      <c r="H71" s="1450"/>
      <c r="J71" s="1449">
        <v>40000</v>
      </c>
      <c r="K71" s="1450"/>
      <c r="L71" s="796"/>
      <c r="M71" s="1449"/>
      <c r="N71" s="1450"/>
      <c r="P71" s="1449"/>
      <c r="Q71" s="1450"/>
      <c r="S71" s="1449"/>
      <c r="T71" s="1450"/>
      <c r="V71" s="1481"/>
      <c r="W71" s="1482"/>
    </row>
    <row r="72" spans="1:23" s="386" customFormat="1" ht="12" customHeight="1">
      <c r="B72" s="386" t="s">
        <v>612</v>
      </c>
      <c r="G72" s="1449">
        <v>40000</v>
      </c>
      <c r="H72" s="1450"/>
      <c r="J72" s="1449">
        <v>36000</v>
      </c>
      <c r="K72" s="1450"/>
      <c r="L72" s="796"/>
      <c r="M72" s="1449"/>
      <c r="N72" s="1450"/>
      <c r="P72" s="1449"/>
      <c r="Q72" s="1450"/>
      <c r="S72" s="1449"/>
      <c r="T72" s="1450"/>
      <c r="V72" s="1481"/>
      <c r="W72" s="1482"/>
    </row>
    <row r="73" spans="1:23" s="386" customFormat="1" ht="12" customHeight="1">
      <c r="B73" s="386" t="s">
        <v>2762</v>
      </c>
      <c r="G73" s="1449">
        <v>20000</v>
      </c>
      <c r="H73" s="1450"/>
      <c r="J73" s="1449">
        <v>18000</v>
      </c>
      <c r="K73" s="1450"/>
      <c r="L73" s="796"/>
      <c r="M73" s="1449"/>
      <c r="N73" s="1450"/>
      <c r="P73" s="1449"/>
      <c r="Q73" s="1450"/>
      <c r="S73" s="1449"/>
      <c r="T73" s="1450"/>
      <c r="V73" s="1481"/>
      <c r="W73" s="1482"/>
    </row>
    <row r="74" spans="1:23" s="386" customFormat="1" ht="12" customHeight="1">
      <c r="B74" s="386" t="s">
        <v>1702</v>
      </c>
      <c r="G74" s="1449">
        <v>8000</v>
      </c>
      <c r="H74" s="1450"/>
      <c r="J74" s="1449">
        <v>8000</v>
      </c>
      <c r="K74" s="1450"/>
      <c r="L74" s="796"/>
      <c r="M74" s="1449"/>
      <c r="N74" s="1450"/>
      <c r="P74" s="1449"/>
      <c r="Q74" s="1450"/>
      <c r="S74" s="1449"/>
      <c r="T74" s="1450"/>
      <c r="V74" s="1481"/>
      <c r="W74" s="1482"/>
    </row>
    <row r="75" spans="1:23" s="386" customFormat="1" ht="12" customHeight="1" thickBot="1">
      <c r="A75" s="480" t="str">
        <f>IF(AND(G75&gt;0,OR(C75="",C75="&lt;Enter detailed description here; use Comments section if needed&gt;")),"X","")</f>
        <v/>
      </c>
      <c r="B75" s="386" t="s">
        <v>1046</v>
      </c>
      <c r="C75" s="1299" t="s">
        <v>3179</v>
      </c>
      <c r="D75" s="1299"/>
      <c r="E75" s="1299"/>
      <c r="F75" s="1300"/>
      <c r="G75" s="1449"/>
      <c r="H75" s="1450"/>
      <c r="J75" s="1449"/>
      <c r="K75" s="1450"/>
      <c r="L75" s="796"/>
      <c r="M75" s="1449"/>
      <c r="N75" s="1450"/>
      <c r="P75" s="1449"/>
      <c r="Q75" s="1450"/>
      <c r="S75" s="1449"/>
      <c r="T75" s="1450"/>
      <c r="U75" s="479" t="str">
        <f>IF(AND(G75&gt;0,OR(C75="",C75="&lt;Enter detailed description here; use Comments section if needed&gt;")),"NO DESCRIPTION PROVIDED - please enter detailed description in Other box at left; use Comments section below if needed.","")</f>
        <v/>
      </c>
      <c r="V75" s="1481"/>
      <c r="W75" s="1482"/>
    </row>
    <row r="76" spans="1:23" s="386" customFormat="1" ht="12" customHeight="1" thickTop="1">
      <c r="F76" s="446" t="s">
        <v>209</v>
      </c>
      <c r="G76" s="943">
        <f>SUM(G65:H75)</f>
        <v>352600</v>
      </c>
      <c r="H76" s="944"/>
      <c r="J76" s="943">
        <f>SUM(J65:K75)</f>
        <v>346600</v>
      </c>
      <c r="K76" s="944"/>
      <c r="L76" s="448"/>
      <c r="M76" s="943">
        <f>SUM(M65:N75)</f>
        <v>0</v>
      </c>
      <c r="N76" s="944"/>
      <c r="P76" s="943">
        <f>SUM(P65:Q75)</f>
        <v>0</v>
      </c>
      <c r="Q76" s="944"/>
      <c r="S76" s="943">
        <f>SUM(S65:T75)</f>
        <v>0</v>
      </c>
      <c r="T76" s="944"/>
      <c r="V76" s="1485"/>
      <c r="W76" s="1486"/>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49">
        <v>47610</v>
      </c>
      <c r="H78" s="1450"/>
      <c r="J78" s="1449">
        <v>47610</v>
      </c>
      <c r="K78" s="1450"/>
      <c r="L78" s="796"/>
      <c r="M78" s="1449"/>
      <c r="N78" s="1450"/>
      <c r="P78" s="1449"/>
      <c r="Q78" s="1450"/>
      <c r="S78" s="1449"/>
      <c r="T78" s="1450"/>
      <c r="V78" s="1493"/>
      <c r="W78" s="1494"/>
    </row>
    <row r="79" spans="1:23" s="386" customFormat="1" ht="12" customHeight="1">
      <c r="B79" s="386" t="s">
        <v>1696</v>
      </c>
      <c r="G79" s="1449">
        <v>110926</v>
      </c>
      <c r="H79" s="1450"/>
      <c r="J79" s="1449">
        <v>110926</v>
      </c>
      <c r="K79" s="1450"/>
      <c r="L79" s="796"/>
      <c r="M79" s="1449"/>
      <c r="N79" s="1450"/>
      <c r="P79" s="1449"/>
      <c r="Q79" s="1450"/>
      <c r="S79" s="1449"/>
      <c r="T79" s="1450"/>
      <c r="V79" s="1495"/>
      <c r="W79" s="1496"/>
    </row>
    <row r="80" spans="1:23" s="386" customFormat="1" ht="12" customHeight="1">
      <c r="B80" s="386" t="s">
        <v>1697</v>
      </c>
      <c r="D80" s="461" t="s">
        <v>1841</v>
      </c>
      <c r="E80" s="1497" t="s">
        <v>4070</v>
      </c>
      <c r="G80" s="1449">
        <v>34375</v>
      </c>
      <c r="H80" s="1450"/>
      <c r="I80" s="406"/>
      <c r="J80" s="1449">
        <v>34375</v>
      </c>
      <c r="K80" s="1450"/>
      <c r="L80" s="796"/>
      <c r="M80" s="1449"/>
      <c r="N80" s="1450"/>
      <c r="P80" s="1449"/>
      <c r="Q80" s="1450"/>
      <c r="S80" s="1449"/>
      <c r="T80" s="1450"/>
      <c r="V80" s="1495"/>
      <c r="W80" s="1496"/>
    </row>
    <row r="81" spans="1:23" s="386" customFormat="1" ht="12" customHeight="1" thickBot="1">
      <c r="B81" s="386" t="s">
        <v>1698</v>
      </c>
      <c r="D81" s="461" t="s">
        <v>1841</v>
      </c>
      <c r="E81" s="1497" t="s">
        <v>4070</v>
      </c>
      <c r="G81" s="1449">
        <v>175450</v>
      </c>
      <c r="H81" s="1450"/>
      <c r="I81" s="406"/>
      <c r="J81" s="1449">
        <v>175450</v>
      </c>
      <c r="K81" s="1450"/>
      <c r="L81" s="796"/>
      <c r="M81" s="1449"/>
      <c r="N81" s="1450"/>
      <c r="P81" s="1449"/>
      <c r="Q81" s="1450"/>
      <c r="S81" s="1449"/>
      <c r="T81" s="1450"/>
      <c r="V81" s="1495"/>
      <c r="W81" s="1496"/>
    </row>
    <row r="82" spans="1:23" s="386" customFormat="1" ht="12" customHeight="1" thickTop="1">
      <c r="F82" s="446" t="s">
        <v>209</v>
      </c>
      <c r="G82" s="943">
        <f>SUM(G78:H81)</f>
        <v>368361</v>
      </c>
      <c r="H82" s="944"/>
      <c r="J82" s="943">
        <f>SUM(J78:K81)</f>
        <v>368361</v>
      </c>
      <c r="K82" s="944"/>
      <c r="L82" s="448"/>
      <c r="M82" s="943">
        <f>SUM(M78:N81)</f>
        <v>0</v>
      </c>
      <c r="N82" s="944"/>
      <c r="P82" s="943">
        <f>SUM(P78:Q81)</f>
        <v>0</v>
      </c>
      <c r="Q82" s="944"/>
      <c r="S82" s="943">
        <f>SUM(S78:T81)</f>
        <v>0</v>
      </c>
      <c r="T82" s="944"/>
      <c r="V82" s="1498"/>
      <c r="W82" s="1499"/>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49">
        <v>8126</v>
      </c>
      <c r="H84" s="1450"/>
      <c r="J84" s="934"/>
      <c r="K84" s="934"/>
      <c r="L84" s="796"/>
      <c r="M84" s="934"/>
      <c r="N84" s="934"/>
      <c r="P84" s="934"/>
      <c r="Q84" s="934"/>
      <c r="S84" s="1449"/>
      <c r="T84" s="1450"/>
      <c r="V84" s="1493"/>
      <c r="W84" s="1494"/>
    </row>
    <row r="85" spans="1:23" s="386" customFormat="1" ht="12" customHeight="1">
      <c r="B85" s="386" t="s">
        <v>1700</v>
      </c>
      <c r="G85" s="1449">
        <v>20000</v>
      </c>
      <c r="H85" s="1450"/>
      <c r="J85" s="934"/>
      <c r="K85" s="934"/>
      <c r="L85" s="796"/>
      <c r="M85" s="934"/>
      <c r="N85" s="934"/>
      <c r="P85" s="934"/>
      <c r="Q85" s="934"/>
      <c r="S85" s="1449"/>
      <c r="T85" s="1450"/>
      <c r="V85" s="1495"/>
      <c r="W85" s="1496"/>
    </row>
    <row r="86" spans="1:23" s="386" customFormat="1" ht="12" customHeight="1">
      <c r="B86" s="386" t="s">
        <v>1701</v>
      </c>
      <c r="G86" s="1449">
        <v>10000</v>
      </c>
      <c r="H86" s="1450"/>
      <c r="J86" s="934"/>
      <c r="K86" s="934"/>
      <c r="L86" s="796"/>
      <c r="M86" s="934"/>
      <c r="N86" s="934"/>
      <c r="P86" s="934"/>
      <c r="Q86" s="934"/>
      <c r="S86" s="1449"/>
      <c r="T86" s="1450"/>
      <c r="V86" s="1495"/>
      <c r="W86" s="1496"/>
    </row>
    <row r="87" spans="1:23" s="386" customFormat="1" ht="12" customHeight="1">
      <c r="B87" s="386" t="s">
        <v>1703</v>
      </c>
      <c r="G87" s="1449"/>
      <c r="H87" s="1450"/>
      <c r="J87" s="934"/>
      <c r="K87" s="934"/>
      <c r="L87" s="796"/>
      <c r="M87" s="934"/>
      <c r="N87" s="934"/>
      <c r="P87" s="934"/>
      <c r="Q87" s="934"/>
      <c r="S87" s="1449"/>
      <c r="T87" s="1450"/>
      <c r="V87" s="1495"/>
      <c r="W87" s="1496"/>
    </row>
    <row r="88" spans="1:23" s="386" customFormat="1" ht="12" customHeight="1">
      <c r="B88" s="386" t="s">
        <v>3025</v>
      </c>
      <c r="G88" s="1449"/>
      <c r="H88" s="1450"/>
      <c r="J88" s="934"/>
      <c r="K88" s="934"/>
      <c r="L88" s="796"/>
      <c r="M88" s="934"/>
      <c r="N88" s="934"/>
      <c r="P88" s="934"/>
      <c r="Q88" s="934"/>
      <c r="S88" s="1449"/>
      <c r="T88" s="1450"/>
      <c r="V88" s="1495"/>
      <c r="W88" s="1496"/>
    </row>
    <row r="89" spans="1:23" s="386" customFormat="1" ht="12" customHeight="1" thickBot="1">
      <c r="A89" s="480" t="str">
        <f>IF(AND(G89&gt;0,OR(C89="",C89="&lt;Enter detailed description here; use Comments section if needed&gt;")),"X","")</f>
        <v/>
      </c>
      <c r="B89" s="386" t="s">
        <v>1046</v>
      </c>
      <c r="C89" s="1299" t="s">
        <v>3179</v>
      </c>
      <c r="D89" s="1299"/>
      <c r="E89" s="1299"/>
      <c r="F89" s="1300"/>
      <c r="G89" s="1449"/>
      <c r="H89" s="1450"/>
      <c r="J89" s="934"/>
      <c r="K89" s="934"/>
      <c r="L89" s="796"/>
      <c r="M89" s="934"/>
      <c r="N89" s="934"/>
      <c r="P89" s="934"/>
      <c r="Q89" s="934"/>
      <c r="S89" s="1449"/>
      <c r="T89" s="1450"/>
      <c r="U89" s="479" t="str">
        <f>IF(AND(G89&gt;0,OR(C89="",C89="&lt;Enter detailed description here; use Comments section if needed&gt;")),"NO DESCRIPTION PROVIDED - please enter detailed description in Other box at left; use Comments section below if needed.","")</f>
        <v/>
      </c>
      <c r="V89" s="1495"/>
      <c r="W89" s="1496"/>
    </row>
    <row r="90" spans="1:23" s="386" customFormat="1" ht="12" customHeight="1" thickTop="1">
      <c r="F90" s="446" t="s">
        <v>209</v>
      </c>
      <c r="G90" s="943">
        <f>SUM(G84:H89)</f>
        <v>38126</v>
      </c>
      <c r="H90" s="944"/>
      <c r="J90" s="934"/>
      <c r="K90" s="934"/>
      <c r="L90" s="448"/>
      <c r="M90" s="934"/>
      <c r="N90" s="934"/>
      <c r="P90" s="934"/>
      <c r="Q90" s="934"/>
      <c r="S90" s="943">
        <f>SUM(S84:T89)</f>
        <v>0</v>
      </c>
      <c r="T90" s="944"/>
      <c r="V90" s="1498"/>
      <c r="W90" s="1499"/>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3546</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49"/>
      <c r="H95" s="1450"/>
      <c r="J95" s="448"/>
      <c r="K95" s="448"/>
      <c r="L95" s="796"/>
      <c r="M95" s="448"/>
      <c r="N95" s="448"/>
      <c r="P95" s="448"/>
      <c r="Q95" s="448"/>
      <c r="S95" s="1449"/>
      <c r="T95" s="1450"/>
      <c r="V95" s="1493"/>
      <c r="W95" s="1494"/>
    </row>
    <row r="96" spans="1:23" s="386" customFormat="1" ht="12.6" customHeight="1">
      <c r="B96" s="386" t="s">
        <v>1618</v>
      </c>
      <c r="G96" s="1449">
        <v>6500</v>
      </c>
      <c r="H96" s="1450"/>
      <c r="J96" s="448"/>
      <c r="K96" s="448"/>
      <c r="L96" s="462"/>
      <c r="M96" s="448"/>
      <c r="N96" s="448"/>
      <c r="P96" s="448"/>
      <c r="Q96" s="448"/>
      <c r="S96" s="1449"/>
      <c r="T96" s="1450"/>
      <c r="V96" s="1495"/>
      <c r="W96" s="1496"/>
    </row>
    <row r="97" spans="1:23" s="386" customFormat="1" ht="12.6" customHeight="1">
      <c r="B97" s="386" t="s">
        <v>3588</v>
      </c>
      <c r="G97" s="1449">
        <v>1000</v>
      </c>
      <c r="H97" s="1450"/>
      <c r="J97" s="448"/>
      <c r="K97" s="448"/>
      <c r="L97" s="462"/>
      <c r="M97" s="448"/>
      <c r="N97" s="448"/>
      <c r="O97" s="786"/>
      <c r="P97" s="448"/>
      <c r="Q97" s="448"/>
      <c r="S97" s="1449"/>
      <c r="T97" s="1450"/>
      <c r="V97" s="1495"/>
      <c r="W97" s="1496"/>
    </row>
    <row r="98" spans="1:23" s="386" customFormat="1" ht="12.6" customHeight="1">
      <c r="B98" s="386" t="s">
        <v>686</v>
      </c>
      <c r="E98" s="1001">
        <f>'DCA Underwriting Assumptions'!$Q$39*$J$172</f>
        <v>68969.2</v>
      </c>
      <c r="F98" s="1002"/>
      <c r="G98" s="1449">
        <v>68969</v>
      </c>
      <c r="H98" s="1450"/>
      <c r="J98" s="448"/>
      <c r="K98" s="448"/>
      <c r="L98" s="796"/>
      <c r="M98" s="448"/>
      <c r="N98" s="448"/>
      <c r="O98" s="786"/>
      <c r="P98" s="448"/>
      <c r="Q98" s="448"/>
      <c r="S98" s="1449"/>
      <c r="T98" s="1450"/>
      <c r="V98" s="1495"/>
      <c r="W98" s="1496"/>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59200</v>
      </c>
      <c r="F99" s="1002"/>
      <c r="G99" s="1449">
        <v>59200</v>
      </c>
      <c r="H99" s="1450"/>
      <c r="J99" s="353"/>
      <c r="K99" s="353"/>
      <c r="L99" s="353"/>
      <c r="M99" s="353"/>
      <c r="N99" s="353"/>
      <c r="O99" s="353"/>
      <c r="P99" s="353"/>
      <c r="Q99" s="353"/>
      <c r="S99" s="1449"/>
      <c r="T99" s="1450"/>
      <c r="V99" s="1495"/>
      <c r="W99" s="1496"/>
    </row>
    <row r="100" spans="1:23" s="386" customFormat="1" ht="12.6" customHeight="1">
      <c r="B100" s="386" t="s">
        <v>618</v>
      </c>
      <c r="G100" s="1449"/>
      <c r="H100" s="1450"/>
      <c r="J100" s="353"/>
      <c r="K100" s="353"/>
      <c r="L100" s="353"/>
      <c r="M100" s="353"/>
      <c r="N100" s="353"/>
      <c r="O100" s="353"/>
      <c r="P100" s="353"/>
      <c r="Q100" s="353"/>
      <c r="S100" s="1449"/>
      <c r="T100" s="1450"/>
      <c r="V100" s="1495"/>
      <c r="W100" s="1496"/>
    </row>
    <row r="101" spans="1:23" s="386" customFormat="1" ht="12.6" customHeight="1">
      <c r="B101" s="386" t="s">
        <v>3103</v>
      </c>
      <c r="G101" s="1449">
        <v>3000</v>
      </c>
      <c r="H101" s="1450"/>
      <c r="J101" s="353"/>
      <c r="K101" s="353"/>
      <c r="L101" s="353"/>
      <c r="M101" s="353"/>
      <c r="N101" s="353"/>
      <c r="O101" s="353"/>
      <c r="P101" s="353"/>
      <c r="Q101" s="353"/>
      <c r="S101" s="1449"/>
      <c r="T101" s="1450"/>
      <c r="V101" s="1495"/>
      <c r="W101" s="1496"/>
    </row>
    <row r="102" spans="1:23" s="386" customFormat="1" ht="12.6" customHeight="1">
      <c r="A102" s="480" t="str">
        <f>IF(AND(G102&gt;0,OR(C102="",C102="&lt;Enter detailed description here; use Comments section if needed&gt;")),"X","")</f>
        <v/>
      </c>
      <c r="B102" s="386" t="s">
        <v>1046</v>
      </c>
      <c r="C102" s="1299" t="s">
        <v>3179</v>
      </c>
      <c r="D102" s="1299"/>
      <c r="E102" s="1299"/>
      <c r="F102" s="1300"/>
      <c r="G102" s="1449"/>
      <c r="H102" s="1450"/>
      <c r="J102" s="353"/>
      <c r="K102" s="353"/>
      <c r="L102" s="353"/>
      <c r="M102" s="353"/>
      <c r="N102" s="353"/>
      <c r="O102" s="353"/>
      <c r="P102" s="353"/>
      <c r="Q102" s="353"/>
      <c r="S102" s="1449"/>
      <c r="T102" s="1450"/>
      <c r="U102" s="479" t="str">
        <f>IF(AND(G102&gt;0,OR(C102="",C102="&lt;Enter detailed description here; use Comments section if needed&gt;")),"NO DESCRIPTION PROVIDED - please enter detailed description in Other box at left; use Comments section below if needed.","")</f>
        <v/>
      </c>
      <c r="V102" s="1495"/>
      <c r="W102" s="1496"/>
    </row>
    <row r="103" spans="1:23" s="386" customFormat="1" ht="12.6" customHeight="1" thickBot="1">
      <c r="A103" s="480" t="str">
        <f>IF(AND(G103&gt;0,OR(C103="",C103="&lt;Enter detailed description here; use Comments section if needed&gt;")),"X","")</f>
        <v/>
      </c>
      <c r="B103" s="386" t="s">
        <v>1046</v>
      </c>
      <c r="C103" s="1299" t="s">
        <v>3179</v>
      </c>
      <c r="D103" s="1299"/>
      <c r="E103" s="1299"/>
      <c r="F103" s="1300"/>
      <c r="G103" s="1449"/>
      <c r="H103" s="1450"/>
      <c r="J103" s="353"/>
      <c r="K103" s="353"/>
      <c r="L103" s="353"/>
      <c r="M103" s="353"/>
      <c r="N103" s="353"/>
      <c r="O103" s="353"/>
      <c r="P103" s="353"/>
      <c r="Q103" s="353"/>
      <c r="S103" s="1449"/>
      <c r="T103" s="1450"/>
      <c r="U103" s="479" t="str">
        <f>IF(AND(G103&gt;0,OR(C103="",C103="&lt;Enter detailed description here; use Comments section if needed&gt;")),"NO DESCRIPTION PROVIDED - please enter detailed description in Other box at left; use Comments section below if needed.","")</f>
        <v/>
      </c>
      <c r="V103" s="1495"/>
      <c r="W103" s="1496"/>
    </row>
    <row r="104" spans="1:23" s="386" customFormat="1" ht="12.6" customHeight="1" thickTop="1">
      <c r="F104" s="446" t="s">
        <v>209</v>
      </c>
      <c r="G104" s="943">
        <f>SUM(G95:H103)</f>
        <v>138669</v>
      </c>
      <c r="H104" s="944"/>
      <c r="J104" s="448"/>
      <c r="K104" s="448"/>
      <c r="L104" s="796"/>
      <c r="M104" s="448"/>
      <c r="N104" s="448"/>
      <c r="P104" s="448"/>
      <c r="Q104" s="448"/>
      <c r="S104" s="943">
        <f>SUM(S95:T103)</f>
        <v>0</v>
      </c>
      <c r="T104" s="944"/>
      <c r="V104" s="1498"/>
      <c r="W104" s="1499"/>
    </row>
    <row r="105" spans="1:23" s="386" customFormat="1" ht="13.15" customHeight="1">
      <c r="B105" s="389" t="s">
        <v>3026</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49">
        <v>2500</v>
      </c>
      <c r="H106" s="1450"/>
      <c r="J106" s="934"/>
      <c r="K106" s="934"/>
      <c r="L106" s="796"/>
      <c r="M106" s="934"/>
      <c r="N106" s="934"/>
      <c r="O106" s="786"/>
      <c r="P106" s="934"/>
      <c r="Q106" s="934"/>
      <c r="S106" s="1449"/>
      <c r="T106" s="1450"/>
      <c r="V106" s="1493"/>
      <c r="W106" s="1494"/>
    </row>
    <row r="107" spans="1:23" s="386" customFormat="1" ht="12.6" customHeight="1">
      <c r="B107" s="386" t="s">
        <v>310</v>
      </c>
      <c r="G107" s="1449">
        <v>2500</v>
      </c>
      <c r="H107" s="1450"/>
      <c r="J107" s="934"/>
      <c r="K107" s="934"/>
      <c r="L107" s="796"/>
      <c r="M107" s="934"/>
      <c r="N107" s="934"/>
      <c r="O107" s="786"/>
      <c r="P107" s="934"/>
      <c r="Q107" s="934"/>
      <c r="S107" s="1449"/>
      <c r="T107" s="1450"/>
      <c r="V107" s="1495"/>
      <c r="W107" s="1496"/>
    </row>
    <row r="108" spans="1:23" s="386" customFormat="1" ht="12.6" customHeight="1">
      <c r="B108" s="386" t="s">
        <v>3141</v>
      </c>
      <c r="G108" s="1449">
        <v>25000</v>
      </c>
      <c r="H108" s="1450"/>
      <c r="J108" s="934"/>
      <c r="K108" s="934"/>
      <c r="L108" s="796"/>
      <c r="M108" s="934"/>
      <c r="N108" s="934"/>
      <c r="O108" s="786"/>
      <c r="P108" s="934"/>
      <c r="Q108" s="934"/>
      <c r="S108" s="1449"/>
      <c r="T108" s="1450"/>
      <c r="V108" s="1495"/>
      <c r="W108" s="1496"/>
    </row>
    <row r="109" spans="1:23" s="386" customFormat="1" ht="12.6" customHeight="1" thickBot="1">
      <c r="A109" s="480" t="str">
        <f>IF(AND(G109&gt;0,OR(C109="",C109="&lt;Enter detailed description here; use Comments section if needed&gt;")),"X","")</f>
        <v/>
      </c>
      <c r="B109" s="386" t="s">
        <v>1046</v>
      </c>
      <c r="C109" s="1299" t="s">
        <v>3179</v>
      </c>
      <c r="D109" s="1299"/>
      <c r="E109" s="1299"/>
      <c r="F109" s="1300"/>
      <c r="G109" s="1449"/>
      <c r="H109" s="1450"/>
      <c r="J109" s="934"/>
      <c r="K109" s="934"/>
      <c r="L109" s="796"/>
      <c r="M109" s="934"/>
      <c r="N109" s="934"/>
      <c r="O109" s="786"/>
      <c r="P109" s="934"/>
      <c r="Q109" s="934"/>
      <c r="S109" s="1449"/>
      <c r="T109" s="1450"/>
      <c r="U109" s="479" t="str">
        <f>IF(AND(G109&gt;0,OR(C109="",C109="&lt;Enter detailed description here; use Comments section if needed&gt;")),"NO DESCRIPTION PROVIDED - please enter detailed description in Other box at left; use Comments section below if needed.","")</f>
        <v/>
      </c>
      <c r="V109" s="1495"/>
      <c r="W109" s="1496"/>
    </row>
    <row r="110" spans="1:23" s="386" customFormat="1" ht="12.6" customHeight="1" thickTop="1">
      <c r="F110" s="446" t="s">
        <v>209</v>
      </c>
      <c r="G110" s="943">
        <f>SUM(G106:H109)</f>
        <v>30000</v>
      </c>
      <c r="H110" s="944"/>
      <c r="J110" s="934"/>
      <c r="K110" s="934"/>
      <c r="L110" s="796"/>
      <c r="M110" s="934"/>
      <c r="N110" s="934"/>
      <c r="O110" s="786"/>
      <c r="P110" s="934"/>
      <c r="Q110" s="934"/>
      <c r="S110" s="943">
        <f>SUM(S106:T109)</f>
        <v>0</v>
      </c>
      <c r="T110" s="944"/>
      <c r="V110" s="1498"/>
      <c r="W110" s="1499"/>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v>
      </c>
      <c r="G112" s="1449"/>
      <c r="H112" s="1450"/>
      <c r="J112" s="1449"/>
      <c r="K112" s="1450"/>
      <c r="L112" s="447"/>
      <c r="M112" s="1449"/>
      <c r="N112" s="1450"/>
      <c r="P112" s="1449"/>
      <c r="Q112" s="1450"/>
      <c r="S112" s="1449"/>
      <c r="T112" s="1450"/>
      <c r="V112" s="1493"/>
      <c r="W112" s="1494"/>
    </row>
    <row r="113" spans="1:23" s="386" customFormat="1" ht="12.6" customHeight="1">
      <c r="B113" s="386" t="s">
        <v>2564</v>
      </c>
      <c r="F113" s="527">
        <f>G113/$G$115</f>
        <v>0</v>
      </c>
      <c r="G113" s="1449"/>
      <c r="H113" s="1450"/>
      <c r="J113" s="1449"/>
      <c r="K113" s="1450"/>
      <c r="L113" s="796"/>
      <c r="M113" s="1449"/>
      <c r="N113" s="1450"/>
      <c r="P113" s="1449"/>
      <c r="Q113" s="1450"/>
      <c r="S113" s="1449"/>
      <c r="T113" s="1450"/>
      <c r="V113" s="1495"/>
      <c r="W113" s="1496"/>
    </row>
    <row r="114" spans="1:23" s="386" customFormat="1" ht="12.6" customHeight="1" thickBot="1">
      <c r="B114" s="386" t="s">
        <v>2556</v>
      </c>
      <c r="F114" s="527">
        <f>G114/$G$115</f>
        <v>1</v>
      </c>
      <c r="G114" s="1449">
        <v>1312180</v>
      </c>
      <c r="H114" s="1450"/>
      <c r="J114" s="1449">
        <v>1312180</v>
      </c>
      <c r="K114" s="1450"/>
      <c r="L114" s="796"/>
      <c r="M114" s="1449"/>
      <c r="N114" s="1450"/>
      <c r="P114" s="1449"/>
      <c r="Q114" s="1450"/>
      <c r="S114" s="1449"/>
      <c r="T114" s="1450"/>
      <c r="V114" s="1495"/>
      <c r="W114" s="1496"/>
    </row>
    <row r="115" spans="1:23" s="386" customFormat="1" ht="12.6" customHeight="1" thickTop="1">
      <c r="C115" s="479" t="str">
        <f>IF(G115&lt;='DCA Underwriting Assumptions'!$Q$46,"","Developer Fee exceeds DCA Program Maximum !!!")</f>
        <v/>
      </c>
      <c r="F115" s="446" t="s">
        <v>209</v>
      </c>
      <c r="G115" s="943">
        <f>SUM(G112:H114)</f>
        <v>1312180</v>
      </c>
      <c r="H115" s="944"/>
      <c r="J115" s="943">
        <f>SUM(J112:K114)</f>
        <v>1312180</v>
      </c>
      <c r="K115" s="944"/>
      <c r="L115" s="796"/>
      <c r="M115" s="943">
        <f>SUM(M112:N114)</f>
        <v>0</v>
      </c>
      <c r="N115" s="944"/>
      <c r="P115" s="943">
        <f>SUM(P112:Q114)</f>
        <v>0</v>
      </c>
      <c r="Q115" s="944"/>
      <c r="S115" s="943">
        <f>SUM(S112:T114)</f>
        <v>0</v>
      </c>
      <c r="T115" s="944"/>
      <c r="V115" s="1498"/>
      <c r="W115" s="1499"/>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49">
        <v>35285</v>
      </c>
      <c r="H117" s="1450"/>
      <c r="J117" s="463"/>
      <c r="K117" s="463"/>
      <c r="L117" s="463"/>
      <c r="M117" s="463"/>
      <c r="N117" s="463"/>
      <c r="P117" s="463"/>
      <c r="Q117" s="463"/>
      <c r="S117" s="1449"/>
      <c r="T117" s="1450"/>
      <c r="V117" s="1493"/>
      <c r="W117" s="1494"/>
    </row>
    <row r="118" spans="1:23" s="386" customFormat="1" ht="12.6" customHeight="1">
      <c r="B118" s="386" t="s">
        <v>1993</v>
      </c>
      <c r="F118" s="754">
        <f>+'Part VI-Revenues &amp; Expenses'!P157*('DCA Underwriting Assumptions'!$Q$58/12)</f>
        <v>90990.707500000004</v>
      </c>
      <c r="G118" s="1449">
        <v>90991</v>
      </c>
      <c r="H118" s="1450"/>
      <c r="J118" s="934"/>
      <c r="K118" s="934"/>
      <c r="L118" s="796"/>
      <c r="M118" s="934"/>
      <c r="N118" s="934"/>
      <c r="O118" s="786"/>
      <c r="P118" s="934"/>
      <c r="Q118" s="934"/>
      <c r="R118" s="786"/>
      <c r="S118" s="1449"/>
      <c r="T118" s="1450"/>
      <c r="V118" s="1495"/>
      <c r="W118" s="1496"/>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242847.63149615523</v>
      </c>
      <c r="G119" s="1449">
        <v>242848</v>
      </c>
      <c r="H119" s="1450"/>
      <c r="J119" s="462"/>
      <c r="K119" s="462"/>
      <c r="L119" s="462"/>
      <c r="M119" s="462"/>
      <c r="N119" s="462"/>
      <c r="O119" s="786"/>
      <c r="P119" s="462"/>
      <c r="Q119" s="462"/>
      <c r="R119" s="786"/>
      <c r="S119" s="1449"/>
      <c r="T119" s="1450"/>
      <c r="V119" s="1495"/>
      <c r="W119" s="1496"/>
    </row>
    <row r="120" spans="1:23" s="386" customFormat="1" ht="12.6" customHeight="1">
      <c r="B120" s="386" t="s">
        <v>1667</v>
      </c>
      <c r="G120" s="1449"/>
      <c r="H120" s="1450"/>
      <c r="J120" s="463"/>
      <c r="K120" s="463"/>
      <c r="L120" s="463"/>
      <c r="M120" s="463"/>
      <c r="N120" s="463"/>
      <c r="P120" s="463"/>
      <c r="Q120" s="463"/>
      <c r="S120" s="1449"/>
      <c r="T120" s="1450"/>
      <c r="V120" s="1495"/>
      <c r="W120" s="1496"/>
    </row>
    <row r="121" spans="1:23" s="386" customFormat="1" ht="12.6" customHeight="1">
      <c r="B121" s="386" t="s">
        <v>1668</v>
      </c>
      <c r="E121" s="386" t="s">
        <v>3940</v>
      </c>
      <c r="F121" s="650">
        <f>G121/'Part VI-Revenues &amp; Expenses'!$M$62</f>
        <v>675.67567567567562</v>
      </c>
      <c r="G121" s="1449">
        <v>50000</v>
      </c>
      <c r="H121" s="1450"/>
      <c r="J121" s="1449">
        <v>50000</v>
      </c>
      <c r="K121" s="1450"/>
      <c r="L121" s="796"/>
      <c r="M121" s="1449"/>
      <c r="N121" s="1450"/>
      <c r="P121" s="1449"/>
      <c r="Q121" s="1450"/>
      <c r="S121" s="1449"/>
      <c r="T121" s="1450"/>
      <c r="V121" s="1495"/>
      <c r="W121" s="1496"/>
    </row>
    <row r="122" spans="1:23" s="386" customFormat="1" ht="12.6" customHeight="1" thickBot="1">
      <c r="A122" s="480" t="str">
        <f>IF(AND(G122&gt;0,OR(C122="",C122="&lt;Enter detailed description here; use Comments section if needed&gt;")),"X","")</f>
        <v/>
      </c>
      <c r="B122" s="386" t="s">
        <v>1046</v>
      </c>
      <c r="C122" s="1299" t="s">
        <v>3179</v>
      </c>
      <c r="D122" s="1299"/>
      <c r="E122" s="1299"/>
      <c r="F122" s="1300"/>
      <c r="G122" s="1449"/>
      <c r="H122" s="1450"/>
      <c r="J122" s="1449"/>
      <c r="K122" s="1450"/>
      <c r="L122" s="796"/>
      <c r="M122" s="1449"/>
      <c r="N122" s="1450"/>
      <c r="P122" s="1449"/>
      <c r="Q122" s="1450"/>
      <c r="S122" s="1449"/>
      <c r="T122" s="1450"/>
      <c r="U122" s="479" t="str">
        <f>IF(AND(G122&gt;0,OR(C122="",C122="&lt;Enter detailed description here; use Comments section if needed&gt;")),"NO DESCRIPTION PROVIDED - please enter detailed description in Other box at left; use Comments section below if needed.","")</f>
        <v/>
      </c>
      <c r="V122" s="1495"/>
      <c r="W122" s="1496"/>
    </row>
    <row r="123" spans="1:23" s="386" customFormat="1" ht="12.6" customHeight="1" thickTop="1">
      <c r="B123" s="464"/>
      <c r="F123" s="446" t="s">
        <v>209</v>
      </c>
      <c r="G123" s="943">
        <f>SUM(G117:H122)</f>
        <v>419124</v>
      </c>
      <c r="H123" s="944"/>
      <c r="J123" s="943">
        <f>SUM(J121:K122)</f>
        <v>50000</v>
      </c>
      <c r="K123" s="944"/>
      <c r="L123" s="796"/>
      <c r="M123" s="943">
        <f>SUM(M121:N122)</f>
        <v>0</v>
      </c>
      <c r="N123" s="944"/>
      <c r="P123" s="943">
        <f>SUM(P121:Q122)</f>
        <v>0</v>
      </c>
      <c r="Q123" s="944"/>
      <c r="S123" s="943">
        <f>SUM(S117:T122)</f>
        <v>0</v>
      </c>
      <c r="T123" s="944"/>
      <c r="V123" s="1498"/>
      <c r="W123" s="1499"/>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49"/>
      <c r="H125" s="1450"/>
      <c r="J125" s="1449"/>
      <c r="K125" s="1450"/>
      <c r="L125" s="447"/>
      <c r="M125" s="1449"/>
      <c r="N125" s="1450"/>
      <c r="P125" s="1449"/>
      <c r="Q125" s="1450"/>
      <c r="S125" s="1449"/>
      <c r="T125" s="1450"/>
      <c r="V125" s="1493"/>
      <c r="W125" s="1494"/>
    </row>
    <row r="126" spans="1:23" s="386" customFormat="1" ht="12.6" customHeight="1" thickBot="1">
      <c r="A126" s="480" t="str">
        <f>IF(AND(G126&gt;0,OR(C126="",C126="&lt;Enter detailed description here; use Comments section if needed&gt;")),"X","")</f>
        <v/>
      </c>
      <c r="B126" s="386" t="s">
        <v>1046</v>
      </c>
      <c r="C126" s="1299" t="s">
        <v>3179</v>
      </c>
      <c r="D126" s="1299"/>
      <c r="E126" s="1299"/>
      <c r="F126" s="1300"/>
      <c r="G126" s="1449"/>
      <c r="H126" s="1450"/>
      <c r="J126" s="1449"/>
      <c r="K126" s="1450"/>
      <c r="L126" s="796"/>
      <c r="M126" s="1449"/>
      <c r="N126" s="1450"/>
      <c r="P126" s="1449"/>
      <c r="Q126" s="1450"/>
      <c r="S126" s="1449"/>
      <c r="T126" s="1450"/>
      <c r="U126" s="479" t="str">
        <f>IF(AND(G126&gt;0,OR(C126="",C126="&lt;Enter detailed description here; use Comments section if needed&gt;")),"NO DESCRIPTION PROVIDED - please enter detailed description in Other box at left; use Comments section below if needed.","")</f>
        <v/>
      </c>
      <c r="V126" s="1495"/>
      <c r="W126" s="1496"/>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95"/>
      <c r="W127" s="1496"/>
    </row>
    <row r="128" spans="1:23" s="386" customFormat="1" ht="3" customHeight="1" thickBot="1">
      <c r="C128" s="778"/>
      <c r="H128" s="460"/>
      <c r="I128" s="460"/>
      <c r="L128" s="786"/>
      <c r="V128" s="1495"/>
      <c r="W128" s="1496"/>
    </row>
    <row r="129" spans="1:23" s="386" customFormat="1" ht="13.9" customHeight="1" thickBot="1">
      <c r="B129" s="393" t="s">
        <v>3957</v>
      </c>
      <c r="G129" s="986">
        <f>G17+G23+G27+G32+G37+G40+G46+G63+G76+G82+G90+G104+G110+G115+G123+G127</f>
        <v>10830760</v>
      </c>
      <c r="H129" s="987"/>
      <c r="J129" s="986">
        <f>J17+J23+J27+J32+J37+J40+J46+J63+J76+J82+J90+J104+J110+J115+J123+J127</f>
        <v>9843841</v>
      </c>
      <c r="K129" s="987"/>
      <c r="M129" s="986">
        <f>M17+M23+M27+M32+M37+M40+M46+M63+M76+M82+M90+M104+M110+M115+M123+M127</f>
        <v>0</v>
      </c>
      <c r="N129" s="987"/>
      <c r="P129" s="986">
        <f>P17+P23+P27+P32+P37+P40+P46+P63+P76+P82+P90+P104+P110+P115+P123+P127</f>
        <v>0</v>
      </c>
      <c r="Q129" s="987"/>
      <c r="S129" s="986">
        <f>S17+S23+S27+S32+S37+S40+S46+S63+S76+S82+S90+S104+S110+S115+S123+S127</f>
        <v>0</v>
      </c>
      <c r="T129" s="987"/>
      <c r="V129" s="1498"/>
      <c r="W129" s="1499"/>
    </row>
    <row r="130" spans="1:23" s="386" customFormat="1" ht="3" customHeight="1">
      <c r="C130" s="778"/>
      <c r="H130" s="460"/>
      <c r="I130" s="460"/>
      <c r="L130" s="786"/>
    </row>
    <row r="131" spans="1:23" s="386" customFormat="1" ht="13.9" customHeight="1">
      <c r="B131" s="769" t="s">
        <v>3958</v>
      </c>
      <c r="C131" s="767"/>
      <c r="D131" s="988">
        <f>G129/'Part VI-Revenues &amp; Expenses'!$M$62</f>
        <v>146361.62162162163</v>
      </c>
      <c r="E131" s="988"/>
      <c r="F131" s="768" t="s">
        <v>3956</v>
      </c>
      <c r="G131" s="988">
        <f>G129/'Part VI-Revenues &amp; Expenses'!$M$100</f>
        <v>153.1932107496464</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2757</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500"/>
      <c r="K137" s="1501"/>
      <c r="P137" s="1500"/>
      <c r="Q137" s="1501"/>
      <c r="V137" s="1493"/>
      <c r="W137" s="1494"/>
    </row>
    <row r="138" spans="1:23" s="386" customFormat="1" ht="13.9" customHeight="1">
      <c r="B138" s="786" t="s">
        <v>2867</v>
      </c>
      <c r="D138" s="786"/>
      <c r="E138" s="786"/>
      <c r="F138" s="786"/>
      <c r="G138" s="786"/>
      <c r="H138" s="786"/>
      <c r="I138" s="467"/>
      <c r="J138" s="1500"/>
      <c r="K138" s="1501"/>
      <c r="P138" s="1500"/>
      <c r="Q138" s="1501"/>
      <c r="V138" s="1495"/>
      <c r="W138" s="1496"/>
    </row>
    <row r="139" spans="1:23" s="386" customFormat="1" ht="13.9" customHeight="1">
      <c r="B139" s="786" t="s">
        <v>2566</v>
      </c>
      <c r="D139" s="786"/>
      <c r="E139" s="786"/>
      <c r="I139" s="467"/>
      <c r="J139" s="1500"/>
      <c r="K139" s="1501"/>
      <c r="P139" s="1500"/>
      <c r="Q139" s="1501"/>
      <c r="V139" s="1495"/>
      <c r="W139" s="1496"/>
    </row>
    <row r="140" spans="1:23" s="386" customFormat="1" ht="13.9" customHeight="1">
      <c r="B140" s="786" t="s">
        <v>2567</v>
      </c>
      <c r="D140" s="786"/>
      <c r="E140" s="786"/>
      <c r="I140" s="467"/>
      <c r="J140" s="1500"/>
      <c r="K140" s="1501"/>
      <c r="P140" s="1500"/>
      <c r="Q140" s="1501"/>
      <c r="V140" s="1495"/>
      <c r="W140" s="1496"/>
    </row>
    <row r="141" spans="1:23" s="386" customFormat="1" ht="13.9" customHeight="1">
      <c r="B141" s="786" t="s">
        <v>279</v>
      </c>
      <c r="D141" s="786"/>
      <c r="E141" s="786"/>
      <c r="I141" s="467"/>
      <c r="J141" s="1500"/>
      <c r="K141" s="1501"/>
      <c r="P141" s="1500"/>
      <c r="Q141" s="1501"/>
      <c r="V141" s="1495"/>
      <c r="W141" s="1496"/>
    </row>
    <row r="142" spans="1:23" s="386" customFormat="1" ht="13.9" customHeight="1" thickBot="1">
      <c r="B142" s="786" t="s">
        <v>2066</v>
      </c>
      <c r="C142" s="1299" t="s">
        <v>3179</v>
      </c>
      <c r="D142" s="1299"/>
      <c r="E142" s="1299"/>
      <c r="F142" s="1299"/>
      <c r="G142" s="1299"/>
      <c r="H142" s="1299"/>
      <c r="I142" s="1300"/>
      <c r="J142" s="1500"/>
      <c r="K142" s="1501"/>
      <c r="P142" s="1500"/>
      <c r="Q142" s="1501"/>
      <c r="V142" s="1495"/>
      <c r="W142" s="1496"/>
    </row>
    <row r="143" spans="1:23" s="386" customFormat="1" ht="13.9" customHeight="1" thickBot="1">
      <c r="B143" s="398" t="s">
        <v>2568</v>
      </c>
      <c r="C143" s="401"/>
      <c r="J143" s="903">
        <f>SUM(J137:K142)</f>
        <v>0</v>
      </c>
      <c r="K143" s="904"/>
      <c r="P143" s="903">
        <f>SUM(P137:Q142)</f>
        <v>0</v>
      </c>
      <c r="Q143" s="904"/>
      <c r="V143" s="1498"/>
      <c r="W143" s="1499"/>
    </row>
    <row r="144" spans="1:23" s="386" customFormat="1" ht="3" customHeight="1"/>
    <row r="145" spans="1:23" s="386" customFormat="1" ht="15" customHeight="1" thickBot="1">
      <c r="B145" s="389" t="s">
        <v>3070</v>
      </c>
      <c r="V145" s="386" t="str">
        <f>B145</f>
        <v>Eligible Basis Calculation</v>
      </c>
    </row>
    <row r="146" spans="1:23" s="386" customFormat="1" ht="13.9" customHeight="1">
      <c r="B146" s="386" t="s">
        <v>2485</v>
      </c>
      <c r="J146" s="961">
        <f>J129</f>
        <v>9843841</v>
      </c>
      <c r="K146" s="962"/>
      <c r="M146" s="963">
        <f>M129</f>
        <v>0</v>
      </c>
      <c r="N146" s="964"/>
      <c r="P146" s="961">
        <f>P129</f>
        <v>0</v>
      </c>
      <c r="Q146" s="962"/>
      <c r="V146" s="1493"/>
      <c r="W146" s="1494"/>
    </row>
    <row r="147" spans="1:23" s="386" customFormat="1" ht="13.9" customHeight="1">
      <c r="B147" s="386" t="s">
        <v>2942</v>
      </c>
      <c r="J147" s="945">
        <f>J143</f>
        <v>0</v>
      </c>
      <c r="K147" s="952"/>
      <c r="M147" s="946"/>
      <c r="N147" s="946"/>
      <c r="P147" s="945">
        <f>P143</f>
        <v>0</v>
      </c>
      <c r="Q147" s="952"/>
      <c r="V147" s="1495"/>
      <c r="W147" s="1496"/>
    </row>
    <row r="148" spans="1:23" s="386" customFormat="1" ht="13.9" customHeight="1">
      <c r="B148" s="386" t="s">
        <v>2943</v>
      </c>
      <c r="J148" s="945">
        <f>J146-J147</f>
        <v>9843841</v>
      </c>
      <c r="K148" s="952"/>
      <c r="M148" s="945">
        <f>M146</f>
        <v>0</v>
      </c>
      <c r="N148" s="952"/>
      <c r="P148" s="945">
        <f>P146-P147</f>
        <v>0</v>
      </c>
      <c r="Q148" s="952"/>
      <c r="V148" s="1495"/>
      <c r="W148" s="1496"/>
    </row>
    <row r="149" spans="1:23" s="386" customFormat="1" ht="13.9" customHeight="1">
      <c r="B149" s="386" t="s">
        <v>1937</v>
      </c>
      <c r="G149" s="781" t="s">
        <v>2404</v>
      </c>
      <c r="H149" s="1289" t="s">
        <v>4148</v>
      </c>
      <c r="I149" s="1290"/>
      <c r="J149" s="1502">
        <v>1.3</v>
      </c>
      <c r="K149" s="1503"/>
      <c r="M149" s="960"/>
      <c r="N149" s="960"/>
      <c r="P149" s="1502"/>
      <c r="Q149" s="1503"/>
      <c r="V149" s="1495"/>
      <c r="W149" s="1496"/>
    </row>
    <row r="150" spans="1:23" s="386" customFormat="1" ht="13.9" customHeight="1">
      <c r="B150" s="386" t="s">
        <v>2768</v>
      </c>
      <c r="J150" s="945">
        <f>J148*J149</f>
        <v>12796993.300000001</v>
      </c>
      <c r="K150" s="952"/>
      <c r="M150" s="945">
        <f>+M148</f>
        <v>0</v>
      </c>
      <c r="N150" s="952"/>
      <c r="P150" s="945">
        <f>P148*P149</f>
        <v>0</v>
      </c>
      <c r="Q150" s="952"/>
      <c r="V150" s="1495"/>
      <c r="W150" s="1496"/>
    </row>
    <row r="151" spans="1:23" s="386" customFormat="1" ht="13.9" customHeight="1">
      <c r="B151" s="386" t="s">
        <v>3337</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95"/>
      <c r="W151" s="1496"/>
    </row>
    <row r="152" spans="1:23" s="386" customFormat="1" ht="13.9" customHeight="1">
      <c r="B152" s="386" t="s">
        <v>2758</v>
      </c>
      <c r="J152" s="945">
        <f>J150*J151</f>
        <v>12796993.300000001</v>
      </c>
      <c r="K152" s="952"/>
      <c r="M152" s="945">
        <f>M150*M151</f>
        <v>0</v>
      </c>
      <c r="N152" s="952"/>
      <c r="P152" s="945">
        <f>P150*P151</f>
        <v>0</v>
      </c>
      <c r="Q152" s="952"/>
      <c r="V152" s="1495"/>
      <c r="W152" s="1496"/>
    </row>
    <row r="153" spans="1:23" s="386" customFormat="1" ht="13.9" customHeight="1">
      <c r="B153" s="386" t="s">
        <v>2759</v>
      </c>
      <c r="J153" s="1502">
        <v>7.4099999999999999E-2</v>
      </c>
      <c r="K153" s="1503"/>
      <c r="M153" s="1502"/>
      <c r="N153" s="1503"/>
      <c r="P153" s="1502"/>
      <c r="Q153" s="1503"/>
      <c r="V153" s="1495"/>
      <c r="W153" s="1496"/>
    </row>
    <row r="154" spans="1:23" s="386" customFormat="1" ht="13.9" customHeight="1" thickBot="1">
      <c r="B154" s="386" t="s">
        <v>3338</v>
      </c>
      <c r="J154" s="955">
        <f>J152*J153</f>
        <v>948257.20353000006</v>
      </c>
      <c r="K154" s="956"/>
      <c r="M154" s="955">
        <f>M152*M153</f>
        <v>0</v>
      </c>
      <c r="N154" s="956"/>
      <c r="P154" s="955">
        <f>P152*P153</f>
        <v>0</v>
      </c>
      <c r="Q154" s="956"/>
      <c r="V154" s="1495"/>
      <c r="W154" s="1496"/>
    </row>
    <row r="155" spans="1:23" s="386" customFormat="1" ht="13.9" customHeight="1" thickBot="1">
      <c r="B155" s="389" t="s">
        <v>1867</v>
      </c>
      <c r="J155" s="903">
        <f>J154+M154+P154</f>
        <v>948257.20353000006</v>
      </c>
      <c r="K155" s="980"/>
      <c r="L155" s="980"/>
      <c r="M155" s="980"/>
      <c r="N155" s="980"/>
      <c r="O155" s="980"/>
      <c r="P155" s="980"/>
      <c r="Q155" s="904"/>
      <c r="V155" s="1498"/>
      <c r="W155" s="1499"/>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3925</v>
      </c>
      <c r="G159" s="975" t="str">
        <f>IF(J160&gt;J159,"TDC exceeds QAP PUCL!","")</f>
        <v/>
      </c>
      <c r="H159" s="975"/>
      <c r="I159" s="976"/>
      <c r="J159" s="977">
        <f>'Part VIII-Threshold Criteria'!$P$48</f>
        <v>10958526</v>
      </c>
      <c r="K159" s="978"/>
      <c r="L159" s="979"/>
      <c r="M159" s="965" t="s">
        <v>3767</v>
      </c>
      <c r="N159" s="966"/>
      <c r="O159" s="966"/>
      <c r="P159" s="966"/>
      <c r="Q159" s="966"/>
      <c r="R159" s="967"/>
      <c r="S159" s="971" t="s">
        <v>3667</v>
      </c>
      <c r="T159" s="972"/>
      <c r="V159" s="1493"/>
      <c r="W159" s="1494"/>
    </row>
    <row r="160" spans="1:23" s="386" customFormat="1" ht="13.9" customHeight="1">
      <c r="B160" s="386" t="s">
        <v>3769</v>
      </c>
      <c r="J160" s="1504">
        <f>MIN(G129,J159,(G129-O162))</f>
        <v>10830760</v>
      </c>
      <c r="K160" s="1505"/>
      <c r="L160" s="1506"/>
      <c r="M160" s="968"/>
      <c r="N160" s="969"/>
      <c r="O160" s="969"/>
      <c r="P160" s="969"/>
      <c r="Q160" s="969"/>
      <c r="R160" s="970"/>
      <c r="S160" s="973"/>
      <c r="T160" s="974"/>
      <c r="V160" s="1495"/>
      <c r="W160" s="1496"/>
    </row>
    <row r="161" spans="1:23" s="386" customFormat="1" ht="13.9" customHeight="1">
      <c r="B161" s="386" t="s">
        <v>289</v>
      </c>
      <c r="J161" s="945">
        <f>'Part III-Sources of Funds'!$H$49-'Part III-Sources of Funds'!H36-'Part III-Sources of Funds'!$H$37-'Part III-Sources of Funds'!$H$40-'Part III-Sources of Funds'!$H$41</f>
        <v>1002640</v>
      </c>
      <c r="K161" s="946"/>
      <c r="L161" s="947"/>
      <c r="M161" s="968"/>
      <c r="N161" s="969"/>
      <c r="O161" s="969"/>
      <c r="P161" s="969"/>
      <c r="Q161" s="969"/>
      <c r="R161" s="970"/>
      <c r="S161" s="973"/>
      <c r="T161" s="974"/>
      <c r="V161" s="1495"/>
      <c r="W161" s="1496"/>
    </row>
    <row r="162" spans="1:23" s="386" customFormat="1" ht="13.9" customHeight="1" thickBot="1">
      <c r="B162" s="386" t="s">
        <v>2955</v>
      </c>
      <c r="J162" s="945">
        <f>+J160-J161</f>
        <v>9828120</v>
      </c>
      <c r="K162" s="946"/>
      <c r="L162" s="947"/>
      <c r="M162" s="953" t="s">
        <v>3768</v>
      </c>
      <c r="N162" s="954"/>
      <c r="O162" s="981">
        <f>'Part III-Sources of Funds'!H36</f>
        <v>0</v>
      </c>
      <c r="P162" s="981"/>
      <c r="Q162" s="981"/>
      <c r="R162" s="982"/>
      <c r="S162" s="540" t="s">
        <v>2342</v>
      </c>
      <c r="T162" s="1507"/>
      <c r="V162" s="1495"/>
      <c r="W162" s="1496"/>
    </row>
    <row r="163" spans="1:23" s="386" customFormat="1" ht="13.9" customHeight="1">
      <c r="B163" s="386" t="s">
        <v>1720</v>
      </c>
      <c r="J163" s="948" t="str">
        <f>"/ 10"</f>
        <v>/ 10</v>
      </c>
      <c r="K163" s="948"/>
      <c r="L163" s="948"/>
      <c r="M163" s="786"/>
      <c r="N163" s="668"/>
      <c r="O163" s="668"/>
      <c r="P163" s="668"/>
      <c r="Q163" s="668"/>
      <c r="R163" s="668"/>
      <c r="V163" s="1495"/>
      <c r="W163" s="1496"/>
    </row>
    <row r="164" spans="1:23" s="386" customFormat="1" ht="13.9" customHeight="1">
      <c r="B164" s="386" t="s">
        <v>1721</v>
      </c>
      <c r="J164" s="945">
        <f>J162/10</f>
        <v>982812</v>
      </c>
      <c r="K164" s="946"/>
      <c r="L164" s="952"/>
      <c r="M164" s="406"/>
      <c r="N164" s="831" t="s">
        <v>1722</v>
      </c>
      <c r="O164" s="831"/>
      <c r="Q164" s="831" t="s">
        <v>2494</v>
      </c>
      <c r="R164" s="831"/>
      <c r="V164" s="1495"/>
      <c r="W164" s="1496"/>
    </row>
    <row r="165" spans="1:23" s="386" customFormat="1" ht="13.9" customHeight="1" thickBot="1">
      <c r="B165" s="386" t="s">
        <v>1936</v>
      </c>
      <c r="J165" s="983">
        <f>N165+Q165</f>
        <v>1.1399999999999999</v>
      </c>
      <c r="K165" s="984"/>
      <c r="L165" s="985"/>
      <c r="M165" s="781" t="s">
        <v>1723</v>
      </c>
      <c r="N165" s="1508">
        <v>0.82</v>
      </c>
      <c r="O165" s="1509"/>
      <c r="P165" s="781" t="s">
        <v>792</v>
      </c>
      <c r="Q165" s="1508">
        <v>0.32</v>
      </c>
      <c r="R165" s="1509"/>
      <c r="V165" s="1495"/>
      <c r="W165" s="1496"/>
    </row>
    <row r="166" spans="1:23" s="386" customFormat="1" ht="13.9" customHeight="1" thickBot="1">
      <c r="B166" s="389" t="s">
        <v>1868</v>
      </c>
      <c r="J166" s="903">
        <f>IF(J165=0,"",J164/J165)</f>
        <v>862115.78947368427</v>
      </c>
      <c r="K166" s="980"/>
      <c r="L166" s="904"/>
      <c r="M166" s="406"/>
      <c r="N166" s="786"/>
      <c r="O166" s="786"/>
      <c r="V166" s="1495"/>
      <c r="W166" s="1496"/>
    </row>
    <row r="167" spans="1:23" s="386" customFormat="1" ht="6" customHeight="1">
      <c r="J167" s="470"/>
      <c r="K167" s="470"/>
      <c r="L167" s="470"/>
      <c r="M167" s="406"/>
      <c r="N167" s="792"/>
      <c r="O167" s="792"/>
      <c r="V167" s="1495"/>
      <c r="W167" s="1496"/>
    </row>
    <row r="168" spans="1:23" s="386" customFormat="1" ht="16.149999999999999" customHeight="1">
      <c r="B168" s="389" t="s">
        <v>381</v>
      </c>
      <c r="J168" s="949">
        <f>+MIN(J155,J166,'DCA Underwriting Assumptions'!$R$6)</f>
        <v>862115.78947368427</v>
      </c>
      <c r="K168" s="950"/>
      <c r="L168" s="951"/>
      <c r="M168" s="406"/>
      <c r="N168" s="792"/>
      <c r="O168" s="792"/>
      <c r="V168" s="1495"/>
      <c r="W168" s="1496"/>
    </row>
    <row r="169" spans="1:23" s="386" customFormat="1" ht="3" customHeight="1">
      <c r="J169" s="470"/>
      <c r="K169" s="470"/>
      <c r="L169" s="470"/>
      <c r="M169" s="406"/>
      <c r="N169" s="792"/>
      <c r="O169" s="792"/>
      <c r="V169" s="1495"/>
      <c r="W169" s="1496"/>
    </row>
    <row r="170" spans="1:23" s="386" customFormat="1" ht="16.149999999999999" customHeight="1">
      <c r="B170" s="389" t="s">
        <v>382</v>
      </c>
      <c r="J170" s="1510">
        <v>862115</v>
      </c>
      <c r="K170" s="1511"/>
      <c r="L170" s="1512"/>
      <c r="M170" s="471" t="str">
        <f>IF(J168=0,"",IF(J170&gt;J168,"ALLOCATION CANNOT EXCEED MAXIMUM - REVISE REQUEST!",""))</f>
        <v/>
      </c>
      <c r="N170" s="792"/>
      <c r="O170" s="792"/>
      <c r="V170" s="1495"/>
      <c r="W170" s="1496"/>
    </row>
    <row r="171" spans="1:23" s="386" customFormat="1" ht="3" customHeight="1">
      <c r="J171" s="470"/>
      <c r="K171" s="470"/>
      <c r="L171" s="470"/>
      <c r="M171" s="406"/>
      <c r="N171" s="792"/>
      <c r="O171" s="792"/>
      <c r="V171" s="1495"/>
      <c r="W171" s="1496"/>
    </row>
    <row r="172" spans="1:23" s="386" customFormat="1" ht="16.149999999999999" customHeight="1">
      <c r="A172" s="567" t="s">
        <v>2487</v>
      </c>
      <c r="B172" s="567" t="s">
        <v>3418</v>
      </c>
      <c r="D172" s="406"/>
      <c r="E172" s="406"/>
      <c r="F172" s="392"/>
      <c r="J172" s="949">
        <f>IF(J170="",0,+MIN(J168,J170))</f>
        <v>862115</v>
      </c>
      <c r="K172" s="950"/>
      <c r="L172" s="951"/>
      <c r="N172" s="1513"/>
      <c r="O172" s="1513"/>
      <c r="P172" s="1513"/>
      <c r="Q172" s="1513"/>
      <c r="R172" s="1513"/>
      <c r="S172" s="1513"/>
      <c r="T172" s="1513"/>
      <c r="V172" s="1498"/>
      <c r="W172" s="1499"/>
    </row>
    <row r="173" spans="1:23" ht="3" customHeight="1"/>
    <row r="174" spans="1:23" ht="6" customHeight="1"/>
    <row r="175" spans="1:23" ht="12" customHeight="1">
      <c r="A175" s="389" t="s">
        <v>2489</v>
      </c>
      <c r="B175" s="415" t="s">
        <v>744</v>
      </c>
      <c r="K175" s="389" t="s">
        <v>697</v>
      </c>
      <c r="L175" s="389" t="s">
        <v>83</v>
      </c>
    </row>
    <row r="176" spans="1:23" ht="201" customHeight="1">
      <c r="A176" s="1514" t="s">
        <v>4180</v>
      </c>
      <c r="B176" s="1515"/>
      <c r="C176" s="1515"/>
      <c r="D176" s="1515"/>
      <c r="E176" s="1515"/>
      <c r="F176" s="1515"/>
      <c r="G176" s="1515"/>
      <c r="H176" s="1515"/>
      <c r="I176" s="1515"/>
      <c r="J176" s="1516"/>
      <c r="K176" s="1517"/>
      <c r="L176" s="1515"/>
      <c r="M176" s="1515"/>
      <c r="N176" s="1515"/>
      <c r="O176" s="1515"/>
      <c r="P176" s="1515"/>
      <c r="Q176" s="1515"/>
      <c r="R176" s="1515"/>
      <c r="S176" s="1515"/>
      <c r="T176" s="1516"/>
      <c r="V176" s="881" t="s">
        <v>3593</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4" priority="10" stopIfTrue="1" operator="greaterThan">
      <formula>$F34</formula>
    </cfRule>
  </conditionalFormatting>
  <conditionalFormatting sqref="J172:L172">
    <cfRule type="cellIs" dxfId="13" priority="12" stopIfTrue="1" operator="greaterThan">
      <formula>$J$168</formula>
    </cfRule>
  </conditionalFormatting>
  <conditionalFormatting sqref="G35">
    <cfRule type="cellIs" dxfId="12" priority="13" stopIfTrue="1" operator="greaterThan">
      <formula>$F$35</formula>
    </cfRule>
  </conditionalFormatting>
  <conditionalFormatting sqref="G33">
    <cfRule type="cellIs" priority="14" stopIfTrue="1" operator="equal">
      <formula>"""Exceeds the limit! Re-check amounts."""</formula>
    </cfRule>
  </conditionalFormatting>
  <conditionalFormatting sqref="M34:N34 P34:Q34">
    <cfRule type="cellIs" dxfId="11" priority="9" operator="greaterThan">
      <formula>$G$34</formula>
    </cfRule>
  </conditionalFormatting>
  <conditionalFormatting sqref="M35:N36 P35:Q36">
    <cfRule type="cellIs" dxfId="10" priority="8" operator="greaterThan">
      <formula>$G$36</formula>
    </cfRule>
  </conditionalFormatting>
  <conditionalFormatting sqref="G36">
    <cfRule type="cellIs" dxfId="9" priority="7" operator="greaterThan">
      <formula>$F$36</formula>
    </cfRule>
  </conditionalFormatting>
  <conditionalFormatting sqref="J34">
    <cfRule type="cellIs" dxfId="8" priority="2" stopIfTrue="1" operator="greaterThan">
      <formula>$F34</formula>
    </cfRule>
  </conditionalFormatting>
  <conditionalFormatting sqref="J35">
    <cfRule type="cellIs" dxfId="7" priority="3" stopIfTrue="1" operator="greaterThan">
      <formula>$F$35</formula>
    </cfRule>
  </conditionalFormatting>
  <conditionalFormatting sqref="J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2013-005 The Villas at Stanford, Kennesaw, Cobb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North</v>
      </c>
    </row>
    <row r="4" spans="1:20" s="9" customFormat="1"/>
    <row r="5" spans="1:20" s="9" customFormat="1">
      <c r="A5" s="16" t="s">
        <v>796</v>
      </c>
      <c r="B5" s="16" t="s">
        <v>2950</v>
      </c>
      <c r="F5" s="9" t="s">
        <v>3304</v>
      </c>
      <c r="I5" s="1518" t="s">
        <v>4101</v>
      </c>
      <c r="J5" s="1519"/>
      <c r="K5" s="1519"/>
      <c r="L5" s="1519"/>
      <c r="M5" s="1520"/>
    </row>
    <row r="6" spans="1:20" s="9" customFormat="1" ht="13.15" customHeight="1">
      <c r="A6" s="16"/>
      <c r="F6" s="9" t="s">
        <v>816</v>
      </c>
      <c r="H6" s="31"/>
      <c r="I6" s="1521">
        <v>41192</v>
      </c>
      <c r="J6" s="1522"/>
      <c r="K6" s="73" t="s">
        <v>707</v>
      </c>
      <c r="L6" s="1523" t="s">
        <v>4129</v>
      </c>
      <c r="M6" s="1520"/>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2553</v>
      </c>
      <c r="I9" s="308" t="s">
        <v>736</v>
      </c>
      <c r="J9" s="309">
        <v>1</v>
      </c>
      <c r="K9" s="309">
        <v>2</v>
      </c>
      <c r="L9" s="309">
        <v>3</v>
      </c>
      <c r="M9" s="309">
        <v>4</v>
      </c>
    </row>
    <row r="10" spans="1:20" s="9" customFormat="1">
      <c r="B10" s="310" t="s">
        <v>2555</v>
      </c>
      <c r="C10" s="311"/>
      <c r="D10" s="1524" t="s">
        <v>2060</v>
      </c>
      <c r="E10" s="1525"/>
      <c r="F10" s="1526" t="s">
        <v>566</v>
      </c>
      <c r="G10" s="1526"/>
      <c r="H10" s="312"/>
      <c r="I10" s="1527"/>
      <c r="J10" s="1527">
        <v>15</v>
      </c>
      <c r="K10" s="1527">
        <v>19</v>
      </c>
      <c r="L10" s="1527"/>
      <c r="M10" s="1527"/>
    </row>
    <row r="11" spans="1:20" s="9" customFormat="1">
      <c r="B11" s="313" t="s">
        <v>596</v>
      </c>
      <c r="C11" s="314"/>
      <c r="D11" s="313" t="s">
        <v>2060</v>
      </c>
      <c r="E11" s="314"/>
      <c r="F11" s="1528" t="s">
        <v>566</v>
      </c>
      <c r="G11" s="1528"/>
      <c r="H11" s="315"/>
      <c r="I11" s="1529"/>
      <c r="J11" s="1529">
        <v>10</v>
      </c>
      <c r="K11" s="1529">
        <v>12</v>
      </c>
      <c r="L11" s="1530"/>
      <c r="M11" s="1530"/>
    </row>
    <row r="12" spans="1:20" s="9" customFormat="1">
      <c r="B12" s="313" t="s">
        <v>2061</v>
      </c>
      <c r="C12" s="314"/>
      <c r="D12" s="1531" t="s">
        <v>2060</v>
      </c>
      <c r="E12" s="1532"/>
      <c r="F12" s="1528" t="s">
        <v>566</v>
      </c>
      <c r="G12" s="1528"/>
      <c r="H12" s="315"/>
      <c r="I12" s="1529"/>
      <c r="J12" s="1529">
        <v>10</v>
      </c>
      <c r="K12" s="1529">
        <v>11</v>
      </c>
      <c r="L12" s="1530"/>
      <c r="M12" s="1530"/>
    </row>
    <row r="13" spans="1:20" s="9" customFormat="1">
      <c r="B13" s="313" t="s">
        <v>2062</v>
      </c>
      <c r="C13" s="314"/>
      <c r="D13" s="1531" t="s">
        <v>2060</v>
      </c>
      <c r="E13" s="1532"/>
      <c r="F13" s="1528" t="s">
        <v>566</v>
      </c>
      <c r="G13" s="1528"/>
      <c r="H13" s="315"/>
      <c r="I13" s="1529"/>
      <c r="J13" s="1529">
        <v>16</v>
      </c>
      <c r="K13" s="1529">
        <v>22</v>
      </c>
      <c r="L13" s="1530"/>
      <c r="M13" s="1530"/>
    </row>
    <row r="14" spans="1:20" s="9" customFormat="1">
      <c r="B14" s="313" t="s">
        <v>2063</v>
      </c>
      <c r="C14" s="314"/>
      <c r="D14" s="313" t="s">
        <v>2060</v>
      </c>
      <c r="E14" s="316"/>
      <c r="F14" s="1528" t="s">
        <v>566</v>
      </c>
      <c r="G14" s="1528"/>
      <c r="H14" s="315"/>
      <c r="I14" s="1529"/>
      <c r="J14" s="1529">
        <v>30</v>
      </c>
      <c r="K14" s="1529">
        <v>34</v>
      </c>
      <c r="L14" s="1530"/>
      <c r="M14" s="1530"/>
    </row>
    <row r="15" spans="1:20" s="9" customFormat="1">
      <c r="B15" s="313" t="s">
        <v>1805</v>
      </c>
      <c r="C15" s="314"/>
      <c r="D15" s="313" t="s">
        <v>2949</v>
      </c>
      <c r="E15" s="1533" t="s">
        <v>4061</v>
      </c>
      <c r="F15" s="1528" t="s">
        <v>566</v>
      </c>
      <c r="G15" s="1528"/>
      <c r="H15" s="315"/>
      <c r="I15" s="1529"/>
      <c r="J15" s="1529">
        <v>31</v>
      </c>
      <c r="K15" s="1529">
        <v>46</v>
      </c>
      <c r="L15" s="1530"/>
      <c r="M15" s="1530"/>
    </row>
    <row r="16" spans="1:20" s="9" customFormat="1">
      <c r="B16" s="317" t="s">
        <v>2554</v>
      </c>
      <c r="C16" s="318"/>
      <c r="D16" s="317"/>
      <c r="E16" s="284"/>
      <c r="F16" s="1534"/>
      <c r="G16" s="1534" t="s">
        <v>566</v>
      </c>
      <c r="H16" s="319"/>
      <c r="I16" s="1535"/>
      <c r="J16" s="1535">
        <v>0</v>
      </c>
      <c r="K16" s="1535">
        <v>0</v>
      </c>
      <c r="L16" s="1536"/>
      <c r="M16" s="1536"/>
    </row>
    <row r="17" spans="1:19" s="9" customFormat="1">
      <c r="B17" s="307" t="s">
        <v>1423</v>
      </c>
      <c r="D17" s="31"/>
      <c r="E17" s="31"/>
      <c r="F17" s="97"/>
      <c r="G17" s="97"/>
      <c r="I17" s="800">
        <f>SUM(I10:I16)</f>
        <v>0</v>
      </c>
      <c r="J17" s="800">
        <f>SUM(J10:J16)</f>
        <v>112</v>
      </c>
      <c r="K17" s="800">
        <f>SUM(K10:K16)</f>
        <v>144</v>
      </c>
      <c r="L17" s="800">
        <f>SUM(L10:L16)</f>
        <v>0</v>
      </c>
      <c r="M17" s="800">
        <f>SUM(M10:M16)</f>
        <v>0</v>
      </c>
    </row>
    <row r="18" spans="1:19" s="9" customFormat="1" ht="11.25" customHeight="1">
      <c r="M18" s="31"/>
      <c r="N18" s="31"/>
      <c r="O18" s="31"/>
      <c r="P18" s="31"/>
      <c r="Q18" s="31"/>
      <c r="R18" s="31"/>
      <c r="S18" s="31"/>
    </row>
    <row r="19" spans="1:19" s="9" customFormat="1">
      <c r="A19" s="16" t="s">
        <v>1045</v>
      </c>
      <c r="B19" s="16" t="s">
        <v>2951</v>
      </c>
      <c r="F19" s="9" t="s">
        <v>3304</v>
      </c>
      <c r="I19" s="1523"/>
      <c r="J19" s="1519"/>
      <c r="K19" s="1519"/>
      <c r="L19" s="1519"/>
      <c r="M19" s="1520"/>
    </row>
    <row r="20" spans="1:19" s="9" customFormat="1" ht="13.15" customHeight="1">
      <c r="A20" s="16"/>
      <c r="B20" s="16"/>
      <c r="F20" s="9" t="s">
        <v>816</v>
      </c>
      <c r="H20" s="31"/>
      <c r="I20" s="1521"/>
      <c r="J20" s="1522"/>
      <c r="K20" s="73" t="s">
        <v>707</v>
      </c>
      <c r="L20" s="1523"/>
      <c r="M20" s="1520"/>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2553</v>
      </c>
      <c r="I23" s="308" t="s">
        <v>736</v>
      </c>
      <c r="J23" s="309">
        <v>1</v>
      </c>
      <c r="K23" s="309">
        <v>2</v>
      </c>
      <c r="L23" s="309">
        <v>3</v>
      </c>
      <c r="M23" s="309">
        <v>4</v>
      </c>
    </row>
    <row r="24" spans="1:19" s="9" customFormat="1">
      <c r="B24" s="310" t="s">
        <v>2555</v>
      </c>
      <c r="C24" s="311"/>
      <c r="D24" s="1524" t="s">
        <v>2518</v>
      </c>
      <c r="E24" s="1525"/>
      <c r="F24" s="1526"/>
      <c r="G24" s="1526"/>
      <c r="H24" s="312"/>
      <c r="I24" s="1527"/>
      <c r="J24" s="1527"/>
      <c r="K24" s="1527"/>
      <c r="L24" s="1527"/>
      <c r="M24" s="1527"/>
    </row>
    <row r="25" spans="1:19" s="9" customFormat="1">
      <c r="B25" s="313" t="s">
        <v>596</v>
      </c>
      <c r="C25" s="314"/>
      <c r="D25" s="313" t="s">
        <v>2060</v>
      </c>
      <c r="E25" s="314"/>
      <c r="F25" s="1528"/>
      <c r="G25" s="1528"/>
      <c r="H25" s="315"/>
      <c r="I25" s="1529"/>
      <c r="J25" s="1529"/>
      <c r="K25" s="1529"/>
      <c r="L25" s="1530"/>
      <c r="M25" s="1530"/>
    </row>
    <row r="26" spans="1:19" s="9" customFormat="1">
      <c r="B26" s="313" t="s">
        <v>2061</v>
      </c>
      <c r="C26" s="314"/>
      <c r="D26" s="1531" t="s">
        <v>2518</v>
      </c>
      <c r="E26" s="1532"/>
      <c r="F26" s="1528"/>
      <c r="G26" s="1528"/>
      <c r="H26" s="315"/>
      <c r="I26" s="1529"/>
      <c r="J26" s="1529"/>
      <c r="K26" s="1529"/>
      <c r="L26" s="1530"/>
      <c r="M26" s="1530"/>
    </row>
    <row r="27" spans="1:19" s="9" customFormat="1">
      <c r="B27" s="313" t="s">
        <v>2062</v>
      </c>
      <c r="C27" s="314"/>
      <c r="D27" s="1531" t="s">
        <v>2518</v>
      </c>
      <c r="E27" s="1532"/>
      <c r="F27" s="1528"/>
      <c r="G27" s="1528"/>
      <c r="H27" s="315"/>
      <c r="I27" s="1529"/>
      <c r="J27" s="1529"/>
      <c r="K27" s="1529"/>
      <c r="L27" s="1530"/>
      <c r="M27" s="1530"/>
    </row>
    <row r="28" spans="1:19" s="9" customFormat="1">
      <c r="B28" s="313" t="s">
        <v>2063</v>
      </c>
      <c r="C28" s="314"/>
      <c r="D28" s="313" t="s">
        <v>2060</v>
      </c>
      <c r="E28" s="316"/>
      <c r="F28" s="1528"/>
      <c r="G28" s="1528"/>
      <c r="H28" s="315"/>
      <c r="I28" s="1529"/>
      <c r="J28" s="1529"/>
      <c r="K28" s="1529"/>
      <c r="L28" s="1530"/>
      <c r="M28" s="1530"/>
    </row>
    <row r="29" spans="1:19" s="9" customFormat="1">
      <c r="B29" s="313" t="s">
        <v>1805</v>
      </c>
      <c r="C29" s="314"/>
      <c r="D29" s="313" t="s">
        <v>2949</v>
      </c>
      <c r="E29" s="1533" t="s">
        <v>219</v>
      </c>
      <c r="F29" s="1528"/>
      <c r="G29" s="1528"/>
      <c r="H29" s="315"/>
      <c r="I29" s="1529"/>
      <c r="J29" s="1529"/>
      <c r="K29" s="1529"/>
      <c r="L29" s="1530"/>
      <c r="M29" s="1530"/>
    </row>
    <row r="30" spans="1:19" s="9" customFormat="1">
      <c r="B30" s="317" t="s">
        <v>2554</v>
      </c>
      <c r="C30" s="318"/>
      <c r="D30" s="317"/>
      <c r="E30" s="284"/>
      <c r="F30" s="1534"/>
      <c r="G30" s="1534"/>
      <c r="H30" s="319"/>
      <c r="I30" s="1535"/>
      <c r="J30" s="1535"/>
      <c r="K30" s="1535"/>
      <c r="L30" s="1536"/>
      <c r="M30" s="1536"/>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37" t="s">
        <v>4141</v>
      </c>
      <c r="C36" s="1538"/>
      <c r="D36" s="1538"/>
      <c r="E36" s="1538"/>
      <c r="F36" s="1538"/>
      <c r="G36" s="1538"/>
      <c r="H36" s="1538"/>
      <c r="I36" s="1538"/>
      <c r="J36" s="1538"/>
      <c r="K36" s="1538"/>
      <c r="L36" s="1538"/>
      <c r="M36" s="1539"/>
      <c r="N36" s="31"/>
      <c r="O36" s="816" t="s">
        <v>3593</v>
      </c>
      <c r="P36" s="816"/>
      <c r="Q36" s="816"/>
      <c r="R36" s="816"/>
      <c r="S36" s="816"/>
    </row>
    <row r="37" spans="1:19" s="9" customFormat="1" ht="3" customHeight="1">
      <c r="M37" s="31"/>
      <c r="N37" s="31"/>
      <c r="O37" s="816"/>
      <c r="P37" s="816"/>
      <c r="Q37" s="816"/>
      <c r="R37" s="816"/>
      <c r="S37" s="816"/>
    </row>
    <row r="38" spans="1:19" s="9" customFormat="1" ht="12" customHeight="1">
      <c r="A38" s="16"/>
      <c r="B38" s="16" t="s">
        <v>2548</v>
      </c>
      <c r="M38" s="31"/>
      <c r="N38" s="31"/>
      <c r="O38" s="816"/>
      <c r="P38" s="816"/>
      <c r="Q38" s="816"/>
      <c r="R38" s="816"/>
      <c r="S38" s="816"/>
    </row>
    <row r="39" spans="1:19" s="9" customFormat="1" ht="24.75" customHeight="1">
      <c r="B39" s="1540"/>
      <c r="C39" s="1541"/>
      <c r="D39" s="1541"/>
      <c r="E39" s="1541"/>
      <c r="F39" s="1541"/>
      <c r="G39" s="1541"/>
      <c r="H39" s="1541"/>
      <c r="I39" s="1541"/>
      <c r="J39" s="1541"/>
      <c r="K39" s="1541"/>
      <c r="L39" s="1541"/>
      <c r="M39" s="1542"/>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2013-06-12T22:04:52Z</cp:lastPrinted>
  <dcterms:created xsi:type="dcterms:W3CDTF">2005-09-15T20:51:37Z</dcterms:created>
  <dcterms:modified xsi:type="dcterms:W3CDTF">2013-09-26T20:17:04Z</dcterms:modified>
</cp:coreProperties>
</file>