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defaultThemeVersion="124226"/>
  <bookViews>
    <workbookView xWindow="-15" yWindow="105" windowWidth="10245" windowHeight="8055" firstSheet="2" activeTab="2"/>
  </bookViews>
  <sheets>
    <sheet name="Application Tabs Checklist" sheetId="34" r:id="rId1"/>
    <sheet name="Project Narrative" sheetId="37" r:id="rId2"/>
    <sheet name="Part I-Project Information" sheetId="7" r:id="rId3"/>
    <sheet name="Project Overview" sheetId="44" r:id="rId4"/>
    <sheet name="Part II-Development Team" sheetId="18" r:id="rId5"/>
    <sheet name="Part III A-Sources of Funds" sheetId="3" r:id="rId6"/>
    <sheet name="Part III B-USDA 538 Loan" sheetId="26" state="hidden" r:id="rId7"/>
    <sheet name="Part III C-HUD Insured Loan" sheetId="25" state="hidden" r:id="rId8"/>
    <sheet name="Part IV-Uses of Funds" sheetId="15" r:id="rId9"/>
    <sheet name="Part V-Utility Allowances" sheetId="29" r:id="rId10"/>
    <sheet name="Part VI-Revenues &amp; Expenses" sheetId="36" r:id="rId11"/>
    <sheet name="Part VII-Pro Forma" sheetId="8" r:id="rId12"/>
    <sheet name="Part VIII-Threshold Criteria" sheetId="6" r:id="rId13"/>
    <sheet name="Part IX A-Scoring Criteria" sheetId="11" r:id="rId14"/>
    <sheet name="Pt IX B-Super Proj Concept Narr" sheetId="38" r:id="rId15"/>
    <sheet name="Pt IX C- Signif Comm Value Narr" sheetId="39" r:id="rId16"/>
    <sheet name="Part X - Applicant Cert Ltr" sheetId="17" r:id="rId17"/>
    <sheet name="DCA Underwriting Assumptions" sheetId="24" r:id="rId18"/>
  </sheets>
  <externalReferences>
    <externalReference r:id="rId19"/>
    <externalReference r:id="rId20"/>
  </externalReferences>
  <definedNames>
    <definedName name="\P" localSheetId="15">#REF!</definedName>
    <definedName name="\P">#REF!</definedName>
    <definedName name="_704B" localSheetId="15">#REF!</definedName>
    <definedName name="_704B">#REF!</definedName>
    <definedName name="_704C" localSheetId="15">#REF!</definedName>
    <definedName name="_704C">#REF!</definedName>
    <definedName name="_CPI2" localSheetId="15">#REF!</definedName>
    <definedName name="_CPI2">#REF!</definedName>
    <definedName name="AMORT" localSheetId="15">#REF!</definedName>
    <definedName name="AMORT">#REF!</definedName>
    <definedName name="AMORT1" localSheetId="15">#REF!</definedName>
    <definedName name="AMORT1">#REF!</definedName>
    <definedName name="AMORT2" localSheetId="15">#REF!</definedName>
    <definedName name="AMORT2">#REF!</definedName>
    <definedName name="AMORT2A" localSheetId="15">#REF!</definedName>
    <definedName name="AMORT2A">#REF!</definedName>
    <definedName name="AMORT3" localSheetId="15">#REF!</definedName>
    <definedName name="AMORT3">#REF!</definedName>
    <definedName name="AMORT5" localSheetId="15">#REF!</definedName>
    <definedName name="AMORT5">#REF!</definedName>
    <definedName name="AMORT7" localSheetId="15">#REF!</definedName>
    <definedName name="AMORT7">#REF!</definedName>
    <definedName name="ASSETS" localSheetId="15">#REF!</definedName>
    <definedName name="ASSETS">#REF!</definedName>
    <definedName name="BENEFITS2" localSheetId="15">#REF!</definedName>
    <definedName name="BENEFITS2">#REF!</definedName>
    <definedName name="BENEFITS3" localSheetId="15">#REF!</definedName>
    <definedName name="BENEFITS3">#REF!</definedName>
    <definedName name="colors" localSheetId="15">#REF!</definedName>
    <definedName name="colors">#REF!</definedName>
    <definedName name="CPI" localSheetId="15">#REF!</definedName>
    <definedName name="CPI">#REF!</definedName>
    <definedName name="DEDUCT" localSheetId="15">#REF!</definedName>
    <definedName name="DEDUCT">#REF!</definedName>
    <definedName name="DISCOUNT" localSheetId="15">#REF!</definedName>
    <definedName name="DISCOUNT">#REF!</definedName>
    <definedName name="EXP" localSheetId="15">#REF!</definedName>
    <definedName name="EXP">#REF!</definedName>
    <definedName name="FACADE" localSheetId="15">#REF!</definedName>
    <definedName name="FACADE">#REF!</definedName>
    <definedName name="FINAN" localSheetId="8">[1]TOC:GEN!$J$1:$N$49</definedName>
    <definedName name="FINAN">[2]TOC:GEN!$J$1:$N$49</definedName>
    <definedName name="FLOW" localSheetId="15">#REF!</definedName>
    <definedName name="FLOW">#REF!</definedName>
    <definedName name="FUNDED" localSheetId="15">#REF!</definedName>
    <definedName name="FUNDED">#REF!</definedName>
    <definedName name="IRR" localSheetId="15">#REF!</definedName>
    <definedName name="IRR">#REF!</definedName>
    <definedName name="MaxBldrsOverhead" localSheetId="15">#REF!</definedName>
    <definedName name="MaxBldrsOverhead">#REF!</definedName>
    <definedName name="MaxBldrsProfit" localSheetId="15">#REF!</definedName>
    <definedName name="MaxBldrsProfit">#REF!</definedName>
    <definedName name="MaxGenrlReqmtsPct" localSheetId="15">#REF!</definedName>
    <definedName name="MaxGenrlReqmtsPct">#REF!</definedName>
    <definedName name="MaxIdentIntDevFee" localSheetId="15">#REF!</definedName>
    <definedName name="MaxIdentIntDevFee">#REF!</definedName>
    <definedName name="MaxRehabConstrConting" localSheetId="15">#REF!</definedName>
    <definedName name="MaxRehabConstrConting">#REF!</definedName>
    <definedName name="MINGAIN" localSheetId="15">#REF!</definedName>
    <definedName name="MINGAIN">#REF!</definedName>
    <definedName name="MINGAIN2" localSheetId="15">#REF!</definedName>
    <definedName name="MINGAIN2">#REF!</definedName>
    <definedName name="MinLIHTCMonFeePerUnit" localSheetId="15">#REF!</definedName>
    <definedName name="MinLIHTCMonFeePerUnit">#REF!</definedName>
    <definedName name="MinNewContrReplResrvePerUnit" localSheetId="15">#REF!</definedName>
    <definedName name="MinNewContrReplResrvePerUnit">#REF!</definedName>
    <definedName name="MinOperExpPerUnit" localSheetId="15">#REF!</definedName>
    <definedName name="MinOperExpPerUnit">#REF!</definedName>
    <definedName name="MinRehabConstrConting" localSheetId="15">#REF!</definedName>
    <definedName name="MinRehabConstrConting">#REF!</definedName>
    <definedName name="MinRehabReplResrvePerUnit" localSheetId="15">#REF!</definedName>
    <definedName name="MinRehabReplResrvePerUnit">#REF!</definedName>
    <definedName name="MinRuralOperExp" localSheetId="15">#REF!</definedName>
    <definedName name="MinRuralOperExp">#REF!</definedName>
    <definedName name="MinUSDAMonFee" localSheetId="15">#REF!</definedName>
    <definedName name="MinUSDAMonFee">#REF!</definedName>
    <definedName name="MOIRB3" localSheetId="15">#REF!</definedName>
    <definedName name="MOIRB3">#REF!</definedName>
    <definedName name="MOIRR1" localSheetId="15">#REF!</definedName>
    <definedName name="MOIRR1">#REF!</definedName>
    <definedName name="MOIRR2" localSheetId="15">#REF!</definedName>
    <definedName name="MOIRR2">#REF!</definedName>
    <definedName name="MOIRR3" localSheetId="15">#REF!</definedName>
    <definedName name="MOIRR3">#REF!</definedName>
    <definedName name="MOIRR4" localSheetId="15">#REF!</definedName>
    <definedName name="MOIRR4">#REF!</definedName>
    <definedName name="MOIRR5" localSheetId="15">#REF!</definedName>
    <definedName name="MOIRR5">#REF!</definedName>
    <definedName name="MOIRRB1" localSheetId="15">#REF!</definedName>
    <definedName name="MOIRRB1">#REF!</definedName>
    <definedName name="MOIRRB2" localSheetId="15">#REF!</definedName>
    <definedName name="MOIRRB2">#REF!</definedName>
    <definedName name="MOIRRB3" localSheetId="15">#REF!</definedName>
    <definedName name="MOIRRB3">#REF!</definedName>
    <definedName name="MOIRRB4" localSheetId="15">#REF!</definedName>
    <definedName name="MOIRRB4">#REF!</definedName>
    <definedName name="N" localSheetId="15">#REF!</definedName>
    <definedName name="N">#REF!</definedName>
    <definedName name="NAME" localSheetId="15">#REF!</definedName>
    <definedName name="NAME">#REF!</definedName>
    <definedName name="NewConstrConting" localSheetId="15">#REF!</definedName>
    <definedName name="NewConstrConting">#REF!</definedName>
    <definedName name="NOI" localSheetId="15">#REF!</definedName>
    <definedName name="NOI">#REF!</definedName>
    <definedName name="O" localSheetId="15">#REF!</definedName>
    <definedName name="O">#REF!</definedName>
    <definedName name="_xlnm.Print_Area" localSheetId="0">'Application Tabs Checklist'!$A$1:$G$244</definedName>
    <definedName name="_xlnm.Print_Area" localSheetId="17">'DCA Underwriting Assumptions'!$A$1:$R$70</definedName>
    <definedName name="_xlnm.Print_Area" localSheetId="4">'Part II-Development Team'!$A$1:$S$145</definedName>
    <definedName name="_xlnm.Print_Area" localSheetId="5">'Part III A-Sources of Funds'!$A$1:$Q$55</definedName>
    <definedName name="_xlnm.Print_Area" localSheetId="6">'Part III B-USDA 538 Loan'!$A$1:$F$111</definedName>
    <definedName name="_xlnm.Print_Area" localSheetId="7">'Part III C-HUD Insured Loan'!$A$1:$F$47</definedName>
    <definedName name="_xlnm.Print_Area" localSheetId="2">'Part I-Project Information'!$A$1:$P$171</definedName>
    <definedName name="_xlnm.Print_Area" localSheetId="8">'Part IV-Uses of Funds'!$A$1:$T$169</definedName>
    <definedName name="_xlnm.Print_Area" localSheetId="13">'Part IX A-Scoring Criteria'!$A$1:$P$292</definedName>
    <definedName name="_xlnm.Print_Area" localSheetId="12">'Part VIII-Threshold Criteria'!$A$1:$Q$415</definedName>
    <definedName name="_xlnm.Print_Area" localSheetId="11">'Part VII-Pro Forma'!$A$1:$K$106</definedName>
    <definedName name="_xlnm.Print_Area" localSheetId="10">'Part VI-Revenues &amp; Expenses'!$A$1:$P$168</definedName>
    <definedName name="_xlnm.Print_Area" localSheetId="9">'Part V-Utility Allowances'!$A$1:$M$39</definedName>
    <definedName name="_xlnm.Print_Area" localSheetId="16">'Part X - Applicant Cert Ltr'!$A$1:$M$50</definedName>
    <definedName name="_xlnm.Print_Area" localSheetId="1">'Project Narrative'!$A$1:$A$24</definedName>
    <definedName name="_xlnm.Print_Area" localSheetId="14">'Pt IX B-Super Proj Concept Narr'!$A$1:$A$24</definedName>
    <definedName name="_xlnm.Print_Area" localSheetId="15">'Pt IX C- Signif Comm Value Narr'!$A$1:$A$23</definedName>
    <definedName name="_xlnm.Print_Titles" localSheetId="0">'Application Tabs Checklist'!$1:$6</definedName>
    <definedName name="_xlnm.Print_Titles" localSheetId="4">'Part II-Development Team'!$1:$2</definedName>
    <definedName name="_xlnm.Print_Titles" localSheetId="5">'Part III A-Sources of Funds'!$1:$2</definedName>
    <definedName name="_xlnm.Print_Titles" localSheetId="6">'Part III B-USDA 538 Loan'!$58:$62</definedName>
    <definedName name="_xlnm.Print_Titles" localSheetId="7">'Part III C-HUD Insured Loan'!$50:$54</definedName>
    <definedName name="_xlnm.Print_Titles" localSheetId="2">'Part I-Project Information'!$1:$2</definedName>
    <definedName name="_xlnm.Print_Titles" localSheetId="8">'Part IV-Uses of Funds'!$1:$3</definedName>
    <definedName name="_xlnm.Print_Titles" localSheetId="13">'Part IX A-Scoring Criteria'!$1:$7</definedName>
    <definedName name="_xlnm.Print_Titles" localSheetId="12">'Part VIII-Threshold Criteria'!$1:$6</definedName>
    <definedName name="_xlnm.Print_Titles" localSheetId="11">'Part VII-Pro Forma'!$1:$12</definedName>
    <definedName name="_xlnm.Print_Titles" localSheetId="10">'Part VI-Revenues &amp; Expenses'!$1:$2</definedName>
    <definedName name="_xlnm.Print_Titles" localSheetId="1">'Project Narrative'!$1:$4</definedName>
    <definedName name="_xlnm.Print_Titles" localSheetId="14">'Pt IX B-Super Proj Concept Narr'!$1:$4</definedName>
    <definedName name="_xlnm.Print_Titles" localSheetId="15">'Pt IX C- Signif Comm Value Narr'!$1:$4</definedName>
    <definedName name="REALLOC" localSheetId="15">#REF!</definedName>
    <definedName name="REALLOC">#REF!</definedName>
    <definedName name="REALLOC2" localSheetId="15">#REF!</definedName>
    <definedName name="REALLOC2">#REF!</definedName>
    <definedName name="RENT" localSheetId="15">#REF!</definedName>
    <definedName name="RENT">#REF!</definedName>
    <definedName name="RENTUP" localSheetId="15">#REF!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5">#REF!</definedName>
    <definedName name="TAX_CREDIT">#REF!</definedName>
    <definedName name="TAX_CREDIT_3" localSheetId="15">#REF!</definedName>
    <definedName name="TAX_CREDIT_3">#REF!</definedName>
    <definedName name="TAXPREF" localSheetId="15">#REF!</definedName>
    <definedName name="TAXPREF">#REF!</definedName>
    <definedName name="WORKCAP" localSheetId="15">#REF!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G119" i="15"/>
  <c r="G20"/>
  <c r="R13" i="24" l="1"/>
  <c r="R12"/>
  <c r="R11"/>
  <c r="D125" i="15" s="1"/>
  <c r="A3" i="39"/>
  <c r="A2"/>
  <c r="A3" i="38"/>
  <c r="A2"/>
  <c r="M291" i="11"/>
  <c r="P278"/>
  <c r="P273" s="1"/>
  <c r="O278"/>
  <c r="L277"/>
  <c r="P274"/>
  <c r="O274"/>
  <c r="O273"/>
  <c r="P269"/>
  <c r="O269"/>
  <c r="P267"/>
  <c r="O267"/>
  <c r="P265"/>
  <c r="O265"/>
  <c r="A265"/>
  <c r="P264"/>
  <c r="P254"/>
  <c r="O254"/>
  <c r="L254"/>
  <c r="R246"/>
  <c r="P246"/>
  <c r="O246"/>
  <c r="R243"/>
  <c r="L243"/>
  <c r="P242"/>
  <c r="O242"/>
  <c r="L233"/>
  <c r="L228"/>
  <c r="M221"/>
  <c r="K221"/>
  <c r="L211"/>
  <c r="L195"/>
  <c r="L193"/>
  <c r="N182"/>
  <c r="L182"/>
  <c r="N177"/>
  <c r="J177"/>
  <c r="L177" s="1"/>
  <c r="L169"/>
  <c r="R163"/>
  <c r="R162"/>
  <c r="P161"/>
  <c r="O161"/>
  <c r="N146"/>
  <c r="L146"/>
  <c r="O139"/>
  <c r="L133"/>
  <c r="G133"/>
  <c r="P132"/>
  <c r="O132"/>
  <c r="A122"/>
  <c r="M121"/>
  <c r="M120"/>
  <c r="M119"/>
  <c r="M118"/>
  <c r="M117"/>
  <c r="M115"/>
  <c r="A114"/>
  <c r="A112"/>
  <c r="M108"/>
  <c r="M107"/>
  <c r="M106"/>
  <c r="M105"/>
  <c r="A104"/>
  <c r="M101"/>
  <c r="M100"/>
  <c r="M99"/>
  <c r="A98"/>
  <c r="M96"/>
  <c r="M95"/>
  <c r="M94"/>
  <c r="A93"/>
  <c r="O90"/>
  <c r="M82"/>
  <c r="M81"/>
  <c r="A80"/>
  <c r="M79"/>
  <c r="M78"/>
  <c r="A77"/>
  <c r="O74"/>
  <c r="N67"/>
  <c r="N58"/>
  <c r="L52"/>
  <c r="L51"/>
  <c r="L50"/>
  <c r="P49"/>
  <c r="O49"/>
  <c r="P38"/>
  <c r="O38"/>
  <c r="L32"/>
  <c r="I31"/>
  <c r="P16"/>
  <c r="K16"/>
  <c r="F16"/>
  <c r="G12"/>
  <c r="G11"/>
  <c r="G10"/>
  <c r="P8"/>
  <c r="O8"/>
  <c r="M6"/>
  <c r="A1"/>
  <c r="J43" i="6"/>
  <c r="H3"/>
  <c r="A3"/>
  <c r="A1"/>
  <c r="B100" i="8"/>
  <c r="K98"/>
  <c r="J98"/>
  <c r="I98"/>
  <c r="H98"/>
  <c r="G98"/>
  <c r="F98"/>
  <c r="E98"/>
  <c r="D98"/>
  <c r="C98"/>
  <c r="B98"/>
  <c r="K97"/>
  <c r="J97"/>
  <c r="I97"/>
  <c r="H97"/>
  <c r="G97"/>
  <c r="F97"/>
  <c r="E97"/>
  <c r="D97"/>
  <c r="C97"/>
  <c r="B97"/>
  <c r="K96"/>
  <c r="J96"/>
  <c r="I96"/>
  <c r="H96"/>
  <c r="G96"/>
  <c r="F96"/>
  <c r="E96"/>
  <c r="D96"/>
  <c r="C96"/>
  <c r="B96"/>
  <c r="A94"/>
  <c r="A86"/>
  <c r="K85"/>
  <c r="J85"/>
  <c r="I85"/>
  <c r="H85"/>
  <c r="G85"/>
  <c r="F85"/>
  <c r="E85"/>
  <c r="D85"/>
  <c r="C85"/>
  <c r="B85"/>
  <c r="A85"/>
  <c r="K84"/>
  <c r="J84"/>
  <c r="I84"/>
  <c r="H84"/>
  <c r="G84"/>
  <c r="F84"/>
  <c r="E84"/>
  <c r="D84"/>
  <c r="C84"/>
  <c r="B84"/>
  <c r="A84"/>
  <c r="K83"/>
  <c r="J83"/>
  <c r="I83"/>
  <c r="H83"/>
  <c r="H91" s="1"/>
  <c r="G83"/>
  <c r="F83"/>
  <c r="E83"/>
  <c r="D83"/>
  <c r="C83"/>
  <c r="B83"/>
  <c r="A83"/>
  <c r="K80"/>
  <c r="J80"/>
  <c r="I80"/>
  <c r="H80"/>
  <c r="G80"/>
  <c r="F80"/>
  <c r="E80"/>
  <c r="D80"/>
  <c r="C80"/>
  <c r="B80"/>
  <c r="K78"/>
  <c r="J78"/>
  <c r="I78"/>
  <c r="H78"/>
  <c r="G78"/>
  <c r="F78"/>
  <c r="E78"/>
  <c r="D78"/>
  <c r="C78"/>
  <c r="B78"/>
  <c r="B74"/>
  <c r="K73"/>
  <c r="J73"/>
  <c r="I73"/>
  <c r="H73"/>
  <c r="G73"/>
  <c r="F73"/>
  <c r="E73"/>
  <c r="D73"/>
  <c r="C73"/>
  <c r="B73"/>
  <c r="B70"/>
  <c r="K68"/>
  <c r="J68"/>
  <c r="I68"/>
  <c r="H68"/>
  <c r="G68"/>
  <c r="F68"/>
  <c r="E68"/>
  <c r="D68"/>
  <c r="C68"/>
  <c r="B68"/>
  <c r="K67"/>
  <c r="J67"/>
  <c r="I67"/>
  <c r="H67"/>
  <c r="G67"/>
  <c r="F67"/>
  <c r="E67"/>
  <c r="D67"/>
  <c r="C67"/>
  <c r="B67"/>
  <c r="K66"/>
  <c r="J66"/>
  <c r="I66"/>
  <c r="H66"/>
  <c r="G66"/>
  <c r="F66"/>
  <c r="E66"/>
  <c r="D66"/>
  <c r="C66"/>
  <c r="B66"/>
  <c r="A64"/>
  <c r="E61"/>
  <c r="A56"/>
  <c r="K55"/>
  <c r="J55"/>
  <c r="I55"/>
  <c r="H55"/>
  <c r="G55"/>
  <c r="F55"/>
  <c r="E55"/>
  <c r="D55"/>
  <c r="C55"/>
  <c r="B55"/>
  <c r="A55"/>
  <c r="K54"/>
  <c r="J54"/>
  <c r="I54"/>
  <c r="H54"/>
  <c r="G54"/>
  <c r="F54"/>
  <c r="E54"/>
  <c r="E62" s="1"/>
  <c r="D54"/>
  <c r="C54"/>
  <c r="B54"/>
  <c r="A54"/>
  <c r="K53"/>
  <c r="J53"/>
  <c r="I53"/>
  <c r="H53"/>
  <c r="G53"/>
  <c r="F53"/>
  <c r="E53"/>
  <c r="D53"/>
  <c r="D61" s="1"/>
  <c r="C53"/>
  <c r="B53"/>
  <c r="A53"/>
  <c r="K50"/>
  <c r="J50"/>
  <c r="I50"/>
  <c r="H50"/>
  <c r="G50"/>
  <c r="F50"/>
  <c r="E50"/>
  <c r="D50"/>
  <c r="C50"/>
  <c r="B50"/>
  <c r="K48"/>
  <c r="J48"/>
  <c r="I48"/>
  <c r="H48"/>
  <c r="G48"/>
  <c r="F48"/>
  <c r="E48"/>
  <c r="D48"/>
  <c r="C48"/>
  <c r="B48"/>
  <c r="G44"/>
  <c r="K43"/>
  <c r="J43"/>
  <c r="I43"/>
  <c r="H43"/>
  <c r="G43"/>
  <c r="F43"/>
  <c r="E43"/>
  <c r="D43"/>
  <c r="C43"/>
  <c r="B43"/>
  <c r="B40"/>
  <c r="K38"/>
  <c r="J38"/>
  <c r="I38"/>
  <c r="H38"/>
  <c r="G38"/>
  <c r="F38"/>
  <c r="E38"/>
  <c r="D38"/>
  <c r="C38"/>
  <c r="B38"/>
  <c r="K37"/>
  <c r="J37"/>
  <c r="I37"/>
  <c r="H37"/>
  <c r="G37"/>
  <c r="F37"/>
  <c r="E37"/>
  <c r="D37"/>
  <c r="C37"/>
  <c r="B37"/>
  <c r="K36"/>
  <c r="J36"/>
  <c r="I36"/>
  <c r="H36"/>
  <c r="G36"/>
  <c r="F36"/>
  <c r="E36"/>
  <c r="D36"/>
  <c r="C36"/>
  <c r="B36"/>
  <c r="A33"/>
  <c r="A63" s="1"/>
  <c r="A93" s="1"/>
  <c r="A32"/>
  <c r="A62" s="1"/>
  <c r="A92" s="1"/>
  <c r="A31"/>
  <c r="A61" s="1"/>
  <c r="A91" s="1"/>
  <c r="B28"/>
  <c r="C28" s="1"/>
  <c r="K25"/>
  <c r="J25"/>
  <c r="I25"/>
  <c r="H25"/>
  <c r="G25"/>
  <c r="F25"/>
  <c r="E25"/>
  <c r="D25"/>
  <c r="C25"/>
  <c r="B25"/>
  <c r="K24"/>
  <c r="J24"/>
  <c r="I24"/>
  <c r="H24"/>
  <c r="G24"/>
  <c r="F24"/>
  <c r="E24"/>
  <c r="D24"/>
  <c r="C24"/>
  <c r="B24"/>
  <c r="K23"/>
  <c r="J23"/>
  <c r="I23"/>
  <c r="H23"/>
  <c r="G23"/>
  <c r="F23"/>
  <c r="E23"/>
  <c r="D23"/>
  <c r="C23"/>
  <c r="B23"/>
  <c r="B21"/>
  <c r="K20"/>
  <c r="J20"/>
  <c r="I20"/>
  <c r="H20"/>
  <c r="G20"/>
  <c r="F20"/>
  <c r="E20"/>
  <c r="D20"/>
  <c r="C20"/>
  <c r="B20"/>
  <c r="K18"/>
  <c r="J18"/>
  <c r="I18"/>
  <c r="H18"/>
  <c r="G18"/>
  <c r="F18"/>
  <c r="E18"/>
  <c r="D18"/>
  <c r="C18"/>
  <c r="B18"/>
  <c r="H14"/>
  <c r="B14"/>
  <c r="H74" s="1"/>
  <c r="K13"/>
  <c r="J13"/>
  <c r="I13"/>
  <c r="H13"/>
  <c r="G13"/>
  <c r="F13"/>
  <c r="E13"/>
  <c r="D13"/>
  <c r="C13"/>
  <c r="M11"/>
  <c r="M3"/>
  <c r="A1"/>
  <c r="M1" s="1"/>
  <c r="F165" i="36"/>
  <c r="K162"/>
  <c r="P160"/>
  <c r="J159"/>
  <c r="J158"/>
  <c r="J157"/>
  <c r="F154"/>
  <c r="K152"/>
  <c r="F145"/>
  <c r="P144"/>
  <c r="K143"/>
  <c r="T138"/>
  <c r="P136"/>
  <c r="O136"/>
  <c r="N136"/>
  <c r="M136"/>
  <c r="L136"/>
  <c r="K136"/>
  <c r="J136"/>
  <c r="I136"/>
  <c r="H136"/>
  <c r="G136"/>
  <c r="T133"/>
  <c r="T128"/>
  <c r="P126"/>
  <c r="O126"/>
  <c r="N126"/>
  <c r="M126"/>
  <c r="L126"/>
  <c r="K126"/>
  <c r="J126"/>
  <c r="I126"/>
  <c r="H126"/>
  <c r="G126"/>
  <c r="T123"/>
  <c r="T118"/>
  <c r="P116"/>
  <c r="O116"/>
  <c r="N116"/>
  <c r="M116"/>
  <c r="L116"/>
  <c r="K116"/>
  <c r="J116"/>
  <c r="I116"/>
  <c r="H116"/>
  <c r="G116"/>
  <c r="T113"/>
  <c r="T108"/>
  <c r="T106"/>
  <c r="T104"/>
  <c r="O104"/>
  <c r="G104"/>
  <c r="Q100"/>
  <c r="M100"/>
  <c r="L100"/>
  <c r="K100"/>
  <c r="J100"/>
  <c r="I100"/>
  <c r="H100"/>
  <c r="Q99"/>
  <c r="M99"/>
  <c r="L99"/>
  <c r="K99"/>
  <c r="J99"/>
  <c r="I99"/>
  <c r="H99"/>
  <c r="Q98"/>
  <c r="M98"/>
  <c r="L98"/>
  <c r="K98"/>
  <c r="J98"/>
  <c r="I98"/>
  <c r="H98"/>
  <c r="Q97"/>
  <c r="M97"/>
  <c r="L97"/>
  <c r="K97"/>
  <c r="J97"/>
  <c r="I97"/>
  <c r="H97"/>
  <c r="Q96"/>
  <c r="M96"/>
  <c r="L96"/>
  <c r="K96"/>
  <c r="J96"/>
  <c r="I96"/>
  <c r="H96"/>
  <c r="Q95"/>
  <c r="M95"/>
  <c r="L95"/>
  <c r="K95"/>
  <c r="J95"/>
  <c r="I95"/>
  <c r="H95"/>
  <c r="Q94"/>
  <c r="M94"/>
  <c r="L94"/>
  <c r="K94"/>
  <c r="J94"/>
  <c r="I94"/>
  <c r="H94"/>
  <c r="T93"/>
  <c r="Q92"/>
  <c r="M92"/>
  <c r="L92"/>
  <c r="K92"/>
  <c r="J92"/>
  <c r="I92"/>
  <c r="H92"/>
  <c r="Q91"/>
  <c r="M91"/>
  <c r="L91"/>
  <c r="K91"/>
  <c r="J91"/>
  <c r="I91"/>
  <c r="H91"/>
  <c r="Q90"/>
  <c r="M90"/>
  <c r="L90"/>
  <c r="K90"/>
  <c r="J90"/>
  <c r="I90"/>
  <c r="H90"/>
  <c r="Q89"/>
  <c r="M89"/>
  <c r="L89"/>
  <c r="K89"/>
  <c r="J89"/>
  <c r="I89"/>
  <c r="H89"/>
  <c r="M88"/>
  <c r="L88"/>
  <c r="K88"/>
  <c r="J88"/>
  <c r="I88"/>
  <c r="H88"/>
  <c r="M87"/>
  <c r="L87"/>
  <c r="K87"/>
  <c r="J87"/>
  <c r="I87"/>
  <c r="H87"/>
  <c r="M86"/>
  <c r="L86"/>
  <c r="K86"/>
  <c r="J86"/>
  <c r="I86"/>
  <c r="H86"/>
  <c r="M85"/>
  <c r="L85"/>
  <c r="K85"/>
  <c r="J85"/>
  <c r="I85"/>
  <c r="H85"/>
  <c r="Q84"/>
  <c r="M84"/>
  <c r="L84"/>
  <c r="K84"/>
  <c r="J84"/>
  <c r="I84"/>
  <c r="H84"/>
  <c r="T83"/>
  <c r="M82"/>
  <c r="M81"/>
  <c r="Q80"/>
  <c r="M80"/>
  <c r="L80"/>
  <c r="K80"/>
  <c r="J80"/>
  <c r="I80"/>
  <c r="H80"/>
  <c r="Q79"/>
  <c r="M79"/>
  <c r="L79"/>
  <c r="K79"/>
  <c r="J79"/>
  <c r="I79"/>
  <c r="H79"/>
  <c r="Q78"/>
  <c r="M78"/>
  <c r="L78"/>
  <c r="K78"/>
  <c r="J78"/>
  <c r="I78"/>
  <c r="H78"/>
  <c r="Q77"/>
  <c r="M77"/>
  <c r="L77"/>
  <c r="K77"/>
  <c r="J77"/>
  <c r="I77"/>
  <c r="H77"/>
  <c r="Q76"/>
  <c r="M76"/>
  <c r="L76"/>
  <c r="K76"/>
  <c r="J76"/>
  <c r="I76"/>
  <c r="H76"/>
  <c r="Q75"/>
  <c r="M75"/>
  <c r="L75"/>
  <c r="K75"/>
  <c r="J75"/>
  <c r="I75"/>
  <c r="H75"/>
  <c r="Q74"/>
  <c r="M74"/>
  <c r="L74"/>
  <c r="K74"/>
  <c r="J74"/>
  <c r="I74"/>
  <c r="H74"/>
  <c r="Q73"/>
  <c r="M73"/>
  <c r="L73"/>
  <c r="K73"/>
  <c r="J73"/>
  <c r="I73"/>
  <c r="H73"/>
  <c r="Q72"/>
  <c r="M72"/>
  <c r="L72"/>
  <c r="K72"/>
  <c r="J72"/>
  <c r="I72"/>
  <c r="H72"/>
  <c r="T71"/>
  <c r="Q70"/>
  <c r="M70"/>
  <c r="L70"/>
  <c r="K70"/>
  <c r="J70"/>
  <c r="I70"/>
  <c r="H70"/>
  <c r="Q69"/>
  <c r="M69"/>
  <c r="L69"/>
  <c r="K69"/>
  <c r="J69"/>
  <c r="I69"/>
  <c r="H69"/>
  <c r="Q68"/>
  <c r="M68"/>
  <c r="L68"/>
  <c r="K68"/>
  <c r="J68"/>
  <c r="I68"/>
  <c r="H68"/>
  <c r="T67"/>
  <c r="Q66"/>
  <c r="M66"/>
  <c r="L66"/>
  <c r="K66"/>
  <c r="J66"/>
  <c r="I66"/>
  <c r="H66"/>
  <c r="Q65"/>
  <c r="M65"/>
  <c r="L65"/>
  <c r="K65"/>
  <c r="J65"/>
  <c r="I65"/>
  <c r="H65"/>
  <c r="Q64"/>
  <c r="M64"/>
  <c r="L64"/>
  <c r="K64"/>
  <c r="J64"/>
  <c r="I64"/>
  <c r="H64"/>
  <c r="T63"/>
  <c r="Q62"/>
  <c r="M62"/>
  <c r="L62"/>
  <c r="K62"/>
  <c r="J62"/>
  <c r="I62"/>
  <c r="H62"/>
  <c r="Q61"/>
  <c r="M61"/>
  <c r="L61"/>
  <c r="K61"/>
  <c r="J61"/>
  <c r="I61"/>
  <c r="H61"/>
  <c r="Q60"/>
  <c r="M60"/>
  <c r="L60"/>
  <c r="K60"/>
  <c r="J60"/>
  <c r="I60"/>
  <c r="H60"/>
  <c r="Q59"/>
  <c r="M59"/>
  <c r="L59"/>
  <c r="K59"/>
  <c r="J59"/>
  <c r="I59"/>
  <c r="H59"/>
  <c r="Q58"/>
  <c r="M58"/>
  <c r="L58"/>
  <c r="K58"/>
  <c r="J58"/>
  <c r="I58"/>
  <c r="H58"/>
  <c r="Q57"/>
  <c r="M57"/>
  <c r="L57"/>
  <c r="K57"/>
  <c r="J57"/>
  <c r="I57"/>
  <c r="H57"/>
  <c r="Q56"/>
  <c r="M56"/>
  <c r="L56"/>
  <c r="K56"/>
  <c r="J56"/>
  <c r="I56"/>
  <c r="H56"/>
  <c r="T53"/>
  <c r="Q53"/>
  <c r="L49"/>
  <c r="HM48"/>
  <c r="HL48"/>
  <c r="HK48"/>
  <c r="HJ48"/>
  <c r="HI48"/>
  <c r="HH48"/>
  <c r="HG48"/>
  <c r="HF48"/>
  <c r="HE48"/>
  <c r="HD48"/>
  <c r="HC48"/>
  <c r="HB48"/>
  <c r="HA48"/>
  <c r="GZ48"/>
  <c r="GY48"/>
  <c r="GX48"/>
  <c r="GW48"/>
  <c r="GV48"/>
  <c r="GU48"/>
  <c r="GT48"/>
  <c r="GS48"/>
  <c r="GR48"/>
  <c r="GQ48"/>
  <c r="GP48"/>
  <c r="GO48"/>
  <c r="GN48"/>
  <c r="GM48"/>
  <c r="GL48"/>
  <c r="GK48"/>
  <c r="GJ48"/>
  <c r="GI48"/>
  <c r="GH48"/>
  <c r="GG48"/>
  <c r="GF48"/>
  <c r="GE48"/>
  <c r="GD48"/>
  <c r="GC48"/>
  <c r="GB48"/>
  <c r="GA48"/>
  <c r="FZ48"/>
  <c r="FY48"/>
  <c r="FX48"/>
  <c r="FW48"/>
  <c r="FV48"/>
  <c r="FU48"/>
  <c r="FT48"/>
  <c r="FS48"/>
  <c r="FR48"/>
  <c r="FQ48"/>
  <c r="FP48"/>
  <c r="FO48"/>
  <c r="FN48"/>
  <c r="FM48"/>
  <c r="FL48"/>
  <c r="FK48"/>
  <c r="FJ48"/>
  <c r="FI48"/>
  <c r="FH48"/>
  <c r="FG48"/>
  <c r="FF48"/>
  <c r="FE48"/>
  <c r="FD48"/>
  <c r="FC48"/>
  <c r="FB48"/>
  <c r="FA48"/>
  <c r="EZ48"/>
  <c r="EY48"/>
  <c r="EX48"/>
  <c r="EW48"/>
  <c r="EV48"/>
  <c r="EU48"/>
  <c r="ET48"/>
  <c r="ES48"/>
  <c r="ER48"/>
  <c r="EQ48"/>
  <c r="EP48"/>
  <c r="EO48"/>
  <c r="EN48"/>
  <c r="EM48"/>
  <c r="EL48"/>
  <c r="EK48"/>
  <c r="EJ48"/>
  <c r="EI48"/>
  <c r="EH48"/>
  <c r="EG48"/>
  <c r="EF48"/>
  <c r="EE48"/>
  <c r="ED48"/>
  <c r="EC48"/>
  <c r="EB48"/>
  <c r="EA48"/>
  <c r="DZ48"/>
  <c r="DY48"/>
  <c r="DX48"/>
  <c r="DW48"/>
  <c r="DV48"/>
  <c r="DU48"/>
  <c r="DT48"/>
  <c r="DS48"/>
  <c r="DR48"/>
  <c r="DQ48"/>
  <c r="DP48"/>
  <c r="DO48"/>
  <c r="DN48"/>
  <c r="DM48"/>
  <c r="DL48"/>
  <c r="DK48"/>
  <c r="DJ48"/>
  <c r="DI48"/>
  <c r="DH48"/>
  <c r="DG48"/>
  <c r="DF48"/>
  <c r="DE48"/>
  <c r="DD48"/>
  <c r="DC48"/>
  <c r="DB48"/>
  <c r="DA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L48"/>
  <c r="F48"/>
  <c r="E48"/>
  <c r="A48"/>
  <c r="HM47"/>
  <c r="HL47"/>
  <c r="HK47"/>
  <c r="HJ47"/>
  <c r="HI47"/>
  <c r="HH47"/>
  <c r="HG47"/>
  <c r="HF47"/>
  <c r="HE47"/>
  <c r="HD47"/>
  <c r="HC47"/>
  <c r="HB47"/>
  <c r="HA47"/>
  <c r="GZ47"/>
  <c r="GY47"/>
  <c r="GX47"/>
  <c r="GW47"/>
  <c r="GV47"/>
  <c r="GU47"/>
  <c r="GT47"/>
  <c r="GS47"/>
  <c r="GR47"/>
  <c r="GQ47"/>
  <c r="GP47"/>
  <c r="GO47"/>
  <c r="GN47"/>
  <c r="GM47"/>
  <c r="GL47"/>
  <c r="GK47"/>
  <c r="GJ47"/>
  <c r="GI47"/>
  <c r="GH47"/>
  <c r="GG47"/>
  <c r="GF47"/>
  <c r="GE47"/>
  <c r="GD47"/>
  <c r="GC47"/>
  <c r="GB47"/>
  <c r="GA47"/>
  <c r="FZ47"/>
  <c r="FY47"/>
  <c r="FX47"/>
  <c r="FW47"/>
  <c r="FV47"/>
  <c r="FU47"/>
  <c r="FT47"/>
  <c r="FS47"/>
  <c r="FR47"/>
  <c r="FQ47"/>
  <c r="FP47"/>
  <c r="FO47"/>
  <c r="FN47"/>
  <c r="FM47"/>
  <c r="FL47"/>
  <c r="FK47"/>
  <c r="FJ47"/>
  <c r="FI47"/>
  <c r="FH47"/>
  <c r="FG47"/>
  <c r="FF47"/>
  <c r="FE47"/>
  <c r="FD47"/>
  <c r="FC47"/>
  <c r="FB47"/>
  <c r="FA47"/>
  <c r="EZ47"/>
  <c r="EY47"/>
  <c r="EX47"/>
  <c r="EW47"/>
  <c r="EV47"/>
  <c r="EU47"/>
  <c r="ET47"/>
  <c r="ES47"/>
  <c r="ER47"/>
  <c r="EQ47"/>
  <c r="EP47"/>
  <c r="EO47"/>
  <c r="EN47"/>
  <c r="EM47"/>
  <c r="EL47"/>
  <c r="EK47"/>
  <c r="EJ47"/>
  <c r="EI47"/>
  <c r="EH47"/>
  <c r="EG47"/>
  <c r="EF47"/>
  <c r="EE47"/>
  <c r="ED47"/>
  <c r="EC47"/>
  <c r="EB47"/>
  <c r="EA47"/>
  <c r="DZ47"/>
  <c r="DY47"/>
  <c r="DX47"/>
  <c r="DW47"/>
  <c r="DV47"/>
  <c r="DU47"/>
  <c r="DT47"/>
  <c r="DS47"/>
  <c r="DR47"/>
  <c r="DQ47"/>
  <c r="DP47"/>
  <c r="DO47"/>
  <c r="DN47"/>
  <c r="DM47"/>
  <c r="DL47"/>
  <c r="DK47"/>
  <c r="DJ47"/>
  <c r="DI47"/>
  <c r="DH47"/>
  <c r="DG47"/>
  <c r="DF47"/>
  <c r="DE47"/>
  <c r="DD47"/>
  <c r="DC47"/>
  <c r="DB47"/>
  <c r="DA47"/>
  <c r="CZ47"/>
  <c r="CY47"/>
  <c r="CX47"/>
  <c r="CW47"/>
  <c r="CV47"/>
  <c r="CU47"/>
  <c r="CT47"/>
  <c r="CS47"/>
  <c r="CR47"/>
  <c r="CQ47"/>
  <c r="CP47"/>
  <c r="CO47"/>
  <c r="CN47"/>
  <c r="CM47"/>
  <c r="CL47"/>
  <c r="CK47"/>
  <c r="CJ47"/>
  <c r="CI47"/>
  <c r="CH47"/>
  <c r="CG47"/>
  <c r="CF47"/>
  <c r="CE47"/>
  <c r="CD47"/>
  <c r="CC47"/>
  <c r="CB47"/>
  <c r="CA47"/>
  <c r="BZ47"/>
  <c r="BY47"/>
  <c r="BX47"/>
  <c r="BW47"/>
  <c r="BV47"/>
  <c r="BU47"/>
  <c r="BT47"/>
  <c r="BS47"/>
  <c r="BR47"/>
  <c r="BQ47"/>
  <c r="BP47"/>
  <c r="BO47"/>
  <c r="BN47"/>
  <c r="BM47"/>
  <c r="BL47"/>
  <c r="BK47"/>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Q47"/>
  <c r="P47"/>
  <c r="L47"/>
  <c r="K47"/>
  <c r="A47"/>
  <c r="HM46"/>
  <c r="HL46"/>
  <c r="HK46"/>
  <c r="HJ46"/>
  <c r="HI46"/>
  <c r="HH46"/>
  <c r="HG46"/>
  <c r="HF46"/>
  <c r="HE46"/>
  <c r="HD46"/>
  <c r="HC46"/>
  <c r="HB46"/>
  <c r="HA46"/>
  <c r="GZ46"/>
  <c r="GY46"/>
  <c r="GX46"/>
  <c r="GW46"/>
  <c r="GV46"/>
  <c r="GU46"/>
  <c r="GT46"/>
  <c r="GS46"/>
  <c r="GR46"/>
  <c r="GQ46"/>
  <c r="GP46"/>
  <c r="GO46"/>
  <c r="GN46"/>
  <c r="GM46"/>
  <c r="GL46"/>
  <c r="GK46"/>
  <c r="GJ46"/>
  <c r="GI46"/>
  <c r="GH46"/>
  <c r="GG46"/>
  <c r="GF46"/>
  <c r="GE46"/>
  <c r="GD46"/>
  <c r="GC46"/>
  <c r="GB46"/>
  <c r="GA46"/>
  <c r="FZ46"/>
  <c r="FY46"/>
  <c r="FX46"/>
  <c r="FW46"/>
  <c r="FV46"/>
  <c r="FU46"/>
  <c r="FT46"/>
  <c r="FS46"/>
  <c r="FR46"/>
  <c r="FQ46"/>
  <c r="FP46"/>
  <c r="FO46"/>
  <c r="FN46"/>
  <c r="FM46"/>
  <c r="FL46"/>
  <c r="FK46"/>
  <c r="FJ46"/>
  <c r="FI46"/>
  <c r="FH46"/>
  <c r="FG46"/>
  <c r="FF46"/>
  <c r="FE46"/>
  <c r="FD46"/>
  <c r="FC46"/>
  <c r="FB46"/>
  <c r="FA46"/>
  <c r="EZ46"/>
  <c r="EY46"/>
  <c r="EX46"/>
  <c r="EW46"/>
  <c r="EV46"/>
  <c r="EU46"/>
  <c r="ET46"/>
  <c r="ES46"/>
  <c r="ER46"/>
  <c r="EQ46"/>
  <c r="EP46"/>
  <c r="EO46"/>
  <c r="EN46"/>
  <c r="EM46"/>
  <c r="EL46"/>
  <c r="EK46"/>
  <c r="EJ46"/>
  <c r="EI46"/>
  <c r="EH46"/>
  <c r="EG46"/>
  <c r="EF46"/>
  <c r="EE46"/>
  <c r="ED46"/>
  <c r="EC46"/>
  <c r="EB46"/>
  <c r="EA46"/>
  <c r="DZ46"/>
  <c r="DY46"/>
  <c r="DX46"/>
  <c r="DW46"/>
  <c r="DV46"/>
  <c r="DU46"/>
  <c r="DT46"/>
  <c r="DS46"/>
  <c r="DR46"/>
  <c r="DQ46"/>
  <c r="DP46"/>
  <c r="DO46"/>
  <c r="DN46"/>
  <c r="DM46"/>
  <c r="DL46"/>
  <c r="DK46"/>
  <c r="DJ46"/>
  <c r="DI46"/>
  <c r="DH46"/>
  <c r="DG46"/>
  <c r="DF46"/>
  <c r="DE46"/>
  <c r="DD46"/>
  <c r="DC46"/>
  <c r="DB46"/>
  <c r="DA46"/>
  <c r="CZ46"/>
  <c r="CY46"/>
  <c r="CX46"/>
  <c r="CW46"/>
  <c r="CV46"/>
  <c r="CU46"/>
  <c r="CT46"/>
  <c r="CS46"/>
  <c r="CR46"/>
  <c r="CQ46"/>
  <c r="CP46"/>
  <c r="CO46"/>
  <c r="CN46"/>
  <c r="CM46"/>
  <c r="CL46"/>
  <c r="CK46"/>
  <c r="CJ46"/>
  <c r="CI46"/>
  <c r="CH46"/>
  <c r="CG46"/>
  <c r="CF46"/>
  <c r="CE46"/>
  <c r="CD46"/>
  <c r="CC46"/>
  <c r="CB46"/>
  <c r="CA46"/>
  <c r="BZ46"/>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Q46"/>
  <c r="P46"/>
  <c r="L46"/>
  <c r="K46"/>
  <c r="A46"/>
  <c r="HM45"/>
  <c r="HL45"/>
  <c r="HK45"/>
  <c r="HJ45"/>
  <c r="HI45"/>
  <c r="HH45"/>
  <c r="HG45"/>
  <c r="HF45"/>
  <c r="HE45"/>
  <c r="HD45"/>
  <c r="HC45"/>
  <c r="HB45"/>
  <c r="HA45"/>
  <c r="GZ45"/>
  <c r="GY45"/>
  <c r="GX45"/>
  <c r="GW45"/>
  <c r="GV45"/>
  <c r="GU45"/>
  <c r="GT45"/>
  <c r="GS45"/>
  <c r="GR45"/>
  <c r="GQ45"/>
  <c r="GP45"/>
  <c r="GO45"/>
  <c r="GN45"/>
  <c r="GM45"/>
  <c r="GL45"/>
  <c r="GK45"/>
  <c r="GJ45"/>
  <c r="GI45"/>
  <c r="GH45"/>
  <c r="GG45"/>
  <c r="GF45"/>
  <c r="GE45"/>
  <c r="GD45"/>
  <c r="GC45"/>
  <c r="GB45"/>
  <c r="GA45"/>
  <c r="FZ45"/>
  <c r="FY45"/>
  <c r="FX45"/>
  <c r="FW45"/>
  <c r="FV45"/>
  <c r="FU45"/>
  <c r="FT45"/>
  <c r="FS45"/>
  <c r="FR45"/>
  <c r="FQ45"/>
  <c r="FP45"/>
  <c r="FO45"/>
  <c r="FN45"/>
  <c r="FM45"/>
  <c r="FL45"/>
  <c r="FK45"/>
  <c r="FJ45"/>
  <c r="FI45"/>
  <c r="FH45"/>
  <c r="FG45"/>
  <c r="FF45"/>
  <c r="FE45"/>
  <c r="FD45"/>
  <c r="FC45"/>
  <c r="FB45"/>
  <c r="FA45"/>
  <c r="EZ45"/>
  <c r="EY45"/>
  <c r="EX45"/>
  <c r="EW45"/>
  <c r="EV45"/>
  <c r="EU45"/>
  <c r="ET45"/>
  <c r="ES45"/>
  <c r="ER45"/>
  <c r="EQ45"/>
  <c r="EP45"/>
  <c r="EO45"/>
  <c r="EN45"/>
  <c r="EM45"/>
  <c r="EL45"/>
  <c r="EK45"/>
  <c r="EJ45"/>
  <c r="EI45"/>
  <c r="EH45"/>
  <c r="EG45"/>
  <c r="EF45"/>
  <c r="EE45"/>
  <c r="ED45"/>
  <c r="EC45"/>
  <c r="EB45"/>
  <c r="EA45"/>
  <c r="DZ45"/>
  <c r="DY45"/>
  <c r="DX45"/>
  <c r="DW45"/>
  <c r="DV45"/>
  <c r="DU45"/>
  <c r="DT45"/>
  <c r="DS45"/>
  <c r="DR45"/>
  <c r="DQ45"/>
  <c r="DP45"/>
  <c r="DO45"/>
  <c r="DN45"/>
  <c r="DM45"/>
  <c r="DL45"/>
  <c r="DK45"/>
  <c r="DJ45"/>
  <c r="DI45"/>
  <c r="DH45"/>
  <c r="DG45"/>
  <c r="DF45"/>
  <c r="DE45"/>
  <c r="DD45"/>
  <c r="DC45"/>
  <c r="DB45"/>
  <c r="DA45"/>
  <c r="CZ45"/>
  <c r="CY45"/>
  <c r="CX45"/>
  <c r="CW45"/>
  <c r="CV45"/>
  <c r="CU45"/>
  <c r="CT45"/>
  <c r="CS45"/>
  <c r="CR45"/>
  <c r="CQ45"/>
  <c r="CP45"/>
  <c r="CO45"/>
  <c r="CN45"/>
  <c r="CM45"/>
  <c r="CL45"/>
  <c r="CK45"/>
  <c r="CJ45"/>
  <c r="CI45"/>
  <c r="CH45"/>
  <c r="CG45"/>
  <c r="CF45"/>
  <c r="CE45"/>
  <c r="CD45"/>
  <c r="CC45"/>
  <c r="CB45"/>
  <c r="CA45"/>
  <c r="BZ45"/>
  <c r="BY45"/>
  <c r="BX45"/>
  <c r="BW45"/>
  <c r="BV45"/>
  <c r="BU45"/>
  <c r="BT45"/>
  <c r="BS45"/>
  <c r="BR45"/>
  <c r="BQ45"/>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Q45"/>
  <c r="P45"/>
  <c r="L45"/>
  <c r="K45"/>
  <c r="A45"/>
  <c r="HM44"/>
  <c r="HL44"/>
  <c r="HK44"/>
  <c r="HJ44"/>
  <c r="HI44"/>
  <c r="HH44"/>
  <c r="HG44"/>
  <c r="HF44"/>
  <c r="HE44"/>
  <c r="HD44"/>
  <c r="HC44"/>
  <c r="HB44"/>
  <c r="HA44"/>
  <c r="GZ44"/>
  <c r="GY44"/>
  <c r="GX44"/>
  <c r="GW44"/>
  <c r="GV44"/>
  <c r="GU44"/>
  <c r="GT44"/>
  <c r="GS44"/>
  <c r="GR44"/>
  <c r="GQ44"/>
  <c r="GP44"/>
  <c r="GO44"/>
  <c r="GN44"/>
  <c r="GM44"/>
  <c r="GL44"/>
  <c r="GK44"/>
  <c r="GJ44"/>
  <c r="GI44"/>
  <c r="GH44"/>
  <c r="GG44"/>
  <c r="GF44"/>
  <c r="GE44"/>
  <c r="GD44"/>
  <c r="GC44"/>
  <c r="GB44"/>
  <c r="GA44"/>
  <c r="FZ44"/>
  <c r="FY44"/>
  <c r="FX44"/>
  <c r="FW44"/>
  <c r="FV44"/>
  <c r="FU44"/>
  <c r="FT44"/>
  <c r="FS44"/>
  <c r="FR44"/>
  <c r="FQ44"/>
  <c r="FP44"/>
  <c r="FO44"/>
  <c r="FN44"/>
  <c r="FM44"/>
  <c r="FL44"/>
  <c r="FK44"/>
  <c r="FJ44"/>
  <c r="FI44"/>
  <c r="FH44"/>
  <c r="FG44"/>
  <c r="FF44"/>
  <c r="FE44"/>
  <c r="FD44"/>
  <c r="FC44"/>
  <c r="FB44"/>
  <c r="FA44"/>
  <c r="EZ44"/>
  <c r="EY44"/>
  <c r="EX44"/>
  <c r="EW44"/>
  <c r="EV44"/>
  <c r="EU44"/>
  <c r="ET44"/>
  <c r="ES44"/>
  <c r="ER44"/>
  <c r="EQ44"/>
  <c r="EP44"/>
  <c r="EO44"/>
  <c r="EN44"/>
  <c r="EM44"/>
  <c r="EL44"/>
  <c r="EK44"/>
  <c r="EJ44"/>
  <c r="EI44"/>
  <c r="EH44"/>
  <c r="EG44"/>
  <c r="EF44"/>
  <c r="EE44"/>
  <c r="ED44"/>
  <c r="EC44"/>
  <c r="EB44"/>
  <c r="EA44"/>
  <c r="DZ44"/>
  <c r="DY44"/>
  <c r="DX44"/>
  <c r="DW44"/>
  <c r="DV44"/>
  <c r="DU44"/>
  <c r="DT44"/>
  <c r="DS44"/>
  <c r="DR44"/>
  <c r="DQ44"/>
  <c r="DP44"/>
  <c r="DO44"/>
  <c r="DN44"/>
  <c r="DM44"/>
  <c r="DL44"/>
  <c r="DK44"/>
  <c r="DJ44"/>
  <c r="DI44"/>
  <c r="DH44"/>
  <c r="DG44"/>
  <c r="DF44"/>
  <c r="DE44"/>
  <c r="DD44"/>
  <c r="DC44"/>
  <c r="DB44"/>
  <c r="DA44"/>
  <c r="CZ44"/>
  <c r="CY44"/>
  <c r="CX44"/>
  <c r="CW44"/>
  <c r="CV44"/>
  <c r="CU44"/>
  <c r="CT44"/>
  <c r="CS44"/>
  <c r="CR44"/>
  <c r="CQ44"/>
  <c r="CP44"/>
  <c r="CO44"/>
  <c r="CN44"/>
  <c r="CM44"/>
  <c r="CL44"/>
  <c r="CK44"/>
  <c r="CJ44"/>
  <c r="CI44"/>
  <c r="CH44"/>
  <c r="CG44"/>
  <c r="CF44"/>
  <c r="CE44"/>
  <c r="CD44"/>
  <c r="CC44"/>
  <c r="CB44"/>
  <c r="CA44"/>
  <c r="BZ44"/>
  <c r="BY44"/>
  <c r="BX44"/>
  <c r="BW44"/>
  <c r="BV44"/>
  <c r="BU44"/>
  <c r="BT44"/>
  <c r="BS44"/>
  <c r="BR44"/>
  <c r="BQ44"/>
  <c r="BP44"/>
  <c r="BO44"/>
  <c r="BN44"/>
  <c r="BM44"/>
  <c r="BL44"/>
  <c r="BK44"/>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Q44"/>
  <c r="P44"/>
  <c r="L44"/>
  <c r="K44"/>
  <c r="A44"/>
  <c r="HM43"/>
  <c r="HL43"/>
  <c r="HK43"/>
  <c r="HJ43"/>
  <c r="HI43"/>
  <c r="HH43"/>
  <c r="HG43"/>
  <c r="HF43"/>
  <c r="HE43"/>
  <c r="HD43"/>
  <c r="HC43"/>
  <c r="HB43"/>
  <c r="HA43"/>
  <c r="GZ43"/>
  <c r="GY43"/>
  <c r="GX43"/>
  <c r="GW43"/>
  <c r="GV43"/>
  <c r="GU43"/>
  <c r="GT43"/>
  <c r="GS43"/>
  <c r="GR43"/>
  <c r="GQ43"/>
  <c r="GP43"/>
  <c r="GO43"/>
  <c r="GN43"/>
  <c r="GM43"/>
  <c r="GL43"/>
  <c r="GK43"/>
  <c r="GJ43"/>
  <c r="GI43"/>
  <c r="GH43"/>
  <c r="GG43"/>
  <c r="GF43"/>
  <c r="GE43"/>
  <c r="GD43"/>
  <c r="GC43"/>
  <c r="GB43"/>
  <c r="GA43"/>
  <c r="FZ43"/>
  <c r="FY43"/>
  <c r="FX43"/>
  <c r="FW43"/>
  <c r="FV43"/>
  <c r="FU43"/>
  <c r="FT43"/>
  <c r="FS43"/>
  <c r="FR43"/>
  <c r="FQ43"/>
  <c r="FP43"/>
  <c r="FO43"/>
  <c r="FN43"/>
  <c r="FM43"/>
  <c r="FL43"/>
  <c r="FK43"/>
  <c r="FJ43"/>
  <c r="FI43"/>
  <c r="FH43"/>
  <c r="FG43"/>
  <c r="FF43"/>
  <c r="FE43"/>
  <c r="FD43"/>
  <c r="FC43"/>
  <c r="FB43"/>
  <c r="FA43"/>
  <c r="EZ43"/>
  <c r="EY43"/>
  <c r="EX43"/>
  <c r="EW43"/>
  <c r="EV43"/>
  <c r="EU43"/>
  <c r="ET43"/>
  <c r="ES43"/>
  <c r="ER43"/>
  <c r="EQ43"/>
  <c r="EP43"/>
  <c r="EO43"/>
  <c r="EN43"/>
  <c r="EM43"/>
  <c r="EL43"/>
  <c r="EK43"/>
  <c r="EJ43"/>
  <c r="EI43"/>
  <c r="EH43"/>
  <c r="EG43"/>
  <c r="EF43"/>
  <c r="EE43"/>
  <c r="ED43"/>
  <c r="EC43"/>
  <c r="EB43"/>
  <c r="EA43"/>
  <c r="DZ43"/>
  <c r="DY43"/>
  <c r="DX43"/>
  <c r="DW43"/>
  <c r="DV43"/>
  <c r="DU43"/>
  <c r="DT43"/>
  <c r="DS43"/>
  <c r="DR43"/>
  <c r="DQ43"/>
  <c r="DP43"/>
  <c r="DO43"/>
  <c r="DN43"/>
  <c r="DM43"/>
  <c r="DL43"/>
  <c r="DK43"/>
  <c r="DJ43"/>
  <c r="DI43"/>
  <c r="DH43"/>
  <c r="DG43"/>
  <c r="DF43"/>
  <c r="DE43"/>
  <c r="DD43"/>
  <c r="DC43"/>
  <c r="DB43"/>
  <c r="DA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Q43"/>
  <c r="P43"/>
  <c r="L43"/>
  <c r="K43"/>
  <c r="A43"/>
  <c r="HM42"/>
  <c r="HL42"/>
  <c r="HK42"/>
  <c r="HJ42"/>
  <c r="HI42"/>
  <c r="HH42"/>
  <c r="HG42"/>
  <c r="HF42"/>
  <c r="HE42"/>
  <c r="HD42"/>
  <c r="HC42"/>
  <c r="HB42"/>
  <c r="HA42"/>
  <c r="GZ42"/>
  <c r="GY42"/>
  <c r="GX42"/>
  <c r="GW42"/>
  <c r="GV42"/>
  <c r="GU42"/>
  <c r="GT42"/>
  <c r="GS42"/>
  <c r="GR42"/>
  <c r="GQ42"/>
  <c r="GP42"/>
  <c r="GO42"/>
  <c r="GN42"/>
  <c r="GM42"/>
  <c r="GL42"/>
  <c r="GK42"/>
  <c r="GJ42"/>
  <c r="GI42"/>
  <c r="GH42"/>
  <c r="GG42"/>
  <c r="GF42"/>
  <c r="GE42"/>
  <c r="GD42"/>
  <c r="GC42"/>
  <c r="GB42"/>
  <c r="GA42"/>
  <c r="FZ42"/>
  <c r="FY42"/>
  <c r="FX42"/>
  <c r="FW42"/>
  <c r="FV42"/>
  <c r="FU42"/>
  <c r="FT42"/>
  <c r="FS42"/>
  <c r="FR42"/>
  <c r="FQ42"/>
  <c r="FP42"/>
  <c r="FO42"/>
  <c r="FN42"/>
  <c r="FM42"/>
  <c r="FL42"/>
  <c r="FK42"/>
  <c r="FJ42"/>
  <c r="FI42"/>
  <c r="FH42"/>
  <c r="FG42"/>
  <c r="FF42"/>
  <c r="FE42"/>
  <c r="FD42"/>
  <c r="FC42"/>
  <c r="FB42"/>
  <c r="FA42"/>
  <c r="EZ42"/>
  <c r="EY42"/>
  <c r="EX42"/>
  <c r="EW42"/>
  <c r="EV42"/>
  <c r="EU42"/>
  <c r="ET42"/>
  <c r="ES42"/>
  <c r="ER42"/>
  <c r="EQ42"/>
  <c r="EP42"/>
  <c r="EO42"/>
  <c r="EN42"/>
  <c r="EM42"/>
  <c r="EL42"/>
  <c r="EK42"/>
  <c r="EJ42"/>
  <c r="EI42"/>
  <c r="EH42"/>
  <c r="EG42"/>
  <c r="EF42"/>
  <c r="EE42"/>
  <c r="ED42"/>
  <c r="EC42"/>
  <c r="EB42"/>
  <c r="EA42"/>
  <c r="DZ42"/>
  <c r="DY42"/>
  <c r="DX42"/>
  <c r="DW42"/>
  <c r="DV42"/>
  <c r="DU42"/>
  <c r="DT42"/>
  <c r="DS42"/>
  <c r="DR42"/>
  <c r="DQ42"/>
  <c r="DP42"/>
  <c r="DO42"/>
  <c r="DN42"/>
  <c r="DM42"/>
  <c r="DL42"/>
  <c r="DK42"/>
  <c r="DJ42"/>
  <c r="DI42"/>
  <c r="DH42"/>
  <c r="DG42"/>
  <c r="DF42"/>
  <c r="DE42"/>
  <c r="DD42"/>
  <c r="DC42"/>
  <c r="DB42"/>
  <c r="DA42"/>
  <c r="CZ42"/>
  <c r="CY42"/>
  <c r="CX42"/>
  <c r="CW42"/>
  <c r="CV42"/>
  <c r="CU42"/>
  <c r="CT42"/>
  <c r="CS42"/>
  <c r="CR42"/>
  <c r="CQ42"/>
  <c r="CP42"/>
  <c r="CO42"/>
  <c r="CN42"/>
  <c r="CM42"/>
  <c r="CL42"/>
  <c r="CK42"/>
  <c r="CJ42"/>
  <c r="CI42"/>
  <c r="CH42"/>
  <c r="CG42"/>
  <c r="CF42"/>
  <c r="CE42"/>
  <c r="CD42"/>
  <c r="CC42"/>
  <c r="CB42"/>
  <c r="CA42"/>
  <c r="BZ42"/>
  <c r="BY42"/>
  <c r="BX42"/>
  <c r="BW42"/>
  <c r="BV42"/>
  <c r="BU42"/>
  <c r="BT42"/>
  <c r="BS42"/>
  <c r="BR42"/>
  <c r="BQ42"/>
  <c r="BP42"/>
  <c r="BO42"/>
  <c r="BN42"/>
  <c r="BM42"/>
  <c r="BL42"/>
  <c r="BK42"/>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Q42"/>
  <c r="P42"/>
  <c r="L42"/>
  <c r="K42"/>
  <c r="A42"/>
  <c r="HM41"/>
  <c r="HL41"/>
  <c r="HK41"/>
  <c r="HJ41"/>
  <c r="HI41"/>
  <c r="HH41"/>
  <c r="HG41"/>
  <c r="HF41"/>
  <c r="HE41"/>
  <c r="HD41"/>
  <c r="HC41"/>
  <c r="HB41"/>
  <c r="HA41"/>
  <c r="GZ41"/>
  <c r="GY41"/>
  <c r="GX41"/>
  <c r="GW41"/>
  <c r="GV41"/>
  <c r="GU41"/>
  <c r="GT41"/>
  <c r="GS41"/>
  <c r="GR41"/>
  <c r="GQ41"/>
  <c r="GP41"/>
  <c r="GO41"/>
  <c r="GN41"/>
  <c r="GM41"/>
  <c r="GL41"/>
  <c r="GK41"/>
  <c r="GJ41"/>
  <c r="GI41"/>
  <c r="GH41"/>
  <c r="GG41"/>
  <c r="GF41"/>
  <c r="GE41"/>
  <c r="GD41"/>
  <c r="GC41"/>
  <c r="GB41"/>
  <c r="GA41"/>
  <c r="FZ41"/>
  <c r="FY41"/>
  <c r="FX41"/>
  <c r="FW41"/>
  <c r="FV41"/>
  <c r="FU41"/>
  <c r="FT41"/>
  <c r="FS41"/>
  <c r="FR41"/>
  <c r="FQ41"/>
  <c r="FP41"/>
  <c r="FO41"/>
  <c r="FN41"/>
  <c r="FM41"/>
  <c r="FL41"/>
  <c r="FK41"/>
  <c r="FJ41"/>
  <c r="FI41"/>
  <c r="FH41"/>
  <c r="FG41"/>
  <c r="FF41"/>
  <c r="FE41"/>
  <c r="FD41"/>
  <c r="FC41"/>
  <c r="FB41"/>
  <c r="FA41"/>
  <c r="EZ41"/>
  <c r="EY41"/>
  <c r="EX41"/>
  <c r="EW41"/>
  <c r="EV41"/>
  <c r="EU41"/>
  <c r="ET41"/>
  <c r="ES41"/>
  <c r="ER41"/>
  <c r="EQ41"/>
  <c r="EP41"/>
  <c r="EO41"/>
  <c r="EN41"/>
  <c r="EM41"/>
  <c r="EL41"/>
  <c r="EK41"/>
  <c r="EJ41"/>
  <c r="EI41"/>
  <c r="EH41"/>
  <c r="EG41"/>
  <c r="EF41"/>
  <c r="EE41"/>
  <c r="ED41"/>
  <c r="EC41"/>
  <c r="EB41"/>
  <c r="EA41"/>
  <c r="DZ41"/>
  <c r="DY41"/>
  <c r="DX41"/>
  <c r="DW41"/>
  <c r="DV41"/>
  <c r="DU41"/>
  <c r="DT41"/>
  <c r="DS41"/>
  <c r="DR41"/>
  <c r="DQ41"/>
  <c r="DP41"/>
  <c r="DO41"/>
  <c r="DN41"/>
  <c r="DM41"/>
  <c r="DL41"/>
  <c r="DK41"/>
  <c r="DJ41"/>
  <c r="DI41"/>
  <c r="DH41"/>
  <c r="DG41"/>
  <c r="DF41"/>
  <c r="DE41"/>
  <c r="DD41"/>
  <c r="DC41"/>
  <c r="DB41"/>
  <c r="DA41"/>
  <c r="CZ41"/>
  <c r="CY41"/>
  <c r="CX41"/>
  <c r="CW41"/>
  <c r="CV41"/>
  <c r="CU41"/>
  <c r="CT41"/>
  <c r="CS41"/>
  <c r="CR41"/>
  <c r="CQ41"/>
  <c r="CP4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Q41"/>
  <c r="P41"/>
  <c r="L41"/>
  <c r="K41"/>
  <c r="A41"/>
  <c r="HM40"/>
  <c r="HL40"/>
  <c r="HK40"/>
  <c r="HJ40"/>
  <c r="HI40"/>
  <c r="HH40"/>
  <c r="HG40"/>
  <c r="HF40"/>
  <c r="HE40"/>
  <c r="HD40"/>
  <c r="HC40"/>
  <c r="HB40"/>
  <c r="HA40"/>
  <c r="GZ40"/>
  <c r="GY40"/>
  <c r="GX40"/>
  <c r="GW40"/>
  <c r="GV40"/>
  <c r="GU40"/>
  <c r="GT40"/>
  <c r="GS40"/>
  <c r="GR40"/>
  <c r="GQ40"/>
  <c r="GP40"/>
  <c r="GO40"/>
  <c r="GN40"/>
  <c r="GM40"/>
  <c r="GL40"/>
  <c r="GK40"/>
  <c r="GJ40"/>
  <c r="GI40"/>
  <c r="GH40"/>
  <c r="GG40"/>
  <c r="GF40"/>
  <c r="GE40"/>
  <c r="GD40"/>
  <c r="GC40"/>
  <c r="GB40"/>
  <c r="GA40"/>
  <c r="FZ40"/>
  <c r="FY40"/>
  <c r="FX40"/>
  <c r="FW40"/>
  <c r="FV40"/>
  <c r="FU40"/>
  <c r="FT40"/>
  <c r="FS40"/>
  <c r="FR40"/>
  <c r="FQ40"/>
  <c r="FP40"/>
  <c r="FO40"/>
  <c r="FN40"/>
  <c r="FM40"/>
  <c r="FL40"/>
  <c r="FK40"/>
  <c r="FJ40"/>
  <c r="FI40"/>
  <c r="FH40"/>
  <c r="FG40"/>
  <c r="FF40"/>
  <c r="FE40"/>
  <c r="FD40"/>
  <c r="FC40"/>
  <c r="FB40"/>
  <c r="FA40"/>
  <c r="EZ40"/>
  <c r="EY40"/>
  <c r="EX40"/>
  <c r="EW40"/>
  <c r="EV40"/>
  <c r="EU40"/>
  <c r="ET40"/>
  <c r="ES40"/>
  <c r="ER40"/>
  <c r="EQ40"/>
  <c r="EP40"/>
  <c r="EO40"/>
  <c r="EN40"/>
  <c r="EM40"/>
  <c r="EL40"/>
  <c r="EK40"/>
  <c r="EJ40"/>
  <c r="EI40"/>
  <c r="EH40"/>
  <c r="EG40"/>
  <c r="EF40"/>
  <c r="EE40"/>
  <c r="ED40"/>
  <c r="EC40"/>
  <c r="EB40"/>
  <c r="EA40"/>
  <c r="DZ40"/>
  <c r="DY40"/>
  <c r="DX40"/>
  <c r="DW40"/>
  <c r="DV40"/>
  <c r="DU40"/>
  <c r="DT40"/>
  <c r="DS40"/>
  <c r="DR40"/>
  <c r="DQ40"/>
  <c r="DP40"/>
  <c r="DO40"/>
  <c r="DN40"/>
  <c r="DM40"/>
  <c r="DL40"/>
  <c r="DK40"/>
  <c r="DJ40"/>
  <c r="DI40"/>
  <c r="DH40"/>
  <c r="DG40"/>
  <c r="DF40"/>
  <c r="DE40"/>
  <c r="DD40"/>
  <c r="DC40"/>
  <c r="DB40"/>
  <c r="DA40"/>
  <c r="CZ40"/>
  <c r="CY40"/>
  <c r="CX40"/>
  <c r="CW40"/>
  <c r="CV40"/>
  <c r="CU40"/>
  <c r="CT40"/>
  <c r="CS40"/>
  <c r="CR40"/>
  <c r="CQ40"/>
  <c r="CP40"/>
  <c r="CO40"/>
  <c r="CN40"/>
  <c r="CM40"/>
  <c r="CL40"/>
  <c r="CK40"/>
  <c r="CJ40"/>
  <c r="CI40"/>
  <c r="CH40"/>
  <c r="CG40"/>
  <c r="CF40"/>
  <c r="CE40"/>
  <c r="CD40"/>
  <c r="CC40"/>
  <c r="CB40"/>
  <c r="CA40"/>
  <c r="BZ40"/>
  <c r="BY40"/>
  <c r="BX40"/>
  <c r="BW40"/>
  <c r="BV40"/>
  <c r="BU40"/>
  <c r="BT40"/>
  <c r="BS40"/>
  <c r="BR40"/>
  <c r="BQ40"/>
  <c r="BP40"/>
  <c r="BO40"/>
  <c r="BN40"/>
  <c r="BM40"/>
  <c r="BL40"/>
  <c r="BK40"/>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Q40"/>
  <c r="P40"/>
  <c r="L40"/>
  <c r="K40"/>
  <c r="A40"/>
  <c r="HM39"/>
  <c r="HL39"/>
  <c r="HK39"/>
  <c r="HJ39"/>
  <c r="HI39"/>
  <c r="HH39"/>
  <c r="HG39"/>
  <c r="HF39"/>
  <c r="HE39"/>
  <c r="HD39"/>
  <c r="HC39"/>
  <c r="HB39"/>
  <c r="HA39"/>
  <c r="GZ39"/>
  <c r="GY39"/>
  <c r="GX39"/>
  <c r="GW39"/>
  <c r="GV39"/>
  <c r="GU39"/>
  <c r="GT39"/>
  <c r="GS39"/>
  <c r="GR39"/>
  <c r="GQ39"/>
  <c r="GP39"/>
  <c r="GO39"/>
  <c r="GN39"/>
  <c r="GM39"/>
  <c r="GL39"/>
  <c r="GK39"/>
  <c r="GJ39"/>
  <c r="GI39"/>
  <c r="GH39"/>
  <c r="GG39"/>
  <c r="GF39"/>
  <c r="GE39"/>
  <c r="GD39"/>
  <c r="GC39"/>
  <c r="GB39"/>
  <c r="GA39"/>
  <c r="FZ39"/>
  <c r="FY39"/>
  <c r="FX39"/>
  <c r="FW39"/>
  <c r="FV39"/>
  <c r="FU39"/>
  <c r="FT39"/>
  <c r="FS39"/>
  <c r="FR39"/>
  <c r="FQ39"/>
  <c r="FP39"/>
  <c r="FO39"/>
  <c r="FN39"/>
  <c r="FM39"/>
  <c r="FL39"/>
  <c r="FK39"/>
  <c r="FJ39"/>
  <c r="FI39"/>
  <c r="FH39"/>
  <c r="FG39"/>
  <c r="FF39"/>
  <c r="FE39"/>
  <c r="FD39"/>
  <c r="FC39"/>
  <c r="FB39"/>
  <c r="FA39"/>
  <c r="EZ39"/>
  <c r="EY39"/>
  <c r="EX39"/>
  <c r="EW39"/>
  <c r="EV39"/>
  <c r="EU39"/>
  <c r="ET39"/>
  <c r="ES39"/>
  <c r="ER39"/>
  <c r="EQ39"/>
  <c r="EP39"/>
  <c r="EO39"/>
  <c r="EN39"/>
  <c r="EM39"/>
  <c r="EL39"/>
  <c r="EK39"/>
  <c r="EJ39"/>
  <c r="EI39"/>
  <c r="EH39"/>
  <c r="EG39"/>
  <c r="EF39"/>
  <c r="EE39"/>
  <c r="ED39"/>
  <c r="EC39"/>
  <c r="EB39"/>
  <c r="EA39"/>
  <c r="DZ39"/>
  <c r="DY39"/>
  <c r="DX39"/>
  <c r="DW39"/>
  <c r="DV39"/>
  <c r="DU39"/>
  <c r="DT39"/>
  <c r="DS39"/>
  <c r="DR39"/>
  <c r="DQ39"/>
  <c r="DP39"/>
  <c r="DO39"/>
  <c r="DN39"/>
  <c r="DM39"/>
  <c r="DL39"/>
  <c r="DK39"/>
  <c r="DJ39"/>
  <c r="DI39"/>
  <c r="DH39"/>
  <c r="DG39"/>
  <c r="DF39"/>
  <c r="DE39"/>
  <c r="DD39"/>
  <c r="DC39"/>
  <c r="DB39"/>
  <c r="DA39"/>
  <c r="CZ39"/>
  <c r="CY39"/>
  <c r="CX39"/>
  <c r="CW39"/>
  <c r="CV39"/>
  <c r="CU39"/>
  <c r="CT39"/>
  <c r="CS39"/>
  <c r="CR39"/>
  <c r="CQ39"/>
  <c r="CP39"/>
  <c r="CO39"/>
  <c r="CN39"/>
  <c r="CM39"/>
  <c r="CL39"/>
  <c r="CK39"/>
  <c r="CJ39"/>
  <c r="CI39"/>
  <c r="CH39"/>
  <c r="CG39"/>
  <c r="CF39"/>
  <c r="CE39"/>
  <c r="CD39"/>
  <c r="CC39"/>
  <c r="CB39"/>
  <c r="CA39"/>
  <c r="BZ39"/>
  <c r="BY39"/>
  <c r="BX39"/>
  <c r="BW39"/>
  <c r="BV39"/>
  <c r="BU39"/>
  <c r="BT39"/>
  <c r="BS39"/>
  <c r="BR39"/>
  <c r="BQ39"/>
  <c r="BP39"/>
  <c r="BO39"/>
  <c r="BN39"/>
  <c r="BM39"/>
  <c r="BL39"/>
  <c r="BK39"/>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Q39"/>
  <c r="P39"/>
  <c r="L39"/>
  <c r="K39"/>
  <c r="A39"/>
  <c r="HM38"/>
  <c r="HL38"/>
  <c r="HK38"/>
  <c r="HJ38"/>
  <c r="HI38"/>
  <c r="HH38"/>
  <c r="HG38"/>
  <c r="HF38"/>
  <c r="HE38"/>
  <c r="HD38"/>
  <c r="HC38"/>
  <c r="HB38"/>
  <c r="HA38"/>
  <c r="GZ38"/>
  <c r="GY38"/>
  <c r="GX38"/>
  <c r="GW38"/>
  <c r="GV38"/>
  <c r="GU38"/>
  <c r="GT38"/>
  <c r="GS38"/>
  <c r="GR38"/>
  <c r="GQ38"/>
  <c r="GP38"/>
  <c r="GO38"/>
  <c r="GN38"/>
  <c r="GM38"/>
  <c r="GL38"/>
  <c r="GK38"/>
  <c r="GJ38"/>
  <c r="GI38"/>
  <c r="GH38"/>
  <c r="GG38"/>
  <c r="GF38"/>
  <c r="GE38"/>
  <c r="GD38"/>
  <c r="GC38"/>
  <c r="GB38"/>
  <c r="GA38"/>
  <c r="FZ38"/>
  <c r="FY38"/>
  <c r="FX38"/>
  <c r="FW38"/>
  <c r="FV38"/>
  <c r="FU38"/>
  <c r="FT38"/>
  <c r="FS38"/>
  <c r="FR38"/>
  <c r="FQ38"/>
  <c r="FP38"/>
  <c r="FO38"/>
  <c r="FN38"/>
  <c r="FM38"/>
  <c r="FL38"/>
  <c r="FK38"/>
  <c r="FJ38"/>
  <c r="FI38"/>
  <c r="FH38"/>
  <c r="FG38"/>
  <c r="FF38"/>
  <c r="FE38"/>
  <c r="FD38"/>
  <c r="FC38"/>
  <c r="FB38"/>
  <c r="FA38"/>
  <c r="EZ38"/>
  <c r="EY38"/>
  <c r="EX38"/>
  <c r="EW38"/>
  <c r="EV38"/>
  <c r="EU38"/>
  <c r="ET38"/>
  <c r="ES38"/>
  <c r="ER38"/>
  <c r="EQ38"/>
  <c r="EP38"/>
  <c r="EO38"/>
  <c r="EN38"/>
  <c r="EM38"/>
  <c r="EL38"/>
  <c r="EK38"/>
  <c r="EJ38"/>
  <c r="EI38"/>
  <c r="EH38"/>
  <c r="EG38"/>
  <c r="EF38"/>
  <c r="EE38"/>
  <c r="ED38"/>
  <c r="EC38"/>
  <c r="EB38"/>
  <c r="EA38"/>
  <c r="DZ38"/>
  <c r="DY38"/>
  <c r="DX38"/>
  <c r="DW38"/>
  <c r="DV38"/>
  <c r="DU38"/>
  <c r="DT38"/>
  <c r="DS38"/>
  <c r="DR38"/>
  <c r="DQ38"/>
  <c r="DP38"/>
  <c r="DO38"/>
  <c r="DN38"/>
  <c r="DM38"/>
  <c r="DL38"/>
  <c r="DK38"/>
  <c r="DJ38"/>
  <c r="DI38"/>
  <c r="DH38"/>
  <c r="DG38"/>
  <c r="DF38"/>
  <c r="DE38"/>
  <c r="DD38"/>
  <c r="DC38"/>
  <c r="DB38"/>
  <c r="DA38"/>
  <c r="CZ38"/>
  <c r="CY38"/>
  <c r="CX38"/>
  <c r="CW38"/>
  <c r="CV38"/>
  <c r="CU38"/>
  <c r="CT38"/>
  <c r="CS38"/>
  <c r="CR38"/>
  <c r="CQ38"/>
  <c r="CP38"/>
  <c r="CO38"/>
  <c r="CN38"/>
  <c r="CM38"/>
  <c r="CL38"/>
  <c r="CK38"/>
  <c r="CJ38"/>
  <c r="CI38"/>
  <c r="CH38"/>
  <c r="CG38"/>
  <c r="CF38"/>
  <c r="CE38"/>
  <c r="CD38"/>
  <c r="CC38"/>
  <c r="CB38"/>
  <c r="CA38"/>
  <c r="BZ38"/>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Q38"/>
  <c r="P38"/>
  <c r="L38"/>
  <c r="K38"/>
  <c r="A38"/>
  <c r="HM37"/>
  <c r="HL37"/>
  <c r="HK37"/>
  <c r="HJ37"/>
  <c r="HI37"/>
  <c r="HH37"/>
  <c r="HG37"/>
  <c r="HF37"/>
  <c r="HE37"/>
  <c r="HD37"/>
  <c r="HC37"/>
  <c r="HB37"/>
  <c r="HA37"/>
  <c r="GZ37"/>
  <c r="GY37"/>
  <c r="GX37"/>
  <c r="GW37"/>
  <c r="GV37"/>
  <c r="GU37"/>
  <c r="GT37"/>
  <c r="GS37"/>
  <c r="GR37"/>
  <c r="GQ37"/>
  <c r="GP37"/>
  <c r="GO37"/>
  <c r="GN37"/>
  <c r="GM37"/>
  <c r="GL37"/>
  <c r="GK37"/>
  <c r="GJ37"/>
  <c r="GI37"/>
  <c r="GH37"/>
  <c r="GG37"/>
  <c r="GF37"/>
  <c r="GE37"/>
  <c r="GD37"/>
  <c r="GC37"/>
  <c r="GB37"/>
  <c r="GA37"/>
  <c r="FZ37"/>
  <c r="FY37"/>
  <c r="FX37"/>
  <c r="FW37"/>
  <c r="FV37"/>
  <c r="FU37"/>
  <c r="FT37"/>
  <c r="FS37"/>
  <c r="FR37"/>
  <c r="FQ37"/>
  <c r="FP37"/>
  <c r="FO37"/>
  <c r="FN37"/>
  <c r="FM37"/>
  <c r="FL37"/>
  <c r="FK37"/>
  <c r="FJ37"/>
  <c r="FI37"/>
  <c r="FH37"/>
  <c r="FG37"/>
  <c r="FF37"/>
  <c r="FE37"/>
  <c r="FD37"/>
  <c r="FC37"/>
  <c r="FB37"/>
  <c r="FA37"/>
  <c r="EZ37"/>
  <c r="EY37"/>
  <c r="EX37"/>
  <c r="EW37"/>
  <c r="EV37"/>
  <c r="EU37"/>
  <c r="ET37"/>
  <c r="ES37"/>
  <c r="ER37"/>
  <c r="EQ37"/>
  <c r="EP37"/>
  <c r="EO37"/>
  <c r="EN37"/>
  <c r="EM37"/>
  <c r="EL37"/>
  <c r="EK37"/>
  <c r="EJ37"/>
  <c r="EI37"/>
  <c r="EH37"/>
  <c r="EG37"/>
  <c r="EF37"/>
  <c r="EE37"/>
  <c r="ED37"/>
  <c r="EC37"/>
  <c r="EB37"/>
  <c r="EA37"/>
  <c r="DZ37"/>
  <c r="DY37"/>
  <c r="DX37"/>
  <c r="DW37"/>
  <c r="DV37"/>
  <c r="DU37"/>
  <c r="DT37"/>
  <c r="DS37"/>
  <c r="DR37"/>
  <c r="DQ37"/>
  <c r="DP37"/>
  <c r="DO37"/>
  <c r="DN37"/>
  <c r="DM37"/>
  <c r="DL37"/>
  <c r="DK37"/>
  <c r="DJ37"/>
  <c r="DI37"/>
  <c r="DH37"/>
  <c r="DG37"/>
  <c r="DF37"/>
  <c r="DE37"/>
  <c r="DD37"/>
  <c r="DC37"/>
  <c r="DB37"/>
  <c r="DA37"/>
  <c r="CZ37"/>
  <c r="CY37"/>
  <c r="CX37"/>
  <c r="CW37"/>
  <c r="CV37"/>
  <c r="CU37"/>
  <c r="CT37"/>
  <c r="CS37"/>
  <c r="CR37"/>
  <c r="CQ37"/>
  <c r="CP37"/>
  <c r="CO37"/>
  <c r="CN37"/>
  <c r="CM37"/>
  <c r="CL37"/>
  <c r="CK37"/>
  <c r="CJ37"/>
  <c r="CI37"/>
  <c r="CH37"/>
  <c r="CG37"/>
  <c r="CF37"/>
  <c r="CE37"/>
  <c r="CD37"/>
  <c r="CC37"/>
  <c r="CB37"/>
  <c r="CA37"/>
  <c r="BZ37"/>
  <c r="BY37"/>
  <c r="BX37"/>
  <c r="BW37"/>
  <c r="BV37"/>
  <c r="BU37"/>
  <c r="BT37"/>
  <c r="BS37"/>
  <c r="BR37"/>
  <c r="BQ37"/>
  <c r="BP37"/>
  <c r="BO37"/>
  <c r="BN37"/>
  <c r="BM37"/>
  <c r="BL37"/>
  <c r="BK37"/>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Q37"/>
  <c r="P37"/>
  <c r="L37"/>
  <c r="K37"/>
  <c r="A37"/>
  <c r="HM36"/>
  <c r="HL36"/>
  <c r="HK36"/>
  <c r="HJ36"/>
  <c r="HI36"/>
  <c r="HH36"/>
  <c r="HG36"/>
  <c r="HF36"/>
  <c r="HE36"/>
  <c r="HD36"/>
  <c r="HC36"/>
  <c r="HB36"/>
  <c r="HA36"/>
  <c r="GZ36"/>
  <c r="GY36"/>
  <c r="GX36"/>
  <c r="GW36"/>
  <c r="GV36"/>
  <c r="GU36"/>
  <c r="GT36"/>
  <c r="GS36"/>
  <c r="GR36"/>
  <c r="GQ36"/>
  <c r="GP36"/>
  <c r="GO36"/>
  <c r="GN36"/>
  <c r="GM36"/>
  <c r="GL36"/>
  <c r="GK36"/>
  <c r="GJ36"/>
  <c r="GI36"/>
  <c r="GH36"/>
  <c r="GG36"/>
  <c r="GF36"/>
  <c r="GE36"/>
  <c r="GD36"/>
  <c r="GC36"/>
  <c r="GB36"/>
  <c r="GA36"/>
  <c r="FZ36"/>
  <c r="FY36"/>
  <c r="FX36"/>
  <c r="FW36"/>
  <c r="FV36"/>
  <c r="FU36"/>
  <c r="FT36"/>
  <c r="FS36"/>
  <c r="FR36"/>
  <c r="FQ36"/>
  <c r="FP36"/>
  <c r="FO36"/>
  <c r="FN36"/>
  <c r="FM36"/>
  <c r="FL36"/>
  <c r="FK36"/>
  <c r="FJ36"/>
  <c r="FI36"/>
  <c r="FH36"/>
  <c r="FG36"/>
  <c r="FF36"/>
  <c r="FE36"/>
  <c r="FD36"/>
  <c r="FC36"/>
  <c r="FB36"/>
  <c r="FA36"/>
  <c r="EZ36"/>
  <c r="EY36"/>
  <c r="EX36"/>
  <c r="EW36"/>
  <c r="EV36"/>
  <c r="EU36"/>
  <c r="ET36"/>
  <c r="ES36"/>
  <c r="ER36"/>
  <c r="EQ36"/>
  <c r="EP36"/>
  <c r="EO36"/>
  <c r="EN36"/>
  <c r="EM36"/>
  <c r="EL36"/>
  <c r="EK36"/>
  <c r="EJ36"/>
  <c r="EI36"/>
  <c r="EH36"/>
  <c r="EG36"/>
  <c r="EF36"/>
  <c r="EE36"/>
  <c r="ED36"/>
  <c r="EC36"/>
  <c r="EB36"/>
  <c r="EA36"/>
  <c r="DZ36"/>
  <c r="DY36"/>
  <c r="DX36"/>
  <c r="DW36"/>
  <c r="DV36"/>
  <c r="DU36"/>
  <c r="DT36"/>
  <c r="DS36"/>
  <c r="DR36"/>
  <c r="DQ36"/>
  <c r="DP36"/>
  <c r="DO36"/>
  <c r="DN36"/>
  <c r="DM36"/>
  <c r="DL36"/>
  <c r="DK36"/>
  <c r="DJ36"/>
  <c r="DI36"/>
  <c r="DH36"/>
  <c r="DG36"/>
  <c r="DF36"/>
  <c r="DE36"/>
  <c r="DD36"/>
  <c r="DC36"/>
  <c r="DB36"/>
  <c r="DA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Q36"/>
  <c r="P36"/>
  <c r="L36"/>
  <c r="K36"/>
  <c r="A36"/>
  <c r="HM35"/>
  <c r="HL35"/>
  <c r="HK35"/>
  <c r="HJ35"/>
  <c r="HI35"/>
  <c r="HH35"/>
  <c r="HG35"/>
  <c r="HF35"/>
  <c r="HE35"/>
  <c r="HD35"/>
  <c r="HC35"/>
  <c r="HB35"/>
  <c r="HA35"/>
  <c r="GZ35"/>
  <c r="GY35"/>
  <c r="GX35"/>
  <c r="GW35"/>
  <c r="GV35"/>
  <c r="GU35"/>
  <c r="GT35"/>
  <c r="GS35"/>
  <c r="GR35"/>
  <c r="GQ35"/>
  <c r="GP35"/>
  <c r="GO35"/>
  <c r="GN35"/>
  <c r="GM35"/>
  <c r="GL35"/>
  <c r="GK35"/>
  <c r="GJ35"/>
  <c r="GI35"/>
  <c r="GH35"/>
  <c r="GG35"/>
  <c r="GF35"/>
  <c r="GE35"/>
  <c r="GD35"/>
  <c r="GC35"/>
  <c r="GB35"/>
  <c r="GA35"/>
  <c r="FZ35"/>
  <c r="FY35"/>
  <c r="FX35"/>
  <c r="FW35"/>
  <c r="FV35"/>
  <c r="FU35"/>
  <c r="FT35"/>
  <c r="FS35"/>
  <c r="FR35"/>
  <c r="FQ35"/>
  <c r="FP35"/>
  <c r="FO35"/>
  <c r="FN35"/>
  <c r="FM35"/>
  <c r="FL35"/>
  <c r="FK35"/>
  <c r="FJ35"/>
  <c r="FI35"/>
  <c r="FH35"/>
  <c r="FG35"/>
  <c r="FF35"/>
  <c r="FE35"/>
  <c r="FD35"/>
  <c r="FC35"/>
  <c r="FB35"/>
  <c r="FA35"/>
  <c r="EZ35"/>
  <c r="EY35"/>
  <c r="EX35"/>
  <c r="EW35"/>
  <c r="EV35"/>
  <c r="EU35"/>
  <c r="ET35"/>
  <c r="ES35"/>
  <c r="ER35"/>
  <c r="EQ35"/>
  <c r="EP35"/>
  <c r="EO35"/>
  <c r="EN35"/>
  <c r="EM35"/>
  <c r="EL35"/>
  <c r="EK35"/>
  <c r="EJ35"/>
  <c r="EI35"/>
  <c r="EH35"/>
  <c r="EG35"/>
  <c r="EF35"/>
  <c r="EE35"/>
  <c r="ED35"/>
  <c r="EC35"/>
  <c r="EB35"/>
  <c r="EA35"/>
  <c r="DZ35"/>
  <c r="DY35"/>
  <c r="DX35"/>
  <c r="DW35"/>
  <c r="DV35"/>
  <c r="DU35"/>
  <c r="DT35"/>
  <c r="DS35"/>
  <c r="DR35"/>
  <c r="DQ35"/>
  <c r="DP35"/>
  <c r="DO35"/>
  <c r="DN35"/>
  <c r="DM35"/>
  <c r="DL35"/>
  <c r="DK35"/>
  <c r="DJ35"/>
  <c r="DI35"/>
  <c r="DH35"/>
  <c r="DG35"/>
  <c r="DF35"/>
  <c r="DE35"/>
  <c r="DD35"/>
  <c r="DC35"/>
  <c r="DB35"/>
  <c r="DA35"/>
  <c r="CZ35"/>
  <c r="CY35"/>
  <c r="CX35"/>
  <c r="CW35"/>
  <c r="CV35"/>
  <c r="CU35"/>
  <c r="CT35"/>
  <c r="CS35"/>
  <c r="CR35"/>
  <c r="CQ35"/>
  <c r="CP35"/>
  <c r="CO35"/>
  <c r="CN35"/>
  <c r="CM35"/>
  <c r="CL35"/>
  <c r="CK35"/>
  <c r="CJ35"/>
  <c r="CI35"/>
  <c r="CH35"/>
  <c r="CG35"/>
  <c r="CF35"/>
  <c r="CE35"/>
  <c r="CD35"/>
  <c r="CC35"/>
  <c r="CB35"/>
  <c r="CA35"/>
  <c r="BZ35"/>
  <c r="BY35"/>
  <c r="BX35"/>
  <c r="BW35"/>
  <c r="BV35"/>
  <c r="BU35"/>
  <c r="BT35"/>
  <c r="BS35"/>
  <c r="BR35"/>
  <c r="BQ35"/>
  <c r="BP35"/>
  <c r="BO35"/>
  <c r="BN35"/>
  <c r="BM35"/>
  <c r="BL35"/>
  <c r="BK35"/>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Q35"/>
  <c r="P35"/>
  <c r="L35"/>
  <c r="K35"/>
  <c r="A35"/>
  <c r="HM34"/>
  <c r="HL34"/>
  <c r="HK34"/>
  <c r="HJ34"/>
  <c r="HI34"/>
  <c r="HH34"/>
  <c r="HG34"/>
  <c r="HF34"/>
  <c r="HE34"/>
  <c r="HD34"/>
  <c r="HC34"/>
  <c r="HB34"/>
  <c r="HA34"/>
  <c r="GZ34"/>
  <c r="GY34"/>
  <c r="GX34"/>
  <c r="GW34"/>
  <c r="GV34"/>
  <c r="GU34"/>
  <c r="GT34"/>
  <c r="GS34"/>
  <c r="GR34"/>
  <c r="GQ34"/>
  <c r="GP34"/>
  <c r="GO34"/>
  <c r="GN34"/>
  <c r="GM34"/>
  <c r="GL34"/>
  <c r="GK34"/>
  <c r="GJ34"/>
  <c r="GI34"/>
  <c r="GH34"/>
  <c r="GG34"/>
  <c r="GF34"/>
  <c r="GE34"/>
  <c r="GD34"/>
  <c r="GC34"/>
  <c r="GB34"/>
  <c r="GA34"/>
  <c r="FZ34"/>
  <c r="FY34"/>
  <c r="FX34"/>
  <c r="FW34"/>
  <c r="FV34"/>
  <c r="FU34"/>
  <c r="FT34"/>
  <c r="FS34"/>
  <c r="FR34"/>
  <c r="FQ34"/>
  <c r="FP34"/>
  <c r="FO34"/>
  <c r="FN34"/>
  <c r="FM34"/>
  <c r="FL34"/>
  <c r="FK34"/>
  <c r="FJ34"/>
  <c r="FI34"/>
  <c r="FH34"/>
  <c r="FG34"/>
  <c r="FF34"/>
  <c r="FE34"/>
  <c r="FD34"/>
  <c r="FC34"/>
  <c r="FB34"/>
  <c r="FA34"/>
  <c r="EZ34"/>
  <c r="EY34"/>
  <c r="EX34"/>
  <c r="EW34"/>
  <c r="EV34"/>
  <c r="EU34"/>
  <c r="ET34"/>
  <c r="ES34"/>
  <c r="ER34"/>
  <c r="EQ34"/>
  <c r="EP34"/>
  <c r="EO34"/>
  <c r="EN34"/>
  <c r="EM34"/>
  <c r="EL34"/>
  <c r="EK34"/>
  <c r="EJ34"/>
  <c r="EI34"/>
  <c r="EH34"/>
  <c r="EG34"/>
  <c r="EF34"/>
  <c r="EE34"/>
  <c r="ED34"/>
  <c r="EC34"/>
  <c r="EB34"/>
  <c r="EA34"/>
  <c r="DZ34"/>
  <c r="DY34"/>
  <c r="DX34"/>
  <c r="DW34"/>
  <c r="DV34"/>
  <c r="DU34"/>
  <c r="DT34"/>
  <c r="DS34"/>
  <c r="DR34"/>
  <c r="DQ34"/>
  <c r="DP34"/>
  <c r="DO34"/>
  <c r="DN34"/>
  <c r="DM34"/>
  <c r="DL34"/>
  <c r="DK34"/>
  <c r="DJ34"/>
  <c r="DI34"/>
  <c r="DH34"/>
  <c r="DG34"/>
  <c r="DF34"/>
  <c r="DE34"/>
  <c r="DD34"/>
  <c r="DC34"/>
  <c r="DB34"/>
  <c r="DA34"/>
  <c r="CZ34"/>
  <c r="CY34"/>
  <c r="CX34"/>
  <c r="CW34"/>
  <c r="CV34"/>
  <c r="CU34"/>
  <c r="CT34"/>
  <c r="CS34"/>
  <c r="CR34"/>
  <c r="CQ34"/>
  <c r="CP34"/>
  <c r="CO34"/>
  <c r="CN34"/>
  <c r="CM34"/>
  <c r="CL34"/>
  <c r="CK34"/>
  <c r="CJ34"/>
  <c r="CI34"/>
  <c r="CH34"/>
  <c r="CG34"/>
  <c r="CF34"/>
  <c r="CE34"/>
  <c r="CD34"/>
  <c r="CC34"/>
  <c r="CB34"/>
  <c r="CA34"/>
  <c r="BZ34"/>
  <c r="BY34"/>
  <c r="BX34"/>
  <c r="BW34"/>
  <c r="BV34"/>
  <c r="BU34"/>
  <c r="BT34"/>
  <c r="BS34"/>
  <c r="BR34"/>
  <c r="BQ34"/>
  <c r="BP34"/>
  <c r="BO34"/>
  <c r="BN34"/>
  <c r="BM34"/>
  <c r="BL34"/>
  <c r="BK34"/>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Q34"/>
  <c r="P34"/>
  <c r="L34"/>
  <c r="K34"/>
  <c r="A34"/>
  <c r="HM33"/>
  <c r="HL33"/>
  <c r="HK33"/>
  <c r="HJ33"/>
  <c r="HI33"/>
  <c r="HH33"/>
  <c r="HG33"/>
  <c r="HF33"/>
  <c r="HE33"/>
  <c r="HD33"/>
  <c r="HC33"/>
  <c r="HB33"/>
  <c r="HA33"/>
  <c r="GZ33"/>
  <c r="GY33"/>
  <c r="GX33"/>
  <c r="GW33"/>
  <c r="GV33"/>
  <c r="GU33"/>
  <c r="GT33"/>
  <c r="GS33"/>
  <c r="GR33"/>
  <c r="GQ33"/>
  <c r="GP33"/>
  <c r="GO33"/>
  <c r="GN33"/>
  <c r="GM33"/>
  <c r="GL33"/>
  <c r="GK33"/>
  <c r="GJ33"/>
  <c r="GI33"/>
  <c r="GH33"/>
  <c r="GG33"/>
  <c r="GF33"/>
  <c r="GE33"/>
  <c r="GD33"/>
  <c r="GC33"/>
  <c r="GB33"/>
  <c r="GA33"/>
  <c r="FZ33"/>
  <c r="FY33"/>
  <c r="FX33"/>
  <c r="FW33"/>
  <c r="FV33"/>
  <c r="FU33"/>
  <c r="FT33"/>
  <c r="FS33"/>
  <c r="FR33"/>
  <c r="FQ33"/>
  <c r="FP33"/>
  <c r="FO33"/>
  <c r="FN33"/>
  <c r="FM33"/>
  <c r="FL33"/>
  <c r="FK33"/>
  <c r="FJ33"/>
  <c r="FI33"/>
  <c r="FH33"/>
  <c r="FG33"/>
  <c r="FF33"/>
  <c r="FE33"/>
  <c r="FD33"/>
  <c r="FC33"/>
  <c r="FB33"/>
  <c r="FA33"/>
  <c r="EZ33"/>
  <c r="EY33"/>
  <c r="EX33"/>
  <c r="EW33"/>
  <c r="EV33"/>
  <c r="EU33"/>
  <c r="ET33"/>
  <c r="ES33"/>
  <c r="ER33"/>
  <c r="EQ33"/>
  <c r="EP33"/>
  <c r="EO33"/>
  <c r="EN33"/>
  <c r="EM33"/>
  <c r="EL33"/>
  <c r="EK33"/>
  <c r="EJ33"/>
  <c r="EI33"/>
  <c r="EH33"/>
  <c r="EG33"/>
  <c r="EF33"/>
  <c r="EE33"/>
  <c r="ED33"/>
  <c r="EC33"/>
  <c r="EB33"/>
  <c r="EA33"/>
  <c r="DZ33"/>
  <c r="DY33"/>
  <c r="DX33"/>
  <c r="DW33"/>
  <c r="DV33"/>
  <c r="DU33"/>
  <c r="DT33"/>
  <c r="DS33"/>
  <c r="DR33"/>
  <c r="DQ33"/>
  <c r="DP33"/>
  <c r="DO33"/>
  <c r="DN33"/>
  <c r="DM33"/>
  <c r="DL33"/>
  <c r="DK33"/>
  <c r="DJ33"/>
  <c r="DI33"/>
  <c r="DH33"/>
  <c r="DG33"/>
  <c r="DF33"/>
  <c r="DE33"/>
  <c r="DD33"/>
  <c r="DC33"/>
  <c r="DB33"/>
  <c r="DA33"/>
  <c r="CZ33"/>
  <c r="CY33"/>
  <c r="CX33"/>
  <c r="CW33"/>
  <c r="CV33"/>
  <c r="CU33"/>
  <c r="CT33"/>
  <c r="CS33"/>
  <c r="CR33"/>
  <c r="CQ33"/>
  <c r="CP33"/>
  <c r="CO33"/>
  <c r="CN33"/>
  <c r="CM33"/>
  <c r="CL33"/>
  <c r="CK33"/>
  <c r="CJ33"/>
  <c r="CI33"/>
  <c r="CH33"/>
  <c r="CG33"/>
  <c r="CF33"/>
  <c r="CE33"/>
  <c r="CD33"/>
  <c r="CC33"/>
  <c r="CB33"/>
  <c r="CA33"/>
  <c r="BZ33"/>
  <c r="BY33"/>
  <c r="BX33"/>
  <c r="BW33"/>
  <c r="BV33"/>
  <c r="BU33"/>
  <c r="BT33"/>
  <c r="BS33"/>
  <c r="BR33"/>
  <c r="BQ33"/>
  <c r="BP33"/>
  <c r="BO33"/>
  <c r="BN33"/>
  <c r="BM33"/>
  <c r="BL33"/>
  <c r="BK33"/>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Q33"/>
  <c r="P33"/>
  <c r="L33"/>
  <c r="K33"/>
  <c r="A33"/>
  <c r="HM32"/>
  <c r="HL32"/>
  <c r="HK32"/>
  <c r="HJ32"/>
  <c r="HI32"/>
  <c r="HH32"/>
  <c r="HG32"/>
  <c r="HF32"/>
  <c r="HE32"/>
  <c r="HD32"/>
  <c r="HC32"/>
  <c r="HB32"/>
  <c r="HA32"/>
  <c r="GZ32"/>
  <c r="GY32"/>
  <c r="GX32"/>
  <c r="GW32"/>
  <c r="GV32"/>
  <c r="GU32"/>
  <c r="GT32"/>
  <c r="GS32"/>
  <c r="GR32"/>
  <c r="GQ32"/>
  <c r="GP32"/>
  <c r="GO32"/>
  <c r="GN32"/>
  <c r="GM32"/>
  <c r="GL32"/>
  <c r="GK32"/>
  <c r="GJ32"/>
  <c r="GI32"/>
  <c r="GH32"/>
  <c r="GG32"/>
  <c r="GF32"/>
  <c r="GE32"/>
  <c r="GD32"/>
  <c r="GC32"/>
  <c r="GB32"/>
  <c r="GA32"/>
  <c r="FZ32"/>
  <c r="FY32"/>
  <c r="FX32"/>
  <c r="FW32"/>
  <c r="FV32"/>
  <c r="FU32"/>
  <c r="FT32"/>
  <c r="FS32"/>
  <c r="FR32"/>
  <c r="FQ32"/>
  <c r="FP32"/>
  <c r="FO32"/>
  <c r="FN32"/>
  <c r="FM32"/>
  <c r="FL32"/>
  <c r="FK32"/>
  <c r="FJ32"/>
  <c r="FI32"/>
  <c r="FH32"/>
  <c r="FG32"/>
  <c r="FF32"/>
  <c r="FE32"/>
  <c r="FD32"/>
  <c r="FC32"/>
  <c r="FB32"/>
  <c r="FA32"/>
  <c r="EZ32"/>
  <c r="EY32"/>
  <c r="EX32"/>
  <c r="EW32"/>
  <c r="EV32"/>
  <c r="EU32"/>
  <c r="ET32"/>
  <c r="ES32"/>
  <c r="ER32"/>
  <c r="EQ32"/>
  <c r="EP32"/>
  <c r="EO32"/>
  <c r="EN32"/>
  <c r="EM32"/>
  <c r="EL32"/>
  <c r="EK32"/>
  <c r="EJ32"/>
  <c r="EI32"/>
  <c r="EH32"/>
  <c r="EG32"/>
  <c r="EF32"/>
  <c r="EE32"/>
  <c r="ED32"/>
  <c r="EC32"/>
  <c r="EB32"/>
  <c r="EA32"/>
  <c r="DZ32"/>
  <c r="DY32"/>
  <c r="DX32"/>
  <c r="DW32"/>
  <c r="DV32"/>
  <c r="DU32"/>
  <c r="DT32"/>
  <c r="DS32"/>
  <c r="DR32"/>
  <c r="DQ32"/>
  <c r="DP32"/>
  <c r="DO32"/>
  <c r="DN32"/>
  <c r="DM32"/>
  <c r="DL32"/>
  <c r="DK32"/>
  <c r="DJ32"/>
  <c r="DI32"/>
  <c r="DH32"/>
  <c r="DG32"/>
  <c r="DF32"/>
  <c r="DE32"/>
  <c r="DD32"/>
  <c r="DC32"/>
  <c r="DB32"/>
  <c r="DA32"/>
  <c r="CZ32"/>
  <c r="CY32"/>
  <c r="CX32"/>
  <c r="CW32"/>
  <c r="CV32"/>
  <c r="CU32"/>
  <c r="CT32"/>
  <c r="CS32"/>
  <c r="CR32"/>
  <c r="CQ32"/>
  <c r="CP32"/>
  <c r="CO32"/>
  <c r="CN32"/>
  <c r="CM32"/>
  <c r="CL32"/>
  <c r="CK32"/>
  <c r="CJ32"/>
  <c r="CI32"/>
  <c r="CH32"/>
  <c r="CG32"/>
  <c r="CF32"/>
  <c r="CE32"/>
  <c r="CD32"/>
  <c r="CC32"/>
  <c r="CB32"/>
  <c r="CA32"/>
  <c r="BZ32"/>
  <c r="BY32"/>
  <c r="BX32"/>
  <c r="BW32"/>
  <c r="BV32"/>
  <c r="BU32"/>
  <c r="BT32"/>
  <c r="BS32"/>
  <c r="BR32"/>
  <c r="BQ32"/>
  <c r="BP32"/>
  <c r="BO32"/>
  <c r="BN32"/>
  <c r="BM32"/>
  <c r="BL32"/>
  <c r="BK32"/>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Q32"/>
  <c r="P32"/>
  <c r="L32"/>
  <c r="K32"/>
  <c r="A32"/>
  <c r="HM31"/>
  <c r="HL31"/>
  <c r="HK31"/>
  <c r="HJ31"/>
  <c r="HI31"/>
  <c r="HH31"/>
  <c r="HG31"/>
  <c r="HF31"/>
  <c r="HE31"/>
  <c r="HD31"/>
  <c r="HC31"/>
  <c r="HB31"/>
  <c r="HA31"/>
  <c r="GZ31"/>
  <c r="GY31"/>
  <c r="GX31"/>
  <c r="GW31"/>
  <c r="GV31"/>
  <c r="GU31"/>
  <c r="GT31"/>
  <c r="GS31"/>
  <c r="GR31"/>
  <c r="GQ31"/>
  <c r="GP31"/>
  <c r="GO31"/>
  <c r="GN31"/>
  <c r="GM31"/>
  <c r="GL31"/>
  <c r="GK31"/>
  <c r="GJ31"/>
  <c r="GI31"/>
  <c r="GH31"/>
  <c r="GG31"/>
  <c r="GF31"/>
  <c r="GE31"/>
  <c r="GD31"/>
  <c r="GC31"/>
  <c r="GB31"/>
  <c r="GA31"/>
  <c r="FZ31"/>
  <c r="FY31"/>
  <c r="FX31"/>
  <c r="FW31"/>
  <c r="FV31"/>
  <c r="FU31"/>
  <c r="FT31"/>
  <c r="FS31"/>
  <c r="FR31"/>
  <c r="FQ31"/>
  <c r="FP31"/>
  <c r="FO31"/>
  <c r="FN31"/>
  <c r="FM31"/>
  <c r="FL31"/>
  <c r="FK31"/>
  <c r="FJ31"/>
  <c r="FI31"/>
  <c r="FH31"/>
  <c r="FG31"/>
  <c r="FF31"/>
  <c r="FE31"/>
  <c r="FD31"/>
  <c r="FC31"/>
  <c r="FB31"/>
  <c r="FA31"/>
  <c r="EZ31"/>
  <c r="EY31"/>
  <c r="EX31"/>
  <c r="EW31"/>
  <c r="EV31"/>
  <c r="EU31"/>
  <c r="ET31"/>
  <c r="ES31"/>
  <c r="ER31"/>
  <c r="EQ31"/>
  <c r="EP31"/>
  <c r="EO31"/>
  <c r="EN31"/>
  <c r="EM31"/>
  <c r="EL31"/>
  <c r="EK31"/>
  <c r="EJ31"/>
  <c r="EI31"/>
  <c r="EH31"/>
  <c r="EG31"/>
  <c r="EF31"/>
  <c r="EE31"/>
  <c r="ED31"/>
  <c r="EC31"/>
  <c r="EB31"/>
  <c r="EA31"/>
  <c r="DZ31"/>
  <c r="DY31"/>
  <c r="DX31"/>
  <c r="DW31"/>
  <c r="DV31"/>
  <c r="DU31"/>
  <c r="DT31"/>
  <c r="DS31"/>
  <c r="DR31"/>
  <c r="DQ31"/>
  <c r="DP31"/>
  <c r="DO31"/>
  <c r="DN31"/>
  <c r="DM31"/>
  <c r="DL31"/>
  <c r="DK31"/>
  <c r="DJ31"/>
  <c r="DI31"/>
  <c r="DH31"/>
  <c r="DG31"/>
  <c r="DF31"/>
  <c r="DE31"/>
  <c r="DD31"/>
  <c r="DC31"/>
  <c r="DB31"/>
  <c r="DA31"/>
  <c r="CZ31"/>
  <c r="CY31"/>
  <c r="CX31"/>
  <c r="CW31"/>
  <c r="CV31"/>
  <c r="CU31"/>
  <c r="CT31"/>
  <c r="CS31"/>
  <c r="CR31"/>
  <c r="CQ31"/>
  <c r="CP31"/>
  <c r="CO31"/>
  <c r="CN31"/>
  <c r="CM31"/>
  <c r="CL31"/>
  <c r="CK31"/>
  <c r="CJ31"/>
  <c r="CI31"/>
  <c r="CH31"/>
  <c r="CG31"/>
  <c r="CF31"/>
  <c r="CE31"/>
  <c r="CD31"/>
  <c r="CC31"/>
  <c r="CB31"/>
  <c r="CA31"/>
  <c r="BZ31"/>
  <c r="BY31"/>
  <c r="BX31"/>
  <c r="BW31"/>
  <c r="BV31"/>
  <c r="BU31"/>
  <c r="BT31"/>
  <c r="BS31"/>
  <c r="BR31"/>
  <c r="BQ31"/>
  <c r="BP31"/>
  <c r="BO31"/>
  <c r="BN31"/>
  <c r="BM31"/>
  <c r="BL31"/>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Q31"/>
  <c r="P31"/>
  <c r="L31"/>
  <c r="K31"/>
  <c r="A31"/>
  <c r="HM30"/>
  <c r="HL30"/>
  <c r="HK30"/>
  <c r="HJ30"/>
  <c r="HI30"/>
  <c r="HH30"/>
  <c r="HG30"/>
  <c r="HF30"/>
  <c r="HE30"/>
  <c r="HD30"/>
  <c r="HC30"/>
  <c r="HB30"/>
  <c r="HA30"/>
  <c r="GZ30"/>
  <c r="GY30"/>
  <c r="GX30"/>
  <c r="GW30"/>
  <c r="GV30"/>
  <c r="GU30"/>
  <c r="GT30"/>
  <c r="GS30"/>
  <c r="GR30"/>
  <c r="GQ30"/>
  <c r="GP30"/>
  <c r="GO30"/>
  <c r="GN30"/>
  <c r="GM30"/>
  <c r="GL30"/>
  <c r="GK30"/>
  <c r="GJ30"/>
  <c r="GI30"/>
  <c r="GH30"/>
  <c r="GG30"/>
  <c r="GF30"/>
  <c r="GE30"/>
  <c r="GD30"/>
  <c r="GC30"/>
  <c r="GB30"/>
  <c r="GA30"/>
  <c r="FZ30"/>
  <c r="FY30"/>
  <c r="FX30"/>
  <c r="FW30"/>
  <c r="FV30"/>
  <c r="FU30"/>
  <c r="FT30"/>
  <c r="FS30"/>
  <c r="FR30"/>
  <c r="FQ30"/>
  <c r="FP30"/>
  <c r="FO30"/>
  <c r="FN30"/>
  <c r="FM30"/>
  <c r="FL30"/>
  <c r="FK30"/>
  <c r="FJ30"/>
  <c r="FI30"/>
  <c r="FH30"/>
  <c r="FG30"/>
  <c r="FF30"/>
  <c r="FE30"/>
  <c r="FD30"/>
  <c r="FC30"/>
  <c r="FB30"/>
  <c r="FA30"/>
  <c r="EZ30"/>
  <c r="EY30"/>
  <c r="EX30"/>
  <c r="EW30"/>
  <c r="EV30"/>
  <c r="EU30"/>
  <c r="ET30"/>
  <c r="ES30"/>
  <c r="ER30"/>
  <c r="EQ30"/>
  <c r="EP30"/>
  <c r="EO30"/>
  <c r="EN30"/>
  <c r="EM30"/>
  <c r="EL30"/>
  <c r="EK30"/>
  <c r="EJ30"/>
  <c r="EI30"/>
  <c r="EH30"/>
  <c r="EG30"/>
  <c r="EF30"/>
  <c r="EE30"/>
  <c r="ED30"/>
  <c r="EC30"/>
  <c r="EB30"/>
  <c r="EA30"/>
  <c r="DZ30"/>
  <c r="DY30"/>
  <c r="DX30"/>
  <c r="DW30"/>
  <c r="DV30"/>
  <c r="DU30"/>
  <c r="DT30"/>
  <c r="DS30"/>
  <c r="DR30"/>
  <c r="DQ30"/>
  <c r="DP30"/>
  <c r="DO30"/>
  <c r="DN30"/>
  <c r="DM30"/>
  <c r="DL30"/>
  <c r="DK30"/>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Q30"/>
  <c r="P30"/>
  <c r="L30"/>
  <c r="K30"/>
  <c r="A30"/>
  <c r="HM29"/>
  <c r="HL29"/>
  <c r="HK29"/>
  <c r="HJ29"/>
  <c r="HI29"/>
  <c r="HH29"/>
  <c r="HG29"/>
  <c r="HF29"/>
  <c r="HE29"/>
  <c r="HD29"/>
  <c r="HC29"/>
  <c r="HB29"/>
  <c r="HA29"/>
  <c r="GZ29"/>
  <c r="GY29"/>
  <c r="GX29"/>
  <c r="GW29"/>
  <c r="GV29"/>
  <c r="GU29"/>
  <c r="GT29"/>
  <c r="GS29"/>
  <c r="GR29"/>
  <c r="GQ29"/>
  <c r="GP29"/>
  <c r="GO29"/>
  <c r="GN29"/>
  <c r="GM29"/>
  <c r="GL29"/>
  <c r="GK29"/>
  <c r="GJ29"/>
  <c r="GI29"/>
  <c r="GH29"/>
  <c r="GG29"/>
  <c r="GF29"/>
  <c r="GE29"/>
  <c r="GD29"/>
  <c r="GC29"/>
  <c r="GB29"/>
  <c r="GA29"/>
  <c r="FZ29"/>
  <c r="FY29"/>
  <c r="FX29"/>
  <c r="FW29"/>
  <c r="FV29"/>
  <c r="FU29"/>
  <c r="FT29"/>
  <c r="FS29"/>
  <c r="FR29"/>
  <c r="FQ29"/>
  <c r="FP29"/>
  <c r="FO29"/>
  <c r="FN29"/>
  <c r="FM29"/>
  <c r="FL29"/>
  <c r="FK29"/>
  <c r="FJ29"/>
  <c r="FI29"/>
  <c r="FH29"/>
  <c r="FG29"/>
  <c r="FF29"/>
  <c r="FE29"/>
  <c r="FD29"/>
  <c r="FC29"/>
  <c r="FB29"/>
  <c r="FA29"/>
  <c r="EZ29"/>
  <c r="EY29"/>
  <c r="EX29"/>
  <c r="EW29"/>
  <c r="EV29"/>
  <c r="EU29"/>
  <c r="ET29"/>
  <c r="ES29"/>
  <c r="ER29"/>
  <c r="EQ29"/>
  <c r="EP29"/>
  <c r="EO29"/>
  <c r="EN29"/>
  <c r="EM29"/>
  <c r="EL29"/>
  <c r="EK29"/>
  <c r="EJ29"/>
  <c r="EI29"/>
  <c r="EH29"/>
  <c r="EG29"/>
  <c r="EF29"/>
  <c r="EE29"/>
  <c r="ED29"/>
  <c r="EC29"/>
  <c r="EB29"/>
  <c r="EA29"/>
  <c r="DZ29"/>
  <c r="DY29"/>
  <c r="DX29"/>
  <c r="DW29"/>
  <c r="DV29"/>
  <c r="DU29"/>
  <c r="DT29"/>
  <c r="DS29"/>
  <c r="DR29"/>
  <c r="DQ29"/>
  <c r="DP29"/>
  <c r="DO29"/>
  <c r="DN29"/>
  <c r="DM29"/>
  <c r="DL29"/>
  <c r="DK29"/>
  <c r="DJ29"/>
  <c r="DI29"/>
  <c r="DH29"/>
  <c r="DG29"/>
  <c r="DF29"/>
  <c r="DE29"/>
  <c r="DD29"/>
  <c r="DC29"/>
  <c r="DB29"/>
  <c r="DA29"/>
  <c r="CZ29"/>
  <c r="CY29"/>
  <c r="CX29"/>
  <c r="CW29"/>
  <c r="CV29"/>
  <c r="CU29"/>
  <c r="CT29"/>
  <c r="CS29"/>
  <c r="CR29"/>
  <c r="CQ29"/>
  <c r="CP29"/>
  <c r="CO29"/>
  <c r="CN29"/>
  <c r="CM29"/>
  <c r="CL29"/>
  <c r="CK29"/>
  <c r="CJ29"/>
  <c r="CI29"/>
  <c r="CH29"/>
  <c r="CG29"/>
  <c r="CF29"/>
  <c r="CE29"/>
  <c r="CD29"/>
  <c r="CC29"/>
  <c r="CB29"/>
  <c r="CA29"/>
  <c r="BZ29"/>
  <c r="BY29"/>
  <c r="BX29"/>
  <c r="BW29"/>
  <c r="BV29"/>
  <c r="BU29"/>
  <c r="BT29"/>
  <c r="BS29"/>
  <c r="BR29"/>
  <c r="BQ29"/>
  <c r="BP29"/>
  <c r="BO29"/>
  <c r="BN29"/>
  <c r="BM29"/>
  <c r="BL29"/>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Q29"/>
  <c r="P29"/>
  <c r="L29"/>
  <c r="K29"/>
  <c r="A29"/>
  <c r="HM28"/>
  <c r="HL28"/>
  <c r="HK28"/>
  <c r="HJ28"/>
  <c r="HI28"/>
  <c r="HH28"/>
  <c r="HG28"/>
  <c r="HF28"/>
  <c r="HE28"/>
  <c r="HD28"/>
  <c r="HC28"/>
  <c r="HB28"/>
  <c r="HA28"/>
  <c r="GZ28"/>
  <c r="GY28"/>
  <c r="GX28"/>
  <c r="GW28"/>
  <c r="GV28"/>
  <c r="GU28"/>
  <c r="GT28"/>
  <c r="GS28"/>
  <c r="GR28"/>
  <c r="GQ28"/>
  <c r="GP28"/>
  <c r="GO28"/>
  <c r="GN28"/>
  <c r="GM28"/>
  <c r="GL28"/>
  <c r="GK28"/>
  <c r="GJ28"/>
  <c r="GI28"/>
  <c r="GH28"/>
  <c r="GG28"/>
  <c r="GF28"/>
  <c r="GE28"/>
  <c r="GD28"/>
  <c r="GC28"/>
  <c r="GB28"/>
  <c r="GA28"/>
  <c r="FZ28"/>
  <c r="FY28"/>
  <c r="FX28"/>
  <c r="FW28"/>
  <c r="FV28"/>
  <c r="FU28"/>
  <c r="FT28"/>
  <c r="FS28"/>
  <c r="FR28"/>
  <c r="FQ28"/>
  <c r="FP28"/>
  <c r="FO28"/>
  <c r="FN28"/>
  <c r="FM28"/>
  <c r="FL28"/>
  <c r="FK28"/>
  <c r="FJ28"/>
  <c r="FI28"/>
  <c r="FH28"/>
  <c r="FG28"/>
  <c r="FF28"/>
  <c r="FE28"/>
  <c r="FD28"/>
  <c r="FC28"/>
  <c r="FB28"/>
  <c r="FA28"/>
  <c r="EZ28"/>
  <c r="EY28"/>
  <c r="EX28"/>
  <c r="EW28"/>
  <c r="EV28"/>
  <c r="EU28"/>
  <c r="ET28"/>
  <c r="ES28"/>
  <c r="ER28"/>
  <c r="EQ28"/>
  <c r="EP28"/>
  <c r="EO28"/>
  <c r="EN28"/>
  <c r="EM28"/>
  <c r="EL28"/>
  <c r="EK28"/>
  <c r="EJ28"/>
  <c r="EI28"/>
  <c r="EH28"/>
  <c r="EG28"/>
  <c r="EF28"/>
  <c r="EE28"/>
  <c r="ED28"/>
  <c r="EC28"/>
  <c r="EB28"/>
  <c r="EA28"/>
  <c r="DZ28"/>
  <c r="DY28"/>
  <c r="DX28"/>
  <c r="DW28"/>
  <c r="DV28"/>
  <c r="DU28"/>
  <c r="DT28"/>
  <c r="DS28"/>
  <c r="DR28"/>
  <c r="DQ28"/>
  <c r="DP28"/>
  <c r="DO28"/>
  <c r="DN28"/>
  <c r="DM28"/>
  <c r="DL28"/>
  <c r="DK28"/>
  <c r="DJ28"/>
  <c r="DI28"/>
  <c r="DH28"/>
  <c r="DG28"/>
  <c r="DF28"/>
  <c r="DE28"/>
  <c r="DD28"/>
  <c r="DC28"/>
  <c r="DB28"/>
  <c r="DA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Q28"/>
  <c r="P28"/>
  <c r="L28"/>
  <c r="K28"/>
  <c r="A28"/>
  <c r="HM27"/>
  <c r="HL27"/>
  <c r="HK27"/>
  <c r="HJ27"/>
  <c r="HI27"/>
  <c r="HH27"/>
  <c r="HG27"/>
  <c r="HF27"/>
  <c r="HE27"/>
  <c r="HD27"/>
  <c r="HC27"/>
  <c r="HB27"/>
  <c r="HA27"/>
  <c r="GZ27"/>
  <c r="GY27"/>
  <c r="GX27"/>
  <c r="GW27"/>
  <c r="GV27"/>
  <c r="GU27"/>
  <c r="GT27"/>
  <c r="GS27"/>
  <c r="GR27"/>
  <c r="GQ27"/>
  <c r="GP27"/>
  <c r="GO27"/>
  <c r="GN27"/>
  <c r="GM27"/>
  <c r="GL27"/>
  <c r="GK27"/>
  <c r="GJ27"/>
  <c r="GI27"/>
  <c r="GH27"/>
  <c r="GG27"/>
  <c r="GF27"/>
  <c r="GE27"/>
  <c r="GD27"/>
  <c r="GC27"/>
  <c r="GB27"/>
  <c r="GA27"/>
  <c r="FZ27"/>
  <c r="FY27"/>
  <c r="FX27"/>
  <c r="FW27"/>
  <c r="FV27"/>
  <c r="FU27"/>
  <c r="FT27"/>
  <c r="FS27"/>
  <c r="FR27"/>
  <c r="FQ27"/>
  <c r="FP27"/>
  <c r="FO27"/>
  <c r="FN27"/>
  <c r="FM27"/>
  <c r="FL27"/>
  <c r="FK27"/>
  <c r="FJ27"/>
  <c r="FI27"/>
  <c r="FH27"/>
  <c r="FG27"/>
  <c r="FF27"/>
  <c r="FE27"/>
  <c r="FD27"/>
  <c r="FC27"/>
  <c r="FB27"/>
  <c r="FA27"/>
  <c r="EZ27"/>
  <c r="EY27"/>
  <c r="EX27"/>
  <c r="EW27"/>
  <c r="EV27"/>
  <c r="EU27"/>
  <c r="ET27"/>
  <c r="ES27"/>
  <c r="ER27"/>
  <c r="EQ27"/>
  <c r="EP27"/>
  <c r="EO27"/>
  <c r="EN27"/>
  <c r="EM27"/>
  <c r="EL27"/>
  <c r="EK27"/>
  <c r="EJ27"/>
  <c r="EI27"/>
  <c r="EH27"/>
  <c r="EG27"/>
  <c r="EF27"/>
  <c r="EE27"/>
  <c r="ED27"/>
  <c r="EC27"/>
  <c r="EB27"/>
  <c r="EA27"/>
  <c r="DZ27"/>
  <c r="DY27"/>
  <c r="DX27"/>
  <c r="DW27"/>
  <c r="DV27"/>
  <c r="DU27"/>
  <c r="DT27"/>
  <c r="DS27"/>
  <c r="DR27"/>
  <c r="DQ27"/>
  <c r="DP27"/>
  <c r="DO27"/>
  <c r="DN27"/>
  <c r="DM27"/>
  <c r="DL27"/>
  <c r="DK27"/>
  <c r="DJ27"/>
  <c r="DI27"/>
  <c r="DH27"/>
  <c r="DG27"/>
  <c r="DF27"/>
  <c r="DE27"/>
  <c r="DD27"/>
  <c r="DC27"/>
  <c r="DB27"/>
  <c r="DA27"/>
  <c r="CZ27"/>
  <c r="CY27"/>
  <c r="CX27"/>
  <c r="CW27"/>
  <c r="CV27"/>
  <c r="CU27"/>
  <c r="CT27"/>
  <c r="CS27"/>
  <c r="CR27"/>
  <c r="CQ27"/>
  <c r="CP27"/>
  <c r="CO27"/>
  <c r="CN27"/>
  <c r="CM27"/>
  <c r="CL27"/>
  <c r="CK27"/>
  <c r="CJ27"/>
  <c r="CI27"/>
  <c r="CH27"/>
  <c r="CG27"/>
  <c r="CF27"/>
  <c r="CE27"/>
  <c r="CD27"/>
  <c r="CC27"/>
  <c r="CB27"/>
  <c r="CA27"/>
  <c r="BZ27"/>
  <c r="BY27"/>
  <c r="BX27"/>
  <c r="BW27"/>
  <c r="BV27"/>
  <c r="BU27"/>
  <c r="BT27"/>
  <c r="BS27"/>
  <c r="BR27"/>
  <c r="BQ27"/>
  <c r="BP27"/>
  <c r="BO27"/>
  <c r="BN27"/>
  <c r="BM27"/>
  <c r="BL27"/>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P27"/>
  <c r="L27"/>
  <c r="K27"/>
  <c r="A27"/>
  <c r="HM26"/>
  <c r="HL26"/>
  <c r="HK26"/>
  <c r="HJ26"/>
  <c r="HI26"/>
  <c r="HH26"/>
  <c r="HG26"/>
  <c r="HF26"/>
  <c r="HE26"/>
  <c r="HD26"/>
  <c r="HC26"/>
  <c r="HB26"/>
  <c r="HA26"/>
  <c r="GZ26"/>
  <c r="GY26"/>
  <c r="GX26"/>
  <c r="GW26"/>
  <c r="GV26"/>
  <c r="GU26"/>
  <c r="GT26"/>
  <c r="GS26"/>
  <c r="GR26"/>
  <c r="GQ26"/>
  <c r="GP26"/>
  <c r="GO26"/>
  <c r="GN26"/>
  <c r="GM26"/>
  <c r="GL26"/>
  <c r="GK26"/>
  <c r="GJ26"/>
  <c r="GI26"/>
  <c r="GH26"/>
  <c r="GG26"/>
  <c r="GF26"/>
  <c r="GE26"/>
  <c r="GD26"/>
  <c r="GC26"/>
  <c r="GB26"/>
  <c r="GA26"/>
  <c r="FZ26"/>
  <c r="FY26"/>
  <c r="FX26"/>
  <c r="FW26"/>
  <c r="FV26"/>
  <c r="FU26"/>
  <c r="FT26"/>
  <c r="FS26"/>
  <c r="FR26"/>
  <c r="FQ26"/>
  <c r="FP26"/>
  <c r="FO26"/>
  <c r="FN26"/>
  <c r="FM26"/>
  <c r="FL26"/>
  <c r="FK26"/>
  <c r="FJ26"/>
  <c r="FI26"/>
  <c r="FH26"/>
  <c r="FG26"/>
  <c r="FF26"/>
  <c r="FE26"/>
  <c r="FD26"/>
  <c r="FC26"/>
  <c r="FB26"/>
  <c r="FA26"/>
  <c r="EZ26"/>
  <c r="EY26"/>
  <c r="EX26"/>
  <c r="EW26"/>
  <c r="EV26"/>
  <c r="EU26"/>
  <c r="ET26"/>
  <c r="ES26"/>
  <c r="ER26"/>
  <c r="EQ26"/>
  <c r="EP26"/>
  <c r="EO26"/>
  <c r="EN26"/>
  <c r="EM26"/>
  <c r="EL26"/>
  <c r="EK26"/>
  <c r="EJ26"/>
  <c r="EI26"/>
  <c r="EH26"/>
  <c r="EG26"/>
  <c r="EF26"/>
  <c r="EE26"/>
  <c r="ED26"/>
  <c r="EC26"/>
  <c r="EB26"/>
  <c r="EA26"/>
  <c r="DZ26"/>
  <c r="DY26"/>
  <c r="DX26"/>
  <c r="DW26"/>
  <c r="DV26"/>
  <c r="DU26"/>
  <c r="DT26"/>
  <c r="DS26"/>
  <c r="DR26"/>
  <c r="DQ26"/>
  <c r="DP26"/>
  <c r="DO26"/>
  <c r="DN26"/>
  <c r="DM26"/>
  <c r="DL26"/>
  <c r="DK26"/>
  <c r="DJ26"/>
  <c r="DI26"/>
  <c r="DH26"/>
  <c r="DG26"/>
  <c r="DF26"/>
  <c r="DE26"/>
  <c r="DD26"/>
  <c r="DC26"/>
  <c r="DB26"/>
  <c r="DA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P26"/>
  <c r="L26"/>
  <c r="K26"/>
  <c r="A26"/>
  <c r="HM25"/>
  <c r="HL25"/>
  <c r="HK25"/>
  <c r="HJ25"/>
  <c r="HI25"/>
  <c r="HH25"/>
  <c r="HG25"/>
  <c r="HF25"/>
  <c r="HE25"/>
  <c r="HD25"/>
  <c r="HC25"/>
  <c r="HB25"/>
  <c r="HA25"/>
  <c r="GZ25"/>
  <c r="GY25"/>
  <c r="GX25"/>
  <c r="GW25"/>
  <c r="GV25"/>
  <c r="GU25"/>
  <c r="GT25"/>
  <c r="GS25"/>
  <c r="GR25"/>
  <c r="GQ25"/>
  <c r="GP25"/>
  <c r="GO25"/>
  <c r="GN25"/>
  <c r="GM25"/>
  <c r="GL25"/>
  <c r="GK25"/>
  <c r="GJ25"/>
  <c r="GI25"/>
  <c r="GH25"/>
  <c r="GG25"/>
  <c r="GF25"/>
  <c r="GE25"/>
  <c r="GD25"/>
  <c r="GC25"/>
  <c r="GB25"/>
  <c r="GA25"/>
  <c r="FZ25"/>
  <c r="FY25"/>
  <c r="FX25"/>
  <c r="FW25"/>
  <c r="FV25"/>
  <c r="FU25"/>
  <c r="FT25"/>
  <c r="FS25"/>
  <c r="FR25"/>
  <c r="FQ25"/>
  <c r="FP25"/>
  <c r="FO25"/>
  <c r="FN25"/>
  <c r="FM25"/>
  <c r="FL25"/>
  <c r="FK25"/>
  <c r="FJ25"/>
  <c r="FI25"/>
  <c r="FH25"/>
  <c r="FG25"/>
  <c r="FF25"/>
  <c r="FE25"/>
  <c r="FD25"/>
  <c r="FC25"/>
  <c r="FB25"/>
  <c r="FA25"/>
  <c r="EZ25"/>
  <c r="EY25"/>
  <c r="EX25"/>
  <c r="EW25"/>
  <c r="EV25"/>
  <c r="EU25"/>
  <c r="ET25"/>
  <c r="ES25"/>
  <c r="ER25"/>
  <c r="EQ25"/>
  <c r="EP25"/>
  <c r="EO25"/>
  <c r="EN25"/>
  <c r="EM25"/>
  <c r="EL25"/>
  <c r="EK25"/>
  <c r="EJ25"/>
  <c r="EI25"/>
  <c r="EH25"/>
  <c r="EG25"/>
  <c r="EF25"/>
  <c r="EE25"/>
  <c r="ED25"/>
  <c r="EC25"/>
  <c r="EB25"/>
  <c r="EA25"/>
  <c r="DZ25"/>
  <c r="DY25"/>
  <c r="DX25"/>
  <c r="DW25"/>
  <c r="DV25"/>
  <c r="DU25"/>
  <c r="DT25"/>
  <c r="DS25"/>
  <c r="DR25"/>
  <c r="DQ25"/>
  <c r="DP25"/>
  <c r="DO25"/>
  <c r="DN25"/>
  <c r="DM25"/>
  <c r="DL25"/>
  <c r="DK25"/>
  <c r="DJ25"/>
  <c r="DI25"/>
  <c r="DH25"/>
  <c r="DG25"/>
  <c r="DF25"/>
  <c r="DE25"/>
  <c r="DD25"/>
  <c r="DC25"/>
  <c r="DB25"/>
  <c r="DA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P25"/>
  <c r="L25"/>
  <c r="K25"/>
  <c r="A25"/>
  <c r="HM24"/>
  <c r="HL24"/>
  <c r="HK24"/>
  <c r="HJ24"/>
  <c r="HI24"/>
  <c r="HH24"/>
  <c r="HG24"/>
  <c r="HF24"/>
  <c r="HE24"/>
  <c r="HD24"/>
  <c r="HC24"/>
  <c r="HB24"/>
  <c r="HA24"/>
  <c r="GZ24"/>
  <c r="GY24"/>
  <c r="GX24"/>
  <c r="GW24"/>
  <c r="GV24"/>
  <c r="GU24"/>
  <c r="GT24"/>
  <c r="GS24"/>
  <c r="GR24"/>
  <c r="GQ24"/>
  <c r="GP24"/>
  <c r="GO24"/>
  <c r="GN24"/>
  <c r="GM24"/>
  <c r="GL24"/>
  <c r="GK24"/>
  <c r="GJ24"/>
  <c r="GI24"/>
  <c r="GH24"/>
  <c r="GG24"/>
  <c r="GF24"/>
  <c r="GE24"/>
  <c r="GD24"/>
  <c r="GC24"/>
  <c r="GB24"/>
  <c r="GA24"/>
  <c r="FZ24"/>
  <c r="FY24"/>
  <c r="FX24"/>
  <c r="FW24"/>
  <c r="FV24"/>
  <c r="FU24"/>
  <c r="FT24"/>
  <c r="FS24"/>
  <c r="FR24"/>
  <c r="FQ24"/>
  <c r="FP24"/>
  <c r="FO24"/>
  <c r="FN24"/>
  <c r="FM24"/>
  <c r="FL24"/>
  <c r="FK24"/>
  <c r="FJ24"/>
  <c r="FI24"/>
  <c r="FH24"/>
  <c r="FG24"/>
  <c r="FF24"/>
  <c r="FE24"/>
  <c r="FD24"/>
  <c r="FC24"/>
  <c r="FB24"/>
  <c r="FA24"/>
  <c r="EZ24"/>
  <c r="EY24"/>
  <c r="EX24"/>
  <c r="EW24"/>
  <c r="EV24"/>
  <c r="EU24"/>
  <c r="ET24"/>
  <c r="ES24"/>
  <c r="ER24"/>
  <c r="EQ24"/>
  <c r="EP24"/>
  <c r="EO24"/>
  <c r="EN24"/>
  <c r="EM24"/>
  <c r="EL24"/>
  <c r="EK24"/>
  <c r="EJ24"/>
  <c r="EI24"/>
  <c r="EH24"/>
  <c r="EG24"/>
  <c r="EF24"/>
  <c r="EE24"/>
  <c r="ED24"/>
  <c r="EC24"/>
  <c r="EB24"/>
  <c r="EA24"/>
  <c r="DZ24"/>
  <c r="DY24"/>
  <c r="DX24"/>
  <c r="DW24"/>
  <c r="DV24"/>
  <c r="DU24"/>
  <c r="DT24"/>
  <c r="DS24"/>
  <c r="DR24"/>
  <c r="DQ24"/>
  <c r="DP24"/>
  <c r="DO24"/>
  <c r="DN24"/>
  <c r="DM24"/>
  <c r="DL24"/>
  <c r="DK24"/>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P24"/>
  <c r="L24"/>
  <c r="K24"/>
  <c r="A24"/>
  <c r="HM23"/>
  <c r="HL23"/>
  <c r="HK23"/>
  <c r="HJ23"/>
  <c r="HI23"/>
  <c r="HH23"/>
  <c r="HG23"/>
  <c r="HF23"/>
  <c r="HE23"/>
  <c r="HD23"/>
  <c r="HC23"/>
  <c r="HB23"/>
  <c r="HA23"/>
  <c r="GZ23"/>
  <c r="GY23"/>
  <c r="GX23"/>
  <c r="GW23"/>
  <c r="GV23"/>
  <c r="GU23"/>
  <c r="GT23"/>
  <c r="GS23"/>
  <c r="GR23"/>
  <c r="GQ23"/>
  <c r="GP23"/>
  <c r="GO23"/>
  <c r="GN23"/>
  <c r="GM23"/>
  <c r="GL23"/>
  <c r="GK23"/>
  <c r="GJ23"/>
  <c r="GI23"/>
  <c r="GH23"/>
  <c r="GG23"/>
  <c r="GF23"/>
  <c r="GE23"/>
  <c r="GD23"/>
  <c r="GC23"/>
  <c r="GB23"/>
  <c r="GA23"/>
  <c r="FZ23"/>
  <c r="FY23"/>
  <c r="FX23"/>
  <c r="FW23"/>
  <c r="FV23"/>
  <c r="FU23"/>
  <c r="FT23"/>
  <c r="FS23"/>
  <c r="FR23"/>
  <c r="FQ23"/>
  <c r="FP23"/>
  <c r="FO23"/>
  <c r="FN23"/>
  <c r="FM23"/>
  <c r="FL23"/>
  <c r="FK23"/>
  <c r="FJ23"/>
  <c r="FI23"/>
  <c r="FH23"/>
  <c r="FG23"/>
  <c r="FF23"/>
  <c r="FE23"/>
  <c r="FD23"/>
  <c r="FC23"/>
  <c r="FB23"/>
  <c r="FA23"/>
  <c r="EZ23"/>
  <c r="EY23"/>
  <c r="EX23"/>
  <c r="EW23"/>
  <c r="EV23"/>
  <c r="EU23"/>
  <c r="ET23"/>
  <c r="ES23"/>
  <c r="ER23"/>
  <c r="EQ23"/>
  <c r="EP23"/>
  <c r="EO23"/>
  <c r="EN23"/>
  <c r="EM23"/>
  <c r="EL23"/>
  <c r="EK23"/>
  <c r="EJ23"/>
  <c r="EI23"/>
  <c r="EH23"/>
  <c r="EG23"/>
  <c r="EF23"/>
  <c r="EE23"/>
  <c r="ED23"/>
  <c r="EC23"/>
  <c r="EB23"/>
  <c r="EA23"/>
  <c r="DZ23"/>
  <c r="DY23"/>
  <c r="DX23"/>
  <c r="DW23"/>
  <c r="DV23"/>
  <c r="DU23"/>
  <c r="DT23"/>
  <c r="DS23"/>
  <c r="DR23"/>
  <c r="DQ23"/>
  <c r="DP23"/>
  <c r="DO23"/>
  <c r="DN23"/>
  <c r="DM23"/>
  <c r="DL23"/>
  <c r="DK23"/>
  <c r="DJ23"/>
  <c r="DI23"/>
  <c r="DH23"/>
  <c r="DG23"/>
  <c r="DF23"/>
  <c r="DE23"/>
  <c r="DD23"/>
  <c r="DC23"/>
  <c r="DB23"/>
  <c r="DA23"/>
  <c r="CZ23"/>
  <c r="CY23"/>
  <c r="CX23"/>
  <c r="CW23"/>
  <c r="CV23"/>
  <c r="CU23"/>
  <c r="CT23"/>
  <c r="CS23"/>
  <c r="CR23"/>
  <c r="CQ23"/>
  <c r="CP23"/>
  <c r="CO23"/>
  <c r="CN23"/>
  <c r="CM23"/>
  <c r="CL23"/>
  <c r="CK23"/>
  <c r="CJ23"/>
  <c r="CI23"/>
  <c r="CH23"/>
  <c r="CG23"/>
  <c r="CF23"/>
  <c r="CE23"/>
  <c r="CD23"/>
  <c r="CC23"/>
  <c r="CB23"/>
  <c r="CA23"/>
  <c r="BZ23"/>
  <c r="BY23"/>
  <c r="BX23"/>
  <c r="BW23"/>
  <c r="BV23"/>
  <c r="BU23"/>
  <c r="BT23"/>
  <c r="BS23"/>
  <c r="BR23"/>
  <c r="BQ23"/>
  <c r="BP23"/>
  <c r="BO23"/>
  <c r="BN23"/>
  <c r="BM23"/>
  <c r="BL23"/>
  <c r="BK23"/>
  <c r="BJ23"/>
  <c r="BI23"/>
  <c r="BH23"/>
  <c r="BG23"/>
  <c r="BF23"/>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P23"/>
  <c r="L23"/>
  <c r="K23"/>
  <c r="A23"/>
  <c r="HM22"/>
  <c r="HL22"/>
  <c r="HK22"/>
  <c r="HJ22"/>
  <c r="HI22"/>
  <c r="HH22"/>
  <c r="HG22"/>
  <c r="HF22"/>
  <c r="HE22"/>
  <c r="HD22"/>
  <c r="HC22"/>
  <c r="HB22"/>
  <c r="HA22"/>
  <c r="GZ22"/>
  <c r="GY22"/>
  <c r="GX22"/>
  <c r="GW22"/>
  <c r="GV22"/>
  <c r="GU22"/>
  <c r="GT22"/>
  <c r="GS22"/>
  <c r="GR22"/>
  <c r="GQ22"/>
  <c r="GP22"/>
  <c r="GO22"/>
  <c r="GN22"/>
  <c r="GM22"/>
  <c r="GL22"/>
  <c r="GK22"/>
  <c r="GJ22"/>
  <c r="GI22"/>
  <c r="GH22"/>
  <c r="GG22"/>
  <c r="GF22"/>
  <c r="GE22"/>
  <c r="GD22"/>
  <c r="GC22"/>
  <c r="GB22"/>
  <c r="GA22"/>
  <c r="FZ22"/>
  <c r="FY22"/>
  <c r="FX22"/>
  <c r="FW22"/>
  <c r="FV22"/>
  <c r="FU22"/>
  <c r="FT22"/>
  <c r="FS22"/>
  <c r="FR22"/>
  <c r="FQ22"/>
  <c r="FP22"/>
  <c r="FO22"/>
  <c r="FN22"/>
  <c r="FM22"/>
  <c r="FL22"/>
  <c r="FK22"/>
  <c r="FJ22"/>
  <c r="FI22"/>
  <c r="FH22"/>
  <c r="FG22"/>
  <c r="FF22"/>
  <c r="FE22"/>
  <c r="FD22"/>
  <c r="FC22"/>
  <c r="FB22"/>
  <c r="FA22"/>
  <c r="EZ22"/>
  <c r="EY22"/>
  <c r="EX22"/>
  <c r="EW22"/>
  <c r="EV22"/>
  <c r="EU22"/>
  <c r="ET22"/>
  <c r="ES22"/>
  <c r="ER22"/>
  <c r="EQ22"/>
  <c r="EP22"/>
  <c r="EO22"/>
  <c r="EN22"/>
  <c r="EM22"/>
  <c r="EL22"/>
  <c r="EK22"/>
  <c r="EJ22"/>
  <c r="EI22"/>
  <c r="EH22"/>
  <c r="EG22"/>
  <c r="EF22"/>
  <c r="EE22"/>
  <c r="ED22"/>
  <c r="EC22"/>
  <c r="EB22"/>
  <c r="EA22"/>
  <c r="DZ22"/>
  <c r="DY22"/>
  <c r="DX22"/>
  <c r="DW22"/>
  <c r="DV22"/>
  <c r="DU22"/>
  <c r="DT22"/>
  <c r="DS22"/>
  <c r="DR22"/>
  <c r="DQ22"/>
  <c r="DP22"/>
  <c r="DO22"/>
  <c r="DN22"/>
  <c r="DM22"/>
  <c r="DL22"/>
  <c r="DK22"/>
  <c r="DJ22"/>
  <c r="DI22"/>
  <c r="DH22"/>
  <c r="DG22"/>
  <c r="DF22"/>
  <c r="DE22"/>
  <c r="DD22"/>
  <c r="DC22"/>
  <c r="DB22"/>
  <c r="DA22"/>
  <c r="CZ22"/>
  <c r="CY22"/>
  <c r="CX22"/>
  <c r="CW22"/>
  <c r="CV22"/>
  <c r="CU22"/>
  <c r="CT22"/>
  <c r="CS22"/>
  <c r="CR22"/>
  <c r="CQ22"/>
  <c r="CP22"/>
  <c r="CO22"/>
  <c r="CN22"/>
  <c r="CM22"/>
  <c r="CL22"/>
  <c r="CK22"/>
  <c r="CJ22"/>
  <c r="CI22"/>
  <c r="CH22"/>
  <c r="CG22"/>
  <c r="CF22"/>
  <c r="CE22"/>
  <c r="CD22"/>
  <c r="CC22"/>
  <c r="CB22"/>
  <c r="CA22"/>
  <c r="BZ22"/>
  <c r="BY22"/>
  <c r="BX22"/>
  <c r="BW22"/>
  <c r="BV22"/>
  <c r="BU22"/>
  <c r="BT22"/>
  <c r="BS22"/>
  <c r="BR22"/>
  <c r="BQ22"/>
  <c r="BP22"/>
  <c r="BO22"/>
  <c r="BN22"/>
  <c r="BM22"/>
  <c r="BL22"/>
  <c r="BK22"/>
  <c r="BJ22"/>
  <c r="BI22"/>
  <c r="BH22"/>
  <c r="BG22"/>
  <c r="BF22"/>
  <c r="BE22"/>
  <c r="BD22"/>
  <c r="BC22"/>
  <c r="BB22"/>
  <c r="BA22"/>
  <c r="AZ22"/>
  <c r="AY22"/>
  <c r="AX22"/>
  <c r="AW22"/>
  <c r="AV22"/>
  <c r="AU22"/>
  <c r="AT22"/>
  <c r="AS22"/>
  <c r="AR22"/>
  <c r="AQ22"/>
  <c r="AP22"/>
  <c r="AO22"/>
  <c r="AN22"/>
  <c r="AM22"/>
  <c r="AL22"/>
  <c r="AK22"/>
  <c r="AJ22"/>
  <c r="AI22"/>
  <c r="AH22"/>
  <c r="AG22"/>
  <c r="AF22"/>
  <c r="AE22"/>
  <c r="AD22"/>
  <c r="AC22"/>
  <c r="AB22"/>
  <c r="AA22"/>
  <c r="Z22"/>
  <c r="Y22"/>
  <c r="X22"/>
  <c r="W22"/>
  <c r="V22"/>
  <c r="P22"/>
  <c r="L22"/>
  <c r="K22"/>
  <c r="A22"/>
  <c r="HM21"/>
  <c r="HL21"/>
  <c r="HK21"/>
  <c r="HJ21"/>
  <c r="HI21"/>
  <c r="HH21"/>
  <c r="HG21"/>
  <c r="HF21"/>
  <c r="HE21"/>
  <c r="HD21"/>
  <c r="HC21"/>
  <c r="HB21"/>
  <c r="HA21"/>
  <c r="GZ21"/>
  <c r="GY21"/>
  <c r="GX21"/>
  <c r="GW21"/>
  <c r="GV21"/>
  <c r="GU21"/>
  <c r="GT21"/>
  <c r="GS21"/>
  <c r="GR21"/>
  <c r="GQ21"/>
  <c r="GP21"/>
  <c r="GO21"/>
  <c r="GN21"/>
  <c r="GM21"/>
  <c r="GL21"/>
  <c r="GK21"/>
  <c r="GJ21"/>
  <c r="GI21"/>
  <c r="GH21"/>
  <c r="GG21"/>
  <c r="GF21"/>
  <c r="GE21"/>
  <c r="GD21"/>
  <c r="GC21"/>
  <c r="GB21"/>
  <c r="GA21"/>
  <c r="FZ21"/>
  <c r="FY21"/>
  <c r="FX21"/>
  <c r="FW21"/>
  <c r="FV21"/>
  <c r="FU21"/>
  <c r="FT21"/>
  <c r="FS21"/>
  <c r="FR21"/>
  <c r="FQ21"/>
  <c r="FP21"/>
  <c r="FO21"/>
  <c r="FN21"/>
  <c r="FM21"/>
  <c r="FL21"/>
  <c r="FK21"/>
  <c r="FJ21"/>
  <c r="FI21"/>
  <c r="FH21"/>
  <c r="FG21"/>
  <c r="FF21"/>
  <c r="FE21"/>
  <c r="FD21"/>
  <c r="FC21"/>
  <c r="FB21"/>
  <c r="FA21"/>
  <c r="EZ21"/>
  <c r="EY21"/>
  <c r="EX21"/>
  <c r="EW21"/>
  <c r="EV21"/>
  <c r="EU21"/>
  <c r="ET21"/>
  <c r="ES21"/>
  <c r="ER21"/>
  <c r="EQ21"/>
  <c r="EP21"/>
  <c r="EO21"/>
  <c r="EN21"/>
  <c r="EM21"/>
  <c r="EL21"/>
  <c r="EK21"/>
  <c r="EJ21"/>
  <c r="EI21"/>
  <c r="EH21"/>
  <c r="EG21"/>
  <c r="EF21"/>
  <c r="EE21"/>
  <c r="ED21"/>
  <c r="EC21"/>
  <c r="EB21"/>
  <c r="EA21"/>
  <c r="DZ21"/>
  <c r="DY21"/>
  <c r="DX21"/>
  <c r="DW21"/>
  <c r="DV21"/>
  <c r="DU21"/>
  <c r="DT21"/>
  <c r="DS21"/>
  <c r="DR21"/>
  <c r="DQ21"/>
  <c r="DP21"/>
  <c r="DO21"/>
  <c r="DN21"/>
  <c r="DM21"/>
  <c r="DL21"/>
  <c r="DK21"/>
  <c r="DJ21"/>
  <c r="DI21"/>
  <c r="DH21"/>
  <c r="DG21"/>
  <c r="DF21"/>
  <c r="DE21"/>
  <c r="DD21"/>
  <c r="DC21"/>
  <c r="DB21"/>
  <c r="DA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P21"/>
  <c r="L21"/>
  <c r="K21"/>
  <c r="A21"/>
  <c r="HM20"/>
  <c r="HL20"/>
  <c r="HK20"/>
  <c r="HJ20"/>
  <c r="HI20"/>
  <c r="HH20"/>
  <c r="HG20"/>
  <c r="HF20"/>
  <c r="HE20"/>
  <c r="HD20"/>
  <c r="HC20"/>
  <c r="HB20"/>
  <c r="HA20"/>
  <c r="GZ20"/>
  <c r="GY20"/>
  <c r="GX20"/>
  <c r="GW20"/>
  <c r="GV20"/>
  <c r="GU20"/>
  <c r="GT20"/>
  <c r="GS20"/>
  <c r="GR20"/>
  <c r="GQ20"/>
  <c r="GP20"/>
  <c r="GO20"/>
  <c r="GN20"/>
  <c r="GM20"/>
  <c r="GL20"/>
  <c r="GK20"/>
  <c r="GJ20"/>
  <c r="GI20"/>
  <c r="GH20"/>
  <c r="GG20"/>
  <c r="GF20"/>
  <c r="GE20"/>
  <c r="GD20"/>
  <c r="GC20"/>
  <c r="GB20"/>
  <c r="GA20"/>
  <c r="FZ20"/>
  <c r="FY20"/>
  <c r="FX20"/>
  <c r="FW20"/>
  <c r="FV20"/>
  <c r="FU20"/>
  <c r="FT20"/>
  <c r="FS20"/>
  <c r="FR20"/>
  <c r="FQ20"/>
  <c r="FP20"/>
  <c r="FO20"/>
  <c r="FN20"/>
  <c r="FM20"/>
  <c r="FL20"/>
  <c r="FK20"/>
  <c r="FJ20"/>
  <c r="FI20"/>
  <c r="FH20"/>
  <c r="FG20"/>
  <c r="FF20"/>
  <c r="FE20"/>
  <c r="FD20"/>
  <c r="FC20"/>
  <c r="FB20"/>
  <c r="FA20"/>
  <c r="EZ20"/>
  <c r="EY20"/>
  <c r="EX20"/>
  <c r="EW20"/>
  <c r="EV20"/>
  <c r="EU20"/>
  <c r="ET20"/>
  <c r="ES20"/>
  <c r="ER20"/>
  <c r="EQ20"/>
  <c r="EP20"/>
  <c r="EO20"/>
  <c r="EN20"/>
  <c r="EM20"/>
  <c r="EL20"/>
  <c r="EK20"/>
  <c r="EJ20"/>
  <c r="EI20"/>
  <c r="EH20"/>
  <c r="EG20"/>
  <c r="EF20"/>
  <c r="EE20"/>
  <c r="ED20"/>
  <c r="EC20"/>
  <c r="EB20"/>
  <c r="EA20"/>
  <c r="DZ20"/>
  <c r="DY20"/>
  <c r="DX20"/>
  <c r="DW20"/>
  <c r="DV20"/>
  <c r="DU20"/>
  <c r="DT20"/>
  <c r="DS20"/>
  <c r="DR20"/>
  <c r="DQ20"/>
  <c r="DP20"/>
  <c r="DO20"/>
  <c r="DN20"/>
  <c r="DM20"/>
  <c r="DL20"/>
  <c r="DK20"/>
  <c r="DJ20"/>
  <c r="DI20"/>
  <c r="DH20"/>
  <c r="DG20"/>
  <c r="DF20"/>
  <c r="DE20"/>
  <c r="DD20"/>
  <c r="DC20"/>
  <c r="DB20"/>
  <c r="DA20"/>
  <c r="CZ20"/>
  <c r="CY20"/>
  <c r="CX20"/>
  <c r="CW20"/>
  <c r="CV20"/>
  <c r="CU20"/>
  <c r="CT20"/>
  <c r="CS20"/>
  <c r="CR20"/>
  <c r="CQ20"/>
  <c r="CP20"/>
  <c r="CO20"/>
  <c r="CN20"/>
  <c r="CM20"/>
  <c r="CL20"/>
  <c r="CK20"/>
  <c r="CJ20"/>
  <c r="CI20"/>
  <c r="CH20"/>
  <c r="CG20"/>
  <c r="CF20"/>
  <c r="CE20"/>
  <c r="CD20"/>
  <c r="CC20"/>
  <c r="CB20"/>
  <c r="CA20"/>
  <c r="BZ20"/>
  <c r="BY20"/>
  <c r="BX20"/>
  <c r="BW20"/>
  <c r="BV20"/>
  <c r="BU20"/>
  <c r="BT20"/>
  <c r="BS20"/>
  <c r="BR20"/>
  <c r="BQ20"/>
  <c r="BP20"/>
  <c r="BO20"/>
  <c r="BN20"/>
  <c r="BM20"/>
  <c r="BL20"/>
  <c r="BK20"/>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P20"/>
  <c r="L20"/>
  <c r="K20"/>
  <c r="A20"/>
  <c r="HM19"/>
  <c r="HL19"/>
  <c r="HK19"/>
  <c r="HJ19"/>
  <c r="HI19"/>
  <c r="HH19"/>
  <c r="HG19"/>
  <c r="HF19"/>
  <c r="HE19"/>
  <c r="HD19"/>
  <c r="HC19"/>
  <c r="HB19"/>
  <c r="HA19"/>
  <c r="GZ19"/>
  <c r="GY19"/>
  <c r="GX19"/>
  <c r="GW19"/>
  <c r="GV19"/>
  <c r="GU19"/>
  <c r="GT19"/>
  <c r="GS19"/>
  <c r="GR19"/>
  <c r="GQ19"/>
  <c r="GP19"/>
  <c r="GO19"/>
  <c r="GN19"/>
  <c r="GM19"/>
  <c r="GL19"/>
  <c r="GK19"/>
  <c r="GJ19"/>
  <c r="GI19"/>
  <c r="GH19"/>
  <c r="GG19"/>
  <c r="GF19"/>
  <c r="GE19"/>
  <c r="GD19"/>
  <c r="GC19"/>
  <c r="GB19"/>
  <c r="GA19"/>
  <c r="FZ19"/>
  <c r="FY19"/>
  <c r="FX19"/>
  <c r="FW19"/>
  <c r="FV19"/>
  <c r="FU19"/>
  <c r="FT19"/>
  <c r="FS19"/>
  <c r="FR19"/>
  <c r="FQ19"/>
  <c r="FP19"/>
  <c r="FO19"/>
  <c r="FN19"/>
  <c r="FM19"/>
  <c r="FL19"/>
  <c r="FK19"/>
  <c r="FJ19"/>
  <c r="FI19"/>
  <c r="FH19"/>
  <c r="FG19"/>
  <c r="FF19"/>
  <c r="FE19"/>
  <c r="FD19"/>
  <c r="FC19"/>
  <c r="FB19"/>
  <c r="FA19"/>
  <c r="EZ19"/>
  <c r="EY19"/>
  <c r="EX19"/>
  <c r="EW19"/>
  <c r="EV19"/>
  <c r="EU19"/>
  <c r="ET19"/>
  <c r="ES19"/>
  <c r="ER19"/>
  <c r="EQ19"/>
  <c r="EP19"/>
  <c r="EO19"/>
  <c r="EN19"/>
  <c r="EM19"/>
  <c r="EL19"/>
  <c r="EK19"/>
  <c r="EJ19"/>
  <c r="EI19"/>
  <c r="EH19"/>
  <c r="EG19"/>
  <c r="EF19"/>
  <c r="EE19"/>
  <c r="ED19"/>
  <c r="EC19"/>
  <c r="EB19"/>
  <c r="EA19"/>
  <c r="DZ19"/>
  <c r="DY19"/>
  <c r="DX19"/>
  <c r="DW19"/>
  <c r="DV19"/>
  <c r="DU19"/>
  <c r="DT19"/>
  <c r="DS19"/>
  <c r="DR19"/>
  <c r="DQ19"/>
  <c r="DP19"/>
  <c r="DO19"/>
  <c r="DN19"/>
  <c r="DM19"/>
  <c r="DL19"/>
  <c r="DK19"/>
  <c r="DJ19"/>
  <c r="DI19"/>
  <c r="DH19"/>
  <c r="DG19"/>
  <c r="DF19"/>
  <c r="DE19"/>
  <c r="DD19"/>
  <c r="DC19"/>
  <c r="DB19"/>
  <c r="DA19"/>
  <c r="CZ19"/>
  <c r="CY19"/>
  <c r="CX19"/>
  <c r="CW19"/>
  <c r="CV19"/>
  <c r="CU19"/>
  <c r="CT19"/>
  <c r="CS19"/>
  <c r="CR19"/>
  <c r="CQ19"/>
  <c r="CP19"/>
  <c r="CO19"/>
  <c r="CN19"/>
  <c r="CM19"/>
  <c r="CL19"/>
  <c r="CK19"/>
  <c r="CJ19"/>
  <c r="CI19"/>
  <c r="CH19"/>
  <c r="CG19"/>
  <c r="CF19"/>
  <c r="CE19"/>
  <c r="CD19"/>
  <c r="CC19"/>
  <c r="CB19"/>
  <c r="CA19"/>
  <c r="BZ19"/>
  <c r="BY19"/>
  <c r="BX19"/>
  <c r="BW19"/>
  <c r="BV19"/>
  <c r="BU19"/>
  <c r="BT19"/>
  <c r="BS19"/>
  <c r="BR19"/>
  <c r="BQ19"/>
  <c r="BP19"/>
  <c r="BO19"/>
  <c r="BN19"/>
  <c r="BM19"/>
  <c r="BL19"/>
  <c r="BK19"/>
  <c r="BJ19"/>
  <c r="BI19"/>
  <c r="BH19"/>
  <c r="BG19"/>
  <c r="BF19"/>
  <c r="BE19"/>
  <c r="BD19"/>
  <c r="BC19"/>
  <c r="BB19"/>
  <c r="BA19"/>
  <c r="AZ19"/>
  <c r="AY19"/>
  <c r="AX19"/>
  <c r="AW19"/>
  <c r="AV19"/>
  <c r="AU19"/>
  <c r="AT19"/>
  <c r="AS19"/>
  <c r="AR19"/>
  <c r="AQ19"/>
  <c r="AP19"/>
  <c r="AO19"/>
  <c r="AN19"/>
  <c r="AM19"/>
  <c r="AL19"/>
  <c r="AK19"/>
  <c r="AJ19"/>
  <c r="AI19"/>
  <c r="AH19"/>
  <c r="AG19"/>
  <c r="AF19"/>
  <c r="AE19"/>
  <c r="AD19"/>
  <c r="AC19"/>
  <c r="AB19"/>
  <c r="AA19"/>
  <c r="Z19"/>
  <c r="Y19"/>
  <c r="X19"/>
  <c r="W19"/>
  <c r="V19"/>
  <c r="P19"/>
  <c r="L19"/>
  <c r="K19"/>
  <c r="A19"/>
  <c r="HM18"/>
  <c r="HL18"/>
  <c r="HK18"/>
  <c r="HJ18"/>
  <c r="HI18"/>
  <c r="HH18"/>
  <c r="HG18"/>
  <c r="HF18"/>
  <c r="HE18"/>
  <c r="HD18"/>
  <c r="HC18"/>
  <c r="HB18"/>
  <c r="HA18"/>
  <c r="GZ18"/>
  <c r="GY18"/>
  <c r="GX18"/>
  <c r="GW18"/>
  <c r="GV18"/>
  <c r="GU18"/>
  <c r="GT18"/>
  <c r="GS18"/>
  <c r="GR18"/>
  <c r="GQ18"/>
  <c r="GP18"/>
  <c r="GO18"/>
  <c r="GN18"/>
  <c r="GM18"/>
  <c r="GL18"/>
  <c r="GK18"/>
  <c r="GJ18"/>
  <c r="GI18"/>
  <c r="GH18"/>
  <c r="GG18"/>
  <c r="GF18"/>
  <c r="GE18"/>
  <c r="GD18"/>
  <c r="GC18"/>
  <c r="GB18"/>
  <c r="GA18"/>
  <c r="FZ18"/>
  <c r="FY18"/>
  <c r="FX18"/>
  <c r="FW18"/>
  <c r="FV18"/>
  <c r="FU18"/>
  <c r="FT18"/>
  <c r="FS18"/>
  <c r="FR18"/>
  <c r="FQ18"/>
  <c r="FP18"/>
  <c r="FO18"/>
  <c r="FN18"/>
  <c r="FM18"/>
  <c r="FL18"/>
  <c r="FK18"/>
  <c r="FJ18"/>
  <c r="FI18"/>
  <c r="FH18"/>
  <c r="FG18"/>
  <c r="FF18"/>
  <c r="FE18"/>
  <c r="FD18"/>
  <c r="FC18"/>
  <c r="FB18"/>
  <c r="FA18"/>
  <c r="EZ18"/>
  <c r="EY18"/>
  <c r="EX18"/>
  <c r="EW18"/>
  <c r="EV18"/>
  <c r="EU18"/>
  <c r="ET18"/>
  <c r="ES18"/>
  <c r="ER18"/>
  <c r="EQ18"/>
  <c r="EP18"/>
  <c r="EO18"/>
  <c r="EN18"/>
  <c r="EM18"/>
  <c r="EL18"/>
  <c r="EK18"/>
  <c r="EJ18"/>
  <c r="EI18"/>
  <c r="EH18"/>
  <c r="EG18"/>
  <c r="EF18"/>
  <c r="EE18"/>
  <c r="ED18"/>
  <c r="EC18"/>
  <c r="EB18"/>
  <c r="EA18"/>
  <c r="DZ18"/>
  <c r="DY18"/>
  <c r="DX18"/>
  <c r="DW18"/>
  <c r="DV18"/>
  <c r="DU18"/>
  <c r="DT18"/>
  <c r="DS18"/>
  <c r="DR18"/>
  <c r="DQ18"/>
  <c r="DP18"/>
  <c r="DO18"/>
  <c r="DN18"/>
  <c r="DM18"/>
  <c r="DL18"/>
  <c r="DK18"/>
  <c r="DJ18"/>
  <c r="DI18"/>
  <c r="DH18"/>
  <c r="DG18"/>
  <c r="DF18"/>
  <c r="DE18"/>
  <c r="DD18"/>
  <c r="DC18"/>
  <c r="DB18"/>
  <c r="DA18"/>
  <c r="CZ18"/>
  <c r="CY18"/>
  <c r="CX18"/>
  <c r="CW18"/>
  <c r="CV18"/>
  <c r="CU18"/>
  <c r="CT18"/>
  <c r="CS18"/>
  <c r="CR18"/>
  <c r="CQ18"/>
  <c r="CP18"/>
  <c r="CO18"/>
  <c r="CN18"/>
  <c r="CM18"/>
  <c r="CL18"/>
  <c r="CK18"/>
  <c r="CJ18"/>
  <c r="CI18"/>
  <c r="CH18"/>
  <c r="CG18"/>
  <c r="CF18"/>
  <c r="CE18"/>
  <c r="CD18"/>
  <c r="CC18"/>
  <c r="CB18"/>
  <c r="CA18"/>
  <c r="BZ18"/>
  <c r="BY18"/>
  <c r="BX18"/>
  <c r="BW18"/>
  <c r="BV18"/>
  <c r="BU18"/>
  <c r="BT18"/>
  <c r="BS18"/>
  <c r="BR18"/>
  <c r="BQ18"/>
  <c r="BP18"/>
  <c r="BO18"/>
  <c r="BN18"/>
  <c r="BM18"/>
  <c r="BL18"/>
  <c r="BK18"/>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P18"/>
  <c r="L18"/>
  <c r="K18"/>
  <c r="A18"/>
  <c r="HM17"/>
  <c r="HL17"/>
  <c r="HK17"/>
  <c r="HJ17"/>
  <c r="HI17"/>
  <c r="HH17"/>
  <c r="HG17"/>
  <c r="HF17"/>
  <c r="HE17"/>
  <c r="HD17"/>
  <c r="HC17"/>
  <c r="HB17"/>
  <c r="HA17"/>
  <c r="GZ17"/>
  <c r="GY17"/>
  <c r="GX17"/>
  <c r="GW17"/>
  <c r="GV17"/>
  <c r="GU17"/>
  <c r="GT17"/>
  <c r="GS17"/>
  <c r="GR17"/>
  <c r="GQ17"/>
  <c r="GP17"/>
  <c r="GO17"/>
  <c r="GN17"/>
  <c r="GM17"/>
  <c r="GL17"/>
  <c r="GK17"/>
  <c r="GJ17"/>
  <c r="GI17"/>
  <c r="GH17"/>
  <c r="GG17"/>
  <c r="GF17"/>
  <c r="GE17"/>
  <c r="GD17"/>
  <c r="GC17"/>
  <c r="GB17"/>
  <c r="GA17"/>
  <c r="FZ17"/>
  <c r="FY17"/>
  <c r="FX17"/>
  <c r="FW17"/>
  <c r="FV17"/>
  <c r="FU17"/>
  <c r="FT17"/>
  <c r="FS17"/>
  <c r="FR17"/>
  <c r="FQ17"/>
  <c r="FP17"/>
  <c r="FO17"/>
  <c r="FN17"/>
  <c r="FM17"/>
  <c r="FL17"/>
  <c r="FK17"/>
  <c r="FJ17"/>
  <c r="FI17"/>
  <c r="FH17"/>
  <c r="FG17"/>
  <c r="FF17"/>
  <c r="FE17"/>
  <c r="FD17"/>
  <c r="FC17"/>
  <c r="FB17"/>
  <c r="FA17"/>
  <c r="EZ17"/>
  <c r="EY17"/>
  <c r="EX17"/>
  <c r="EW17"/>
  <c r="EV17"/>
  <c r="EU17"/>
  <c r="ET17"/>
  <c r="ES17"/>
  <c r="ER17"/>
  <c r="EQ17"/>
  <c r="EP17"/>
  <c r="EO17"/>
  <c r="EN17"/>
  <c r="EM17"/>
  <c r="EL17"/>
  <c r="EK17"/>
  <c r="EJ17"/>
  <c r="EI17"/>
  <c r="EH17"/>
  <c r="EG17"/>
  <c r="EF17"/>
  <c r="EE17"/>
  <c r="ED17"/>
  <c r="EC17"/>
  <c r="EB17"/>
  <c r="EA17"/>
  <c r="DZ17"/>
  <c r="DY17"/>
  <c r="DX17"/>
  <c r="DW17"/>
  <c r="DV17"/>
  <c r="DU17"/>
  <c r="DT17"/>
  <c r="DS17"/>
  <c r="DR17"/>
  <c r="DQ17"/>
  <c r="DP17"/>
  <c r="DO17"/>
  <c r="DN17"/>
  <c r="DM17"/>
  <c r="DL17"/>
  <c r="DK17"/>
  <c r="DJ17"/>
  <c r="DI17"/>
  <c r="DH17"/>
  <c r="DG17"/>
  <c r="DF17"/>
  <c r="DE17"/>
  <c r="DD17"/>
  <c r="DC17"/>
  <c r="DB17"/>
  <c r="DA17"/>
  <c r="CZ17"/>
  <c r="CY17"/>
  <c r="CX17"/>
  <c r="CW17"/>
  <c r="CV17"/>
  <c r="CU17"/>
  <c r="CT17"/>
  <c r="CS17"/>
  <c r="CR17"/>
  <c r="CQ17"/>
  <c r="CP17"/>
  <c r="CO17"/>
  <c r="CN17"/>
  <c r="CM17"/>
  <c r="CL17"/>
  <c r="CK17"/>
  <c r="CJ17"/>
  <c r="CI17"/>
  <c r="CH17"/>
  <c r="CG17"/>
  <c r="CF17"/>
  <c r="CE17"/>
  <c r="CD17"/>
  <c r="CC17"/>
  <c r="CB17"/>
  <c r="CA17"/>
  <c r="BZ17"/>
  <c r="BY17"/>
  <c r="BX17"/>
  <c r="BW17"/>
  <c r="BV17"/>
  <c r="BU17"/>
  <c r="BT17"/>
  <c r="BS17"/>
  <c r="BR17"/>
  <c r="BQ17"/>
  <c r="BP17"/>
  <c r="BO17"/>
  <c r="BN17"/>
  <c r="BM17"/>
  <c r="BL17"/>
  <c r="BK17"/>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P17"/>
  <c r="L17"/>
  <c r="K17"/>
  <c r="A17"/>
  <c r="HM16"/>
  <c r="HL16"/>
  <c r="HK16"/>
  <c r="HJ16"/>
  <c r="HI16"/>
  <c r="HH16"/>
  <c r="HG16"/>
  <c r="HF16"/>
  <c r="HE16"/>
  <c r="HD16"/>
  <c r="HC16"/>
  <c r="HB16"/>
  <c r="HA16"/>
  <c r="GZ16"/>
  <c r="GY16"/>
  <c r="GX16"/>
  <c r="GW16"/>
  <c r="GV16"/>
  <c r="GU16"/>
  <c r="GT16"/>
  <c r="GS16"/>
  <c r="GR16"/>
  <c r="GQ16"/>
  <c r="GP16"/>
  <c r="GO16"/>
  <c r="GN16"/>
  <c r="GM16"/>
  <c r="GL16"/>
  <c r="GK16"/>
  <c r="GJ16"/>
  <c r="GI16"/>
  <c r="GH16"/>
  <c r="GG16"/>
  <c r="GF16"/>
  <c r="GE16"/>
  <c r="GD16"/>
  <c r="GC16"/>
  <c r="GB16"/>
  <c r="GA16"/>
  <c r="FZ16"/>
  <c r="FY16"/>
  <c r="FX16"/>
  <c r="FW16"/>
  <c r="FV16"/>
  <c r="FU16"/>
  <c r="FT16"/>
  <c r="FS16"/>
  <c r="FR16"/>
  <c r="FQ16"/>
  <c r="FP16"/>
  <c r="FO16"/>
  <c r="FN16"/>
  <c r="FM16"/>
  <c r="FL16"/>
  <c r="FK16"/>
  <c r="FJ16"/>
  <c r="FI16"/>
  <c r="FH16"/>
  <c r="FG16"/>
  <c r="FF16"/>
  <c r="FE16"/>
  <c r="FD16"/>
  <c r="FC16"/>
  <c r="FB16"/>
  <c r="FA16"/>
  <c r="EZ16"/>
  <c r="EY16"/>
  <c r="EX16"/>
  <c r="EW16"/>
  <c r="EV16"/>
  <c r="EU16"/>
  <c r="ET16"/>
  <c r="ES16"/>
  <c r="ER16"/>
  <c r="EQ16"/>
  <c r="EP16"/>
  <c r="EO16"/>
  <c r="EN16"/>
  <c r="EM16"/>
  <c r="EL16"/>
  <c r="EK16"/>
  <c r="EJ16"/>
  <c r="EI16"/>
  <c r="EH16"/>
  <c r="EG16"/>
  <c r="EF16"/>
  <c r="EE16"/>
  <c r="ED16"/>
  <c r="EC16"/>
  <c r="EB16"/>
  <c r="EA16"/>
  <c r="DZ16"/>
  <c r="DY16"/>
  <c r="DX16"/>
  <c r="DW16"/>
  <c r="DV16"/>
  <c r="DU16"/>
  <c r="DT16"/>
  <c r="DS16"/>
  <c r="DR16"/>
  <c r="DQ16"/>
  <c r="DP16"/>
  <c r="DO16"/>
  <c r="DN16"/>
  <c r="DM16"/>
  <c r="DL16"/>
  <c r="DK16"/>
  <c r="DJ16"/>
  <c r="DI16"/>
  <c r="DH16"/>
  <c r="DG16"/>
  <c r="DF16"/>
  <c r="DE16"/>
  <c r="DD16"/>
  <c r="DC16"/>
  <c r="DB16"/>
  <c r="DA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P16"/>
  <c r="L16"/>
  <c r="K16"/>
  <c r="A16"/>
  <c r="HM15"/>
  <c r="HL15"/>
  <c r="HK15"/>
  <c r="HJ15"/>
  <c r="HI15"/>
  <c r="HH15"/>
  <c r="HG15"/>
  <c r="HF15"/>
  <c r="HE15"/>
  <c r="HD15"/>
  <c r="HC15"/>
  <c r="HB15"/>
  <c r="HA15"/>
  <c r="GZ15"/>
  <c r="GY15"/>
  <c r="GX15"/>
  <c r="GW15"/>
  <c r="GV15"/>
  <c r="GU15"/>
  <c r="GT15"/>
  <c r="GS15"/>
  <c r="GR15"/>
  <c r="GQ15"/>
  <c r="GP15"/>
  <c r="GO15"/>
  <c r="GN15"/>
  <c r="GM15"/>
  <c r="GL15"/>
  <c r="GK15"/>
  <c r="GJ15"/>
  <c r="GI15"/>
  <c r="GH15"/>
  <c r="GG15"/>
  <c r="GF15"/>
  <c r="GE15"/>
  <c r="GD15"/>
  <c r="GC15"/>
  <c r="GB15"/>
  <c r="GA15"/>
  <c r="FZ15"/>
  <c r="FY15"/>
  <c r="FX15"/>
  <c r="FW15"/>
  <c r="FV15"/>
  <c r="FU15"/>
  <c r="FT15"/>
  <c r="FS15"/>
  <c r="FR15"/>
  <c r="FQ15"/>
  <c r="FP15"/>
  <c r="FO15"/>
  <c r="FN15"/>
  <c r="FM15"/>
  <c r="FL15"/>
  <c r="FK15"/>
  <c r="FJ15"/>
  <c r="FI15"/>
  <c r="FH15"/>
  <c r="FG15"/>
  <c r="FF15"/>
  <c r="FE15"/>
  <c r="FD15"/>
  <c r="FC15"/>
  <c r="FB15"/>
  <c r="FA15"/>
  <c r="EZ15"/>
  <c r="EY15"/>
  <c r="EX15"/>
  <c r="EW15"/>
  <c r="EV15"/>
  <c r="EU15"/>
  <c r="ET15"/>
  <c r="ES15"/>
  <c r="ER15"/>
  <c r="EQ15"/>
  <c r="EP15"/>
  <c r="EO15"/>
  <c r="EN15"/>
  <c r="EM15"/>
  <c r="EL15"/>
  <c r="EK15"/>
  <c r="EJ15"/>
  <c r="EI15"/>
  <c r="EH15"/>
  <c r="EG15"/>
  <c r="EF15"/>
  <c r="EE15"/>
  <c r="ED15"/>
  <c r="EC15"/>
  <c r="EB15"/>
  <c r="EA15"/>
  <c r="DZ15"/>
  <c r="DY15"/>
  <c r="DX15"/>
  <c r="DW15"/>
  <c r="DV15"/>
  <c r="DU15"/>
  <c r="DT15"/>
  <c r="DS15"/>
  <c r="DR15"/>
  <c r="DQ15"/>
  <c r="DP15"/>
  <c r="DO15"/>
  <c r="DN15"/>
  <c r="DM15"/>
  <c r="DL15"/>
  <c r="DK15"/>
  <c r="DJ15"/>
  <c r="DI15"/>
  <c r="DH15"/>
  <c r="DG15"/>
  <c r="DF15"/>
  <c r="DE15"/>
  <c r="DD15"/>
  <c r="DC15"/>
  <c r="DB15"/>
  <c r="DA15"/>
  <c r="CZ15"/>
  <c r="CY15"/>
  <c r="CX15"/>
  <c r="CW15"/>
  <c r="CV15"/>
  <c r="CU15"/>
  <c r="CT15"/>
  <c r="CS15"/>
  <c r="CR15"/>
  <c r="CQ15"/>
  <c r="CP15"/>
  <c r="CO15"/>
  <c r="CN15"/>
  <c r="CM15"/>
  <c r="CL15"/>
  <c r="CK15"/>
  <c r="CJ15"/>
  <c r="CI15"/>
  <c r="CH15"/>
  <c r="CG15"/>
  <c r="CF15"/>
  <c r="CE15"/>
  <c r="CD15"/>
  <c r="CC15"/>
  <c r="CB15"/>
  <c r="CA15"/>
  <c r="BZ15"/>
  <c r="BY15"/>
  <c r="BX15"/>
  <c r="BW15"/>
  <c r="BV15"/>
  <c r="BU15"/>
  <c r="BT15"/>
  <c r="BS15"/>
  <c r="BR15"/>
  <c r="BQ15"/>
  <c r="BP15"/>
  <c r="BO15"/>
  <c r="BN15"/>
  <c r="BM15"/>
  <c r="BL15"/>
  <c r="BK15"/>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P15"/>
  <c r="L15"/>
  <c r="K15"/>
  <c r="A15"/>
  <c r="HM14"/>
  <c r="HL14"/>
  <c r="HK14"/>
  <c r="HJ14"/>
  <c r="HI14"/>
  <c r="HH14"/>
  <c r="HG14"/>
  <c r="HF14"/>
  <c r="HE14"/>
  <c r="HD14"/>
  <c r="HC14"/>
  <c r="HB14"/>
  <c r="HA14"/>
  <c r="GZ14"/>
  <c r="GY14"/>
  <c r="GX14"/>
  <c r="GW14"/>
  <c r="GV14"/>
  <c r="GU14"/>
  <c r="GT14"/>
  <c r="GS14"/>
  <c r="GR14"/>
  <c r="GQ14"/>
  <c r="GP14"/>
  <c r="GO14"/>
  <c r="GN14"/>
  <c r="GM14"/>
  <c r="GL14"/>
  <c r="GK14"/>
  <c r="GJ14"/>
  <c r="GI14"/>
  <c r="GH14"/>
  <c r="GG14"/>
  <c r="GF14"/>
  <c r="GE14"/>
  <c r="GD14"/>
  <c r="GC14"/>
  <c r="GB14"/>
  <c r="GA14"/>
  <c r="FZ14"/>
  <c r="FY14"/>
  <c r="FX14"/>
  <c r="FW14"/>
  <c r="FV14"/>
  <c r="FU14"/>
  <c r="FT14"/>
  <c r="FS14"/>
  <c r="FR14"/>
  <c r="FQ14"/>
  <c r="FP14"/>
  <c r="FO14"/>
  <c r="FN14"/>
  <c r="FM14"/>
  <c r="FL14"/>
  <c r="FK14"/>
  <c r="FJ14"/>
  <c r="FI14"/>
  <c r="FH14"/>
  <c r="FG14"/>
  <c r="FF14"/>
  <c r="FE14"/>
  <c r="FD14"/>
  <c r="FC14"/>
  <c r="FB14"/>
  <c r="FA14"/>
  <c r="EZ14"/>
  <c r="EY14"/>
  <c r="EX14"/>
  <c r="EW14"/>
  <c r="EV14"/>
  <c r="EU14"/>
  <c r="ET14"/>
  <c r="ES14"/>
  <c r="ER14"/>
  <c r="EQ14"/>
  <c r="EP14"/>
  <c r="EO14"/>
  <c r="EN14"/>
  <c r="EM14"/>
  <c r="EL14"/>
  <c r="EK14"/>
  <c r="EJ14"/>
  <c r="EI14"/>
  <c r="EH14"/>
  <c r="EG14"/>
  <c r="EF14"/>
  <c r="EE14"/>
  <c r="ED14"/>
  <c r="EC14"/>
  <c r="EB14"/>
  <c r="EA14"/>
  <c r="DZ14"/>
  <c r="DY14"/>
  <c r="DX14"/>
  <c r="DW14"/>
  <c r="DV14"/>
  <c r="DU14"/>
  <c r="DT14"/>
  <c r="DS14"/>
  <c r="DR14"/>
  <c r="DQ14"/>
  <c r="DP14"/>
  <c r="DO14"/>
  <c r="DN14"/>
  <c r="DM14"/>
  <c r="DL14"/>
  <c r="DK14"/>
  <c r="DJ14"/>
  <c r="DI14"/>
  <c r="DH14"/>
  <c r="DG14"/>
  <c r="DF14"/>
  <c r="DE14"/>
  <c r="DD14"/>
  <c r="DC14"/>
  <c r="DB14"/>
  <c r="DA14"/>
  <c r="CZ14"/>
  <c r="CY14"/>
  <c r="CX14"/>
  <c r="CW14"/>
  <c r="CV14"/>
  <c r="CU14"/>
  <c r="CT14"/>
  <c r="CS14"/>
  <c r="CR14"/>
  <c r="CQ14"/>
  <c r="CP14"/>
  <c r="CO14"/>
  <c r="CN14"/>
  <c r="CM14"/>
  <c r="CL14"/>
  <c r="CK14"/>
  <c r="CJ14"/>
  <c r="CI14"/>
  <c r="CH14"/>
  <c r="CG14"/>
  <c r="CF14"/>
  <c r="CE14"/>
  <c r="CD14"/>
  <c r="CC14"/>
  <c r="CB14"/>
  <c r="CA14"/>
  <c r="BZ14"/>
  <c r="BY14"/>
  <c r="BX14"/>
  <c r="BW14"/>
  <c r="BV14"/>
  <c r="BU14"/>
  <c r="BT14"/>
  <c r="BS14"/>
  <c r="BR14"/>
  <c r="BQ14"/>
  <c r="BP14"/>
  <c r="BO14"/>
  <c r="BN14"/>
  <c r="BM14"/>
  <c r="BL14"/>
  <c r="BK14"/>
  <c r="BJ14"/>
  <c r="BI14"/>
  <c r="BH14"/>
  <c r="BG14"/>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P14"/>
  <c r="L14"/>
  <c r="K14"/>
  <c r="A14"/>
  <c r="HM13"/>
  <c r="HL13"/>
  <c r="HK13"/>
  <c r="HJ13"/>
  <c r="HI13"/>
  <c r="HH13"/>
  <c r="HG13"/>
  <c r="HF13"/>
  <c r="HE13"/>
  <c r="HD13"/>
  <c r="HC13"/>
  <c r="HB13"/>
  <c r="HA13"/>
  <c r="GZ13"/>
  <c r="GY13"/>
  <c r="GX13"/>
  <c r="GW13"/>
  <c r="GV13"/>
  <c r="GU13"/>
  <c r="GT13"/>
  <c r="GS13"/>
  <c r="GR13"/>
  <c r="GQ13"/>
  <c r="GP13"/>
  <c r="GO13"/>
  <c r="GN13"/>
  <c r="GM13"/>
  <c r="GL13"/>
  <c r="GK13"/>
  <c r="GJ13"/>
  <c r="GI13"/>
  <c r="GH13"/>
  <c r="GG13"/>
  <c r="GF13"/>
  <c r="GE13"/>
  <c r="GD13"/>
  <c r="GC13"/>
  <c r="GB13"/>
  <c r="GA13"/>
  <c r="FZ13"/>
  <c r="FY13"/>
  <c r="FX13"/>
  <c r="FW13"/>
  <c r="FV13"/>
  <c r="FU13"/>
  <c r="FT13"/>
  <c r="FS13"/>
  <c r="FR13"/>
  <c r="FQ13"/>
  <c r="FP13"/>
  <c r="FO13"/>
  <c r="FN13"/>
  <c r="FM13"/>
  <c r="FL13"/>
  <c r="FK13"/>
  <c r="FJ13"/>
  <c r="FI13"/>
  <c r="FH13"/>
  <c r="FG13"/>
  <c r="FF13"/>
  <c r="FE13"/>
  <c r="FD13"/>
  <c r="FC13"/>
  <c r="FB13"/>
  <c r="FA13"/>
  <c r="EZ13"/>
  <c r="EY13"/>
  <c r="EX13"/>
  <c r="EW13"/>
  <c r="EV13"/>
  <c r="EU13"/>
  <c r="ET13"/>
  <c r="ES13"/>
  <c r="ER13"/>
  <c r="EQ13"/>
  <c r="EP13"/>
  <c r="EO13"/>
  <c r="EN13"/>
  <c r="EM13"/>
  <c r="EL13"/>
  <c r="EK13"/>
  <c r="EJ13"/>
  <c r="EI13"/>
  <c r="EH13"/>
  <c r="EG13"/>
  <c r="EF13"/>
  <c r="EE13"/>
  <c r="ED13"/>
  <c r="EC13"/>
  <c r="EB13"/>
  <c r="EA13"/>
  <c r="DZ13"/>
  <c r="DY13"/>
  <c r="DX13"/>
  <c r="DW13"/>
  <c r="DV13"/>
  <c r="DU13"/>
  <c r="DT13"/>
  <c r="DS13"/>
  <c r="DR13"/>
  <c r="DQ13"/>
  <c r="DP13"/>
  <c r="DO13"/>
  <c r="DN13"/>
  <c r="DM13"/>
  <c r="DL13"/>
  <c r="DK13"/>
  <c r="DJ13"/>
  <c r="DI13"/>
  <c r="DH13"/>
  <c r="DG13"/>
  <c r="DF13"/>
  <c r="DE13"/>
  <c r="DD13"/>
  <c r="DC13"/>
  <c r="DB13"/>
  <c r="DA13"/>
  <c r="CZ13"/>
  <c r="CY13"/>
  <c r="CX13"/>
  <c r="CW13"/>
  <c r="CV13"/>
  <c r="CU13"/>
  <c r="CT13"/>
  <c r="CS13"/>
  <c r="CR13"/>
  <c r="CQ13"/>
  <c r="CP13"/>
  <c r="CO13"/>
  <c r="CN13"/>
  <c r="CM13"/>
  <c r="CL13"/>
  <c r="CK13"/>
  <c r="CJ13"/>
  <c r="CI13"/>
  <c r="CH13"/>
  <c r="CG13"/>
  <c r="CF13"/>
  <c r="CE13"/>
  <c r="CD13"/>
  <c r="CC13"/>
  <c r="CB13"/>
  <c r="CA13"/>
  <c r="BZ13"/>
  <c r="BY13"/>
  <c r="BX13"/>
  <c r="BW13"/>
  <c r="BV13"/>
  <c r="BU13"/>
  <c r="BT13"/>
  <c r="BS13"/>
  <c r="BR13"/>
  <c r="BQ13"/>
  <c r="BP13"/>
  <c r="BO13"/>
  <c r="BN13"/>
  <c r="BM13"/>
  <c r="BL13"/>
  <c r="BK13"/>
  <c r="BJ13"/>
  <c r="BI13"/>
  <c r="BH13"/>
  <c r="BG13"/>
  <c r="BF13"/>
  <c r="BE13"/>
  <c r="BD13"/>
  <c r="BC13"/>
  <c r="BB13"/>
  <c r="BA13"/>
  <c r="AZ13"/>
  <c r="AY13"/>
  <c r="AX13"/>
  <c r="AW13"/>
  <c r="AV13"/>
  <c r="AU13"/>
  <c r="AT13"/>
  <c r="AS13"/>
  <c r="AR13"/>
  <c r="AQ13"/>
  <c r="AP13"/>
  <c r="AO13"/>
  <c r="AN13"/>
  <c r="AM13"/>
  <c r="AL13"/>
  <c r="AK13"/>
  <c r="AJ13"/>
  <c r="AI13"/>
  <c r="AH13"/>
  <c r="AG13"/>
  <c r="AF13"/>
  <c r="AE13"/>
  <c r="AD13"/>
  <c r="AC13"/>
  <c r="AB13"/>
  <c r="AA13"/>
  <c r="Z13"/>
  <c r="Y13"/>
  <c r="X13"/>
  <c r="W13"/>
  <c r="V13"/>
  <c r="P13"/>
  <c r="L13"/>
  <c r="K13"/>
  <c r="A13"/>
  <c r="HM12"/>
  <c r="HL12"/>
  <c r="HK12"/>
  <c r="HJ12"/>
  <c r="HI12"/>
  <c r="HH12"/>
  <c r="HG12"/>
  <c r="HF12"/>
  <c r="HE12"/>
  <c r="HD12"/>
  <c r="HC12"/>
  <c r="HB12"/>
  <c r="HA12"/>
  <c r="GZ12"/>
  <c r="GY12"/>
  <c r="GX12"/>
  <c r="GW12"/>
  <c r="GV12"/>
  <c r="GU12"/>
  <c r="GT12"/>
  <c r="GS12"/>
  <c r="GR12"/>
  <c r="GQ12"/>
  <c r="GP12"/>
  <c r="GO12"/>
  <c r="GN12"/>
  <c r="GM12"/>
  <c r="GL12"/>
  <c r="GK12"/>
  <c r="GJ12"/>
  <c r="GI12"/>
  <c r="GH12"/>
  <c r="GG12"/>
  <c r="GF12"/>
  <c r="GE12"/>
  <c r="GD12"/>
  <c r="GC12"/>
  <c r="GB12"/>
  <c r="GA12"/>
  <c r="FZ12"/>
  <c r="FY12"/>
  <c r="FX12"/>
  <c r="FW12"/>
  <c r="FV12"/>
  <c r="FU12"/>
  <c r="FT12"/>
  <c r="FS12"/>
  <c r="FR12"/>
  <c r="FQ12"/>
  <c r="FP12"/>
  <c r="FO12"/>
  <c r="FN12"/>
  <c r="FM12"/>
  <c r="FL12"/>
  <c r="FK12"/>
  <c r="FJ12"/>
  <c r="FI12"/>
  <c r="FH12"/>
  <c r="FG12"/>
  <c r="FF12"/>
  <c r="FE12"/>
  <c r="FD12"/>
  <c r="FC12"/>
  <c r="FB12"/>
  <c r="FA12"/>
  <c r="EZ12"/>
  <c r="EY12"/>
  <c r="EX12"/>
  <c r="EW12"/>
  <c r="EV12"/>
  <c r="EU12"/>
  <c r="ET12"/>
  <c r="ES12"/>
  <c r="ER12"/>
  <c r="EQ12"/>
  <c r="EP12"/>
  <c r="EO12"/>
  <c r="EN12"/>
  <c r="EM12"/>
  <c r="EL12"/>
  <c r="EK12"/>
  <c r="EJ12"/>
  <c r="EI12"/>
  <c r="EH12"/>
  <c r="EG12"/>
  <c r="EF12"/>
  <c r="EE12"/>
  <c r="ED12"/>
  <c r="EC12"/>
  <c r="EB12"/>
  <c r="EA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P12"/>
  <c r="L12"/>
  <c r="K12"/>
  <c r="A12"/>
  <c r="HM11"/>
  <c r="HL11"/>
  <c r="HK11"/>
  <c r="HJ11"/>
  <c r="HI11"/>
  <c r="HH11"/>
  <c r="HG11"/>
  <c r="HF11"/>
  <c r="HE11"/>
  <c r="HD11"/>
  <c r="HC11"/>
  <c r="HB11"/>
  <c r="HA11"/>
  <c r="GZ11"/>
  <c r="GY11"/>
  <c r="GX11"/>
  <c r="GW11"/>
  <c r="GV11"/>
  <c r="GU11"/>
  <c r="GT11"/>
  <c r="GS11"/>
  <c r="GR11"/>
  <c r="GQ11"/>
  <c r="GP11"/>
  <c r="GO11"/>
  <c r="GN11"/>
  <c r="GM11"/>
  <c r="GL11"/>
  <c r="GK11"/>
  <c r="GJ11"/>
  <c r="GI11"/>
  <c r="GH11"/>
  <c r="GG11"/>
  <c r="GF11"/>
  <c r="GE11"/>
  <c r="GD11"/>
  <c r="GC11"/>
  <c r="GB11"/>
  <c r="GA11"/>
  <c r="FZ11"/>
  <c r="FY11"/>
  <c r="FX11"/>
  <c r="FW11"/>
  <c r="FV11"/>
  <c r="FU11"/>
  <c r="FT11"/>
  <c r="FS11"/>
  <c r="FR11"/>
  <c r="FQ11"/>
  <c r="FP11"/>
  <c r="FO11"/>
  <c r="FN11"/>
  <c r="FM11"/>
  <c r="FL11"/>
  <c r="FK11"/>
  <c r="FJ11"/>
  <c r="FI11"/>
  <c r="FH11"/>
  <c r="FG11"/>
  <c r="FF11"/>
  <c r="FE11"/>
  <c r="FD11"/>
  <c r="FC11"/>
  <c r="FB11"/>
  <c r="FA11"/>
  <c r="EZ11"/>
  <c r="EY11"/>
  <c r="EX11"/>
  <c r="EW11"/>
  <c r="EV11"/>
  <c r="EU11"/>
  <c r="ET11"/>
  <c r="ES11"/>
  <c r="ER11"/>
  <c r="EQ11"/>
  <c r="EP11"/>
  <c r="EO11"/>
  <c r="EN11"/>
  <c r="EM11"/>
  <c r="EL11"/>
  <c r="EK11"/>
  <c r="EJ11"/>
  <c r="EI11"/>
  <c r="EH11"/>
  <c r="EG11"/>
  <c r="EF11"/>
  <c r="EE11"/>
  <c r="ED11"/>
  <c r="EC11"/>
  <c r="EB11"/>
  <c r="EA11"/>
  <c r="DZ11"/>
  <c r="DY11"/>
  <c r="DX11"/>
  <c r="DW11"/>
  <c r="DV11"/>
  <c r="DU11"/>
  <c r="DT11"/>
  <c r="DS11"/>
  <c r="DR11"/>
  <c r="DQ11"/>
  <c r="DP11"/>
  <c r="DO11"/>
  <c r="DN11"/>
  <c r="DM11"/>
  <c r="DL11"/>
  <c r="DK11"/>
  <c r="DJ11"/>
  <c r="DI11"/>
  <c r="DH11"/>
  <c r="DG11"/>
  <c r="DF11"/>
  <c r="DE11"/>
  <c r="DD11"/>
  <c r="DC11"/>
  <c r="DB11"/>
  <c r="DA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P11"/>
  <c r="L11"/>
  <c r="K11"/>
  <c r="A11"/>
  <c r="HM10"/>
  <c r="HL10"/>
  <c r="HK10"/>
  <c r="HJ10"/>
  <c r="HI10"/>
  <c r="HH10"/>
  <c r="HG10"/>
  <c r="HF10"/>
  <c r="HE10"/>
  <c r="HD10"/>
  <c r="HC10"/>
  <c r="HB10"/>
  <c r="HA10"/>
  <c r="GZ10"/>
  <c r="GY10"/>
  <c r="GX10"/>
  <c r="GW10"/>
  <c r="GV10"/>
  <c r="GU10"/>
  <c r="GT10"/>
  <c r="GS10"/>
  <c r="GR10"/>
  <c r="GQ10"/>
  <c r="GP10"/>
  <c r="GO10"/>
  <c r="GN10"/>
  <c r="GM10"/>
  <c r="GL10"/>
  <c r="GK10"/>
  <c r="GJ10"/>
  <c r="GI10"/>
  <c r="GH10"/>
  <c r="GG10"/>
  <c r="GF10"/>
  <c r="GE10"/>
  <c r="GD10"/>
  <c r="GC10"/>
  <c r="GB10"/>
  <c r="GA10"/>
  <c r="FZ10"/>
  <c r="FY10"/>
  <c r="FX10"/>
  <c r="FW10"/>
  <c r="FV10"/>
  <c r="FU10"/>
  <c r="FT10"/>
  <c r="FS10"/>
  <c r="FR10"/>
  <c r="FQ10"/>
  <c r="FP10"/>
  <c r="FO10"/>
  <c r="FN10"/>
  <c r="FM10"/>
  <c r="FL10"/>
  <c r="FK10"/>
  <c r="FJ10"/>
  <c r="FI10"/>
  <c r="FH10"/>
  <c r="FG10"/>
  <c r="FF10"/>
  <c r="FE10"/>
  <c r="FD10"/>
  <c r="FC10"/>
  <c r="FB10"/>
  <c r="FA10"/>
  <c r="EZ10"/>
  <c r="EY10"/>
  <c r="EX10"/>
  <c r="EW10"/>
  <c r="EV10"/>
  <c r="EU10"/>
  <c r="ET10"/>
  <c r="ES10"/>
  <c r="ER10"/>
  <c r="EQ10"/>
  <c r="EP10"/>
  <c r="EO10"/>
  <c r="EN10"/>
  <c r="EM10"/>
  <c r="EL10"/>
  <c r="EK10"/>
  <c r="EJ10"/>
  <c r="EI10"/>
  <c r="EH10"/>
  <c r="EG10"/>
  <c r="EF10"/>
  <c r="EE10"/>
  <c r="ED10"/>
  <c r="EC10"/>
  <c r="EB10"/>
  <c r="EA10"/>
  <c r="DZ10"/>
  <c r="DY10"/>
  <c r="DX10"/>
  <c r="DW10"/>
  <c r="DV10"/>
  <c r="DU10"/>
  <c r="DT10"/>
  <c r="DS10"/>
  <c r="DR10"/>
  <c r="DQ10"/>
  <c r="DP10"/>
  <c r="DO10"/>
  <c r="DN10"/>
  <c r="DM10"/>
  <c r="DL10"/>
  <c r="DK10"/>
  <c r="DJ10"/>
  <c r="DI10"/>
  <c r="DH10"/>
  <c r="DG10"/>
  <c r="DF10"/>
  <c r="DE10"/>
  <c r="DD10"/>
  <c r="DC10"/>
  <c r="DB10"/>
  <c r="DA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Q10"/>
  <c r="BP10"/>
  <c r="BO10"/>
  <c r="BN10"/>
  <c r="BM10"/>
  <c r="BL10"/>
  <c r="BK10"/>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P10"/>
  <c r="L10"/>
  <c r="K10"/>
  <c r="A10"/>
  <c r="A7"/>
  <c r="P6"/>
  <c r="Q26" s="1"/>
  <c r="N6"/>
  <c r="T3"/>
  <c r="A1"/>
  <c r="T1" s="1"/>
  <c r="M31" i="29"/>
  <c r="L31"/>
  <c r="K31"/>
  <c r="J31"/>
  <c r="I31"/>
  <c r="M17"/>
  <c r="L17"/>
  <c r="K17"/>
  <c r="J17"/>
  <c r="I17"/>
  <c r="L10"/>
  <c r="I3"/>
  <c r="A1"/>
  <c r="J158" i="15"/>
  <c r="M156"/>
  <c r="J156"/>
  <c r="V151"/>
  <c r="P145"/>
  <c r="P146" s="1"/>
  <c r="P148" s="1"/>
  <c r="M145"/>
  <c r="M146" s="1"/>
  <c r="M148" s="1"/>
  <c r="J145"/>
  <c r="P144"/>
  <c r="M144"/>
  <c r="P142"/>
  <c r="M142"/>
  <c r="P141"/>
  <c r="J141"/>
  <c r="P140"/>
  <c r="M140"/>
  <c r="V139"/>
  <c r="P137"/>
  <c r="J137"/>
  <c r="V129"/>
  <c r="V128"/>
  <c r="P123"/>
  <c r="M123"/>
  <c r="S121"/>
  <c r="P121"/>
  <c r="M121"/>
  <c r="G121"/>
  <c r="U120"/>
  <c r="J120"/>
  <c r="A120"/>
  <c r="V118"/>
  <c r="O118"/>
  <c r="P117"/>
  <c r="M117"/>
  <c r="U116"/>
  <c r="A116"/>
  <c r="F115"/>
  <c r="V110"/>
  <c r="O110"/>
  <c r="S109"/>
  <c r="P109"/>
  <c r="M109"/>
  <c r="V105"/>
  <c r="O105"/>
  <c r="V99"/>
  <c r="O99"/>
  <c r="U97"/>
  <c r="A97"/>
  <c r="U96"/>
  <c r="A96"/>
  <c r="E93"/>
  <c r="V88"/>
  <c r="O88"/>
  <c r="V86"/>
  <c r="S84"/>
  <c r="P84"/>
  <c r="M84"/>
  <c r="J84"/>
  <c r="G84"/>
  <c r="U83"/>
  <c r="A83"/>
  <c r="V76"/>
  <c r="O76"/>
  <c r="S75"/>
  <c r="P75"/>
  <c r="M75"/>
  <c r="J75"/>
  <c r="G75"/>
  <c r="V70"/>
  <c r="O70"/>
  <c r="P69"/>
  <c r="M69"/>
  <c r="J69"/>
  <c r="G69"/>
  <c r="U68"/>
  <c r="A68"/>
  <c r="V58"/>
  <c r="O58"/>
  <c r="P57"/>
  <c r="M57"/>
  <c r="U56"/>
  <c r="J56"/>
  <c r="A56"/>
  <c r="V47"/>
  <c r="O47"/>
  <c r="V45"/>
  <c r="V41"/>
  <c r="O41"/>
  <c r="V37"/>
  <c r="S36"/>
  <c r="P36"/>
  <c r="M36"/>
  <c r="G36"/>
  <c r="B39" s="1"/>
  <c r="E35"/>
  <c r="F35" s="1"/>
  <c r="E34"/>
  <c r="F34" s="1"/>
  <c r="V33"/>
  <c r="O33"/>
  <c r="S32"/>
  <c r="P32"/>
  <c r="M32"/>
  <c r="J32"/>
  <c r="G32"/>
  <c r="V28"/>
  <c r="O28"/>
  <c r="S27"/>
  <c r="P27"/>
  <c r="M27"/>
  <c r="J27"/>
  <c r="G27"/>
  <c r="V24"/>
  <c r="O24"/>
  <c r="S23"/>
  <c r="M23"/>
  <c r="G23"/>
  <c r="V18"/>
  <c r="O18"/>
  <c r="S17"/>
  <c r="P17"/>
  <c r="M17"/>
  <c r="J17"/>
  <c r="G17"/>
  <c r="U16"/>
  <c r="A16"/>
  <c r="U15"/>
  <c r="A15"/>
  <c r="U14"/>
  <c r="A14"/>
  <c r="V7"/>
  <c r="O7"/>
  <c r="V5"/>
  <c r="A1"/>
  <c r="V1" s="1"/>
  <c r="E535" i="25"/>
  <c r="D535"/>
  <c r="C535"/>
  <c r="B535"/>
  <c r="E534"/>
  <c r="D534"/>
  <c r="C534"/>
  <c r="B534"/>
  <c r="E533"/>
  <c r="D533"/>
  <c r="C533"/>
  <c r="B533"/>
  <c r="E532"/>
  <c r="D532"/>
  <c r="C532"/>
  <c r="B532"/>
  <c r="E531"/>
  <c r="D531"/>
  <c r="C531"/>
  <c r="B531"/>
  <c r="E530"/>
  <c r="D530"/>
  <c r="C530"/>
  <c r="B530"/>
  <c r="E529"/>
  <c r="D529"/>
  <c r="C529"/>
  <c r="B529"/>
  <c r="E528"/>
  <c r="D528"/>
  <c r="C528"/>
  <c r="B528"/>
  <c r="E527"/>
  <c r="D527"/>
  <c r="C527"/>
  <c r="B527"/>
  <c r="E526"/>
  <c r="D526"/>
  <c r="C526"/>
  <c r="B526"/>
  <c r="E525"/>
  <c r="D525"/>
  <c r="C525"/>
  <c r="B525"/>
  <c r="E524"/>
  <c r="D524"/>
  <c r="C524"/>
  <c r="B524"/>
  <c r="E523"/>
  <c r="D523"/>
  <c r="C523"/>
  <c r="B523"/>
  <c r="E522"/>
  <c r="D522"/>
  <c r="C522"/>
  <c r="B522"/>
  <c r="E521"/>
  <c r="D521"/>
  <c r="C521"/>
  <c r="B521"/>
  <c r="E520"/>
  <c r="D520"/>
  <c r="C520"/>
  <c r="B520"/>
  <c r="E519"/>
  <c r="D519"/>
  <c r="C519"/>
  <c r="B519"/>
  <c r="E518"/>
  <c r="D518"/>
  <c r="C518"/>
  <c r="B518"/>
  <c r="E517"/>
  <c r="D517"/>
  <c r="C517"/>
  <c r="B517"/>
  <c r="E516"/>
  <c r="D516"/>
  <c r="C516"/>
  <c r="B516"/>
  <c r="E515"/>
  <c r="D515"/>
  <c r="C515"/>
  <c r="B515"/>
  <c r="E514"/>
  <c r="D514"/>
  <c r="C514"/>
  <c r="B514"/>
  <c r="E513"/>
  <c r="D513"/>
  <c r="C513"/>
  <c r="B513"/>
  <c r="E512"/>
  <c r="D512"/>
  <c r="C512"/>
  <c r="B512"/>
  <c r="E511"/>
  <c r="D511"/>
  <c r="C511"/>
  <c r="B511"/>
  <c r="E510"/>
  <c r="D510"/>
  <c r="C510"/>
  <c r="B510"/>
  <c r="E509"/>
  <c r="D509"/>
  <c r="C509"/>
  <c r="B509"/>
  <c r="E508"/>
  <c r="D508"/>
  <c r="C508"/>
  <c r="B508"/>
  <c r="E507"/>
  <c r="D507"/>
  <c r="C507"/>
  <c r="B507"/>
  <c r="E506"/>
  <c r="D506"/>
  <c r="C506"/>
  <c r="B506"/>
  <c r="E505"/>
  <c r="D505"/>
  <c r="C505"/>
  <c r="B505"/>
  <c r="E504"/>
  <c r="D504"/>
  <c r="C504"/>
  <c r="B504"/>
  <c r="E503"/>
  <c r="D503"/>
  <c r="C503"/>
  <c r="B503"/>
  <c r="E502"/>
  <c r="D502"/>
  <c r="C502"/>
  <c r="B502"/>
  <c r="E501"/>
  <c r="D501"/>
  <c r="C501"/>
  <c r="B501"/>
  <c r="E500"/>
  <c r="D500"/>
  <c r="C500"/>
  <c r="B500"/>
  <c r="E499"/>
  <c r="D499"/>
  <c r="C499"/>
  <c r="B499"/>
  <c r="E498"/>
  <c r="D498"/>
  <c r="C498"/>
  <c r="B498"/>
  <c r="E497"/>
  <c r="D497"/>
  <c r="C497"/>
  <c r="B497"/>
  <c r="E496"/>
  <c r="D496"/>
  <c r="C496"/>
  <c r="B496"/>
  <c r="E495"/>
  <c r="D495"/>
  <c r="C495"/>
  <c r="B495"/>
  <c r="E494"/>
  <c r="D494"/>
  <c r="C494"/>
  <c r="B494"/>
  <c r="E493"/>
  <c r="D493"/>
  <c r="C493"/>
  <c r="B493"/>
  <c r="E492"/>
  <c r="D492"/>
  <c r="C492"/>
  <c r="B492"/>
  <c r="E491"/>
  <c r="D491"/>
  <c r="C491"/>
  <c r="B491"/>
  <c r="E490"/>
  <c r="D490"/>
  <c r="C490"/>
  <c r="B490"/>
  <c r="E489"/>
  <c r="D489"/>
  <c r="C489"/>
  <c r="B489"/>
  <c r="E488"/>
  <c r="D488"/>
  <c r="C488"/>
  <c r="B488"/>
  <c r="E487"/>
  <c r="D487"/>
  <c r="C487"/>
  <c r="B487"/>
  <c r="E486"/>
  <c r="D486"/>
  <c r="C486"/>
  <c r="B486"/>
  <c r="E485"/>
  <c r="D485"/>
  <c r="C485"/>
  <c r="B485"/>
  <c r="E484"/>
  <c r="D484"/>
  <c r="C484"/>
  <c r="B484"/>
  <c r="E483"/>
  <c r="D483"/>
  <c r="C483"/>
  <c r="B483"/>
  <c r="E482"/>
  <c r="D482"/>
  <c r="C482"/>
  <c r="B482"/>
  <c r="E481"/>
  <c r="D481"/>
  <c r="C481"/>
  <c r="B481"/>
  <c r="E480"/>
  <c r="D480"/>
  <c r="C480"/>
  <c r="B480"/>
  <c r="E479"/>
  <c r="D479"/>
  <c r="C479"/>
  <c r="B479"/>
  <c r="E478"/>
  <c r="D478"/>
  <c r="C478"/>
  <c r="B478"/>
  <c r="E477"/>
  <c r="D477"/>
  <c r="C477"/>
  <c r="B477"/>
  <c r="E476"/>
  <c r="D476"/>
  <c r="C476"/>
  <c r="B476"/>
  <c r="E475"/>
  <c r="D475"/>
  <c r="C475"/>
  <c r="B475"/>
  <c r="E474"/>
  <c r="D474"/>
  <c r="C474"/>
  <c r="B474"/>
  <c r="E473"/>
  <c r="D473"/>
  <c r="C473"/>
  <c r="B473"/>
  <c r="E472"/>
  <c r="D472"/>
  <c r="C472"/>
  <c r="B472"/>
  <c r="E471"/>
  <c r="D471"/>
  <c r="C471"/>
  <c r="B471"/>
  <c r="E470"/>
  <c r="D470"/>
  <c r="C470"/>
  <c r="B470"/>
  <c r="E469"/>
  <c r="D469"/>
  <c r="C469"/>
  <c r="B469"/>
  <c r="E468"/>
  <c r="D468"/>
  <c r="C468"/>
  <c r="B468"/>
  <c r="E467"/>
  <c r="D467"/>
  <c r="C467"/>
  <c r="B467"/>
  <c r="E466"/>
  <c r="D466"/>
  <c r="C466"/>
  <c r="B466"/>
  <c r="E465"/>
  <c r="D465"/>
  <c r="C465"/>
  <c r="B465"/>
  <c r="E464"/>
  <c r="D464"/>
  <c r="C464"/>
  <c r="B464"/>
  <c r="E463"/>
  <c r="D463"/>
  <c r="C463"/>
  <c r="B463"/>
  <c r="E462"/>
  <c r="D462"/>
  <c r="C462"/>
  <c r="B462"/>
  <c r="E461"/>
  <c r="D461"/>
  <c r="C461"/>
  <c r="B461"/>
  <c r="E460"/>
  <c r="D460"/>
  <c r="C460"/>
  <c r="B460"/>
  <c r="E459"/>
  <c r="D459"/>
  <c r="C459"/>
  <c r="B459"/>
  <c r="E458"/>
  <c r="D458"/>
  <c r="C458"/>
  <c r="B458"/>
  <c r="E457"/>
  <c r="D457"/>
  <c r="C457"/>
  <c r="B457"/>
  <c r="E456"/>
  <c r="D456"/>
  <c r="C456"/>
  <c r="B456"/>
  <c r="E455"/>
  <c r="D455"/>
  <c r="C455"/>
  <c r="B455"/>
  <c r="E454"/>
  <c r="D454"/>
  <c r="C454"/>
  <c r="B454"/>
  <c r="E453"/>
  <c r="D453"/>
  <c r="C453"/>
  <c r="B453"/>
  <c r="E452"/>
  <c r="D452"/>
  <c r="C452"/>
  <c r="B452"/>
  <c r="E451"/>
  <c r="D451"/>
  <c r="C451"/>
  <c r="B451"/>
  <c r="E450"/>
  <c r="D450"/>
  <c r="C450"/>
  <c r="B450"/>
  <c r="E449"/>
  <c r="D449"/>
  <c r="C449"/>
  <c r="B449"/>
  <c r="E448"/>
  <c r="D448"/>
  <c r="C448"/>
  <c r="B448"/>
  <c r="E447"/>
  <c r="D447"/>
  <c r="C447"/>
  <c r="B447"/>
  <c r="E446"/>
  <c r="D446"/>
  <c r="C446"/>
  <c r="B446"/>
  <c r="E445"/>
  <c r="D445"/>
  <c r="C445"/>
  <c r="B445"/>
  <c r="E444"/>
  <c r="D444"/>
  <c r="C444"/>
  <c r="B444"/>
  <c r="E443"/>
  <c r="D443"/>
  <c r="C443"/>
  <c r="B443"/>
  <c r="E442"/>
  <c r="D442"/>
  <c r="C442"/>
  <c r="B442"/>
  <c r="E441"/>
  <c r="D441"/>
  <c r="C441"/>
  <c r="B441"/>
  <c r="E440"/>
  <c r="D440"/>
  <c r="C440"/>
  <c r="B440"/>
  <c r="E439"/>
  <c r="D439"/>
  <c r="C439"/>
  <c r="B439"/>
  <c r="E438"/>
  <c r="D438"/>
  <c r="C438"/>
  <c r="B438"/>
  <c r="E437"/>
  <c r="D437"/>
  <c r="C437"/>
  <c r="B437"/>
  <c r="E436"/>
  <c r="D436"/>
  <c r="C436"/>
  <c r="B436"/>
  <c r="E435"/>
  <c r="D435"/>
  <c r="C435"/>
  <c r="B435"/>
  <c r="E434"/>
  <c r="D434"/>
  <c r="C434"/>
  <c r="B434"/>
  <c r="E433"/>
  <c r="D433"/>
  <c r="C433"/>
  <c r="B433"/>
  <c r="E432"/>
  <c r="D432"/>
  <c r="C432"/>
  <c r="B432"/>
  <c r="E431"/>
  <c r="D431"/>
  <c r="C431"/>
  <c r="B431"/>
  <c r="E430"/>
  <c r="D430"/>
  <c r="C430"/>
  <c r="B430"/>
  <c r="E429"/>
  <c r="D429"/>
  <c r="C429"/>
  <c r="B429"/>
  <c r="E428"/>
  <c r="D428"/>
  <c r="C428"/>
  <c r="B428"/>
  <c r="E427"/>
  <c r="D427"/>
  <c r="C427"/>
  <c r="B427"/>
  <c r="E426"/>
  <c r="D426"/>
  <c r="C426"/>
  <c r="B426"/>
  <c r="E425"/>
  <c r="D425"/>
  <c r="C425"/>
  <c r="B425"/>
  <c r="E424"/>
  <c r="D424"/>
  <c r="C424"/>
  <c r="B424"/>
  <c r="E423"/>
  <c r="D423"/>
  <c r="C423"/>
  <c r="B423"/>
  <c r="E422"/>
  <c r="D422"/>
  <c r="C422"/>
  <c r="B422"/>
  <c r="E421"/>
  <c r="D421"/>
  <c r="C421"/>
  <c r="B421"/>
  <c r="E420"/>
  <c r="D420"/>
  <c r="C420"/>
  <c r="B420"/>
  <c r="E419"/>
  <c r="D419"/>
  <c r="C419"/>
  <c r="B419"/>
  <c r="E418"/>
  <c r="D418"/>
  <c r="C418"/>
  <c r="B418"/>
  <c r="E417"/>
  <c r="D417"/>
  <c r="C417"/>
  <c r="B417"/>
  <c r="E416"/>
  <c r="D416"/>
  <c r="C416"/>
  <c r="B416"/>
  <c r="E415"/>
  <c r="D415"/>
  <c r="C415"/>
  <c r="B415"/>
  <c r="E414"/>
  <c r="D414"/>
  <c r="C414"/>
  <c r="B414"/>
  <c r="E413"/>
  <c r="D413"/>
  <c r="C413"/>
  <c r="B413"/>
  <c r="E412"/>
  <c r="D412"/>
  <c r="C412"/>
  <c r="B412"/>
  <c r="E411"/>
  <c r="D411"/>
  <c r="C411"/>
  <c r="B411"/>
  <c r="E410"/>
  <c r="D410"/>
  <c r="C410"/>
  <c r="B410"/>
  <c r="E409"/>
  <c r="D409"/>
  <c r="C409"/>
  <c r="B409"/>
  <c r="E408"/>
  <c r="D408"/>
  <c r="C408"/>
  <c r="B408"/>
  <c r="E407"/>
  <c r="D407"/>
  <c r="C407"/>
  <c r="B407"/>
  <c r="E406"/>
  <c r="D406"/>
  <c r="C406"/>
  <c r="B406"/>
  <c r="E405"/>
  <c r="D405"/>
  <c r="C405"/>
  <c r="B405"/>
  <c r="E404"/>
  <c r="D404"/>
  <c r="C404"/>
  <c r="B404"/>
  <c r="E403"/>
  <c r="D403"/>
  <c r="C403"/>
  <c r="B403"/>
  <c r="E402"/>
  <c r="D402"/>
  <c r="C402"/>
  <c r="B402"/>
  <c r="E401"/>
  <c r="D401"/>
  <c r="C401"/>
  <c r="B401"/>
  <c r="E400"/>
  <c r="D400"/>
  <c r="C400"/>
  <c r="B400"/>
  <c r="E399"/>
  <c r="D399"/>
  <c r="C399"/>
  <c r="B399"/>
  <c r="E398"/>
  <c r="D398"/>
  <c r="C398"/>
  <c r="B398"/>
  <c r="E397"/>
  <c r="D397"/>
  <c r="C397"/>
  <c r="B397"/>
  <c r="E396"/>
  <c r="D396"/>
  <c r="C396"/>
  <c r="B396"/>
  <c r="E395"/>
  <c r="D395"/>
  <c r="C395"/>
  <c r="B395"/>
  <c r="E394"/>
  <c r="D394"/>
  <c r="C394"/>
  <c r="B394"/>
  <c r="E393"/>
  <c r="D393"/>
  <c r="C393"/>
  <c r="B393"/>
  <c r="E392"/>
  <c r="D392"/>
  <c r="C392"/>
  <c r="B392"/>
  <c r="E391"/>
  <c r="D391"/>
  <c r="C391"/>
  <c r="B391"/>
  <c r="E390"/>
  <c r="D390"/>
  <c r="C390"/>
  <c r="B390"/>
  <c r="E389"/>
  <c r="D389"/>
  <c r="C389"/>
  <c r="B389"/>
  <c r="E388"/>
  <c r="D388"/>
  <c r="C388"/>
  <c r="B388"/>
  <c r="E387"/>
  <c r="D387"/>
  <c r="C387"/>
  <c r="B387"/>
  <c r="E386"/>
  <c r="D386"/>
  <c r="C386"/>
  <c r="B386"/>
  <c r="E385"/>
  <c r="D385"/>
  <c r="C385"/>
  <c r="B385"/>
  <c r="E384"/>
  <c r="D384"/>
  <c r="C384"/>
  <c r="B384"/>
  <c r="E383"/>
  <c r="D383"/>
  <c r="C383"/>
  <c r="B383"/>
  <c r="E382"/>
  <c r="D382"/>
  <c r="C382"/>
  <c r="B382"/>
  <c r="E381"/>
  <c r="D381"/>
  <c r="C381"/>
  <c r="B381"/>
  <c r="E380"/>
  <c r="D380"/>
  <c r="C380"/>
  <c r="B380"/>
  <c r="E379"/>
  <c r="D379"/>
  <c r="C379"/>
  <c r="B379"/>
  <c r="E378"/>
  <c r="D378"/>
  <c r="C378"/>
  <c r="B378"/>
  <c r="E377"/>
  <c r="D377"/>
  <c r="C377"/>
  <c r="B377"/>
  <c r="E376"/>
  <c r="D376"/>
  <c r="C376"/>
  <c r="B376"/>
  <c r="E375"/>
  <c r="D375"/>
  <c r="C375"/>
  <c r="B375"/>
  <c r="E374"/>
  <c r="D374"/>
  <c r="C374"/>
  <c r="B374"/>
  <c r="E373"/>
  <c r="D373"/>
  <c r="C373"/>
  <c r="B373"/>
  <c r="E372"/>
  <c r="D372"/>
  <c r="C372"/>
  <c r="B372"/>
  <c r="E371"/>
  <c r="D371"/>
  <c r="C371"/>
  <c r="B371"/>
  <c r="E370"/>
  <c r="D370"/>
  <c r="C370"/>
  <c r="B370"/>
  <c r="E369"/>
  <c r="D369"/>
  <c r="C369"/>
  <c r="B369"/>
  <c r="E368"/>
  <c r="D368"/>
  <c r="C368"/>
  <c r="B368"/>
  <c r="E367"/>
  <c r="D367"/>
  <c r="C367"/>
  <c r="B367"/>
  <c r="E366"/>
  <c r="D366"/>
  <c r="C366"/>
  <c r="B366"/>
  <c r="E365"/>
  <c r="D365"/>
  <c r="C365"/>
  <c r="B365"/>
  <c r="E364"/>
  <c r="D364"/>
  <c r="C364"/>
  <c r="B364"/>
  <c r="E363"/>
  <c r="D363"/>
  <c r="C363"/>
  <c r="B363"/>
  <c r="E362"/>
  <c r="D362"/>
  <c r="C362"/>
  <c r="B362"/>
  <c r="E361"/>
  <c r="D361"/>
  <c r="C361"/>
  <c r="B361"/>
  <c r="E360"/>
  <c r="D360"/>
  <c r="C360"/>
  <c r="B360"/>
  <c r="E359"/>
  <c r="D359"/>
  <c r="C359"/>
  <c r="B359"/>
  <c r="E358"/>
  <c r="D358"/>
  <c r="C358"/>
  <c r="B358"/>
  <c r="E357"/>
  <c r="D357"/>
  <c r="C357"/>
  <c r="B357"/>
  <c r="E356"/>
  <c r="D356"/>
  <c r="C356"/>
  <c r="B356"/>
  <c r="E355"/>
  <c r="D355"/>
  <c r="C355"/>
  <c r="B355"/>
  <c r="E354"/>
  <c r="D354"/>
  <c r="C354"/>
  <c r="B354"/>
  <c r="E353"/>
  <c r="D353"/>
  <c r="C353"/>
  <c r="B353"/>
  <c r="E352"/>
  <c r="D352"/>
  <c r="C352"/>
  <c r="B352"/>
  <c r="E351"/>
  <c r="D351"/>
  <c r="C351"/>
  <c r="B351"/>
  <c r="E350"/>
  <c r="D350"/>
  <c r="C350"/>
  <c r="B350"/>
  <c r="E349"/>
  <c r="D349"/>
  <c r="C349"/>
  <c r="B349"/>
  <c r="E348"/>
  <c r="D348"/>
  <c r="C348"/>
  <c r="B348"/>
  <c r="E347"/>
  <c r="D347"/>
  <c r="C347"/>
  <c r="B347"/>
  <c r="E346"/>
  <c r="D346"/>
  <c r="C346"/>
  <c r="B346"/>
  <c r="E345"/>
  <c r="D345"/>
  <c r="C345"/>
  <c r="B345"/>
  <c r="E344"/>
  <c r="D344"/>
  <c r="C344"/>
  <c r="B344"/>
  <c r="E343"/>
  <c r="D343"/>
  <c r="C343"/>
  <c r="B343"/>
  <c r="E342"/>
  <c r="D342"/>
  <c r="C342"/>
  <c r="B342"/>
  <c r="E341"/>
  <c r="D341"/>
  <c r="C341"/>
  <c r="B341"/>
  <c r="E340"/>
  <c r="D340"/>
  <c r="C340"/>
  <c r="B340"/>
  <c r="E339"/>
  <c r="D339"/>
  <c r="C339"/>
  <c r="B339"/>
  <c r="E338"/>
  <c r="D338"/>
  <c r="C338"/>
  <c r="B338"/>
  <c r="E337"/>
  <c r="D337"/>
  <c r="C337"/>
  <c r="B337"/>
  <c r="E336"/>
  <c r="D336"/>
  <c r="C336"/>
  <c r="B336"/>
  <c r="E335"/>
  <c r="D335"/>
  <c r="C335"/>
  <c r="B335"/>
  <c r="E334"/>
  <c r="D334"/>
  <c r="C334"/>
  <c r="B334"/>
  <c r="E333"/>
  <c r="D333"/>
  <c r="C333"/>
  <c r="B333"/>
  <c r="E332"/>
  <c r="D332"/>
  <c r="C332"/>
  <c r="B332"/>
  <c r="E331"/>
  <c r="D331"/>
  <c r="C331"/>
  <c r="B331"/>
  <c r="E330"/>
  <c r="D330"/>
  <c r="C330"/>
  <c r="B330"/>
  <c r="E329"/>
  <c r="D329"/>
  <c r="C329"/>
  <c r="B329"/>
  <c r="E328"/>
  <c r="D328"/>
  <c r="C328"/>
  <c r="B328"/>
  <c r="E327"/>
  <c r="D327"/>
  <c r="C327"/>
  <c r="B327"/>
  <c r="E326"/>
  <c r="D326"/>
  <c r="C326"/>
  <c r="B326"/>
  <c r="E325"/>
  <c r="D325"/>
  <c r="C325"/>
  <c r="B325"/>
  <c r="E324"/>
  <c r="D324"/>
  <c r="C324"/>
  <c r="B324"/>
  <c r="E323"/>
  <c r="D323"/>
  <c r="C323"/>
  <c r="B323"/>
  <c r="E322"/>
  <c r="D322"/>
  <c r="C322"/>
  <c r="B322"/>
  <c r="E321"/>
  <c r="D321"/>
  <c r="C321"/>
  <c r="B321"/>
  <c r="E320"/>
  <c r="D320"/>
  <c r="C320"/>
  <c r="B320"/>
  <c r="E319"/>
  <c r="D319"/>
  <c r="C319"/>
  <c r="B319"/>
  <c r="E318"/>
  <c r="D318"/>
  <c r="C318"/>
  <c r="B318"/>
  <c r="E317"/>
  <c r="D317"/>
  <c r="C317"/>
  <c r="B317"/>
  <c r="E316"/>
  <c r="D316"/>
  <c r="C316"/>
  <c r="B316"/>
  <c r="E315"/>
  <c r="D315"/>
  <c r="C315"/>
  <c r="B315"/>
  <c r="E314"/>
  <c r="D314"/>
  <c r="C314"/>
  <c r="B314"/>
  <c r="E313"/>
  <c r="D313"/>
  <c r="C313"/>
  <c r="B313"/>
  <c r="E312"/>
  <c r="D312"/>
  <c r="C312"/>
  <c r="B312"/>
  <c r="E311"/>
  <c r="D311"/>
  <c r="C311"/>
  <c r="B311"/>
  <c r="E310"/>
  <c r="D310"/>
  <c r="C310"/>
  <c r="B310"/>
  <c r="E309"/>
  <c r="D309"/>
  <c r="C309"/>
  <c r="B309"/>
  <c r="E308"/>
  <c r="D308"/>
  <c r="C308"/>
  <c r="B308"/>
  <c r="E307"/>
  <c r="D307"/>
  <c r="C307"/>
  <c r="B307"/>
  <c r="E306"/>
  <c r="D306"/>
  <c r="C306"/>
  <c r="B306"/>
  <c r="E305"/>
  <c r="D305"/>
  <c r="C305"/>
  <c r="B305"/>
  <c r="E304"/>
  <c r="D304"/>
  <c r="C304"/>
  <c r="B304"/>
  <c r="E303"/>
  <c r="D303"/>
  <c r="C303"/>
  <c r="B303"/>
  <c r="E302"/>
  <c r="D302"/>
  <c r="C302"/>
  <c r="B302"/>
  <c r="E301"/>
  <c r="D301"/>
  <c r="C301"/>
  <c r="B301"/>
  <c r="E300"/>
  <c r="D300"/>
  <c r="C300"/>
  <c r="B300"/>
  <c r="E299"/>
  <c r="D299"/>
  <c r="C299"/>
  <c r="B299"/>
  <c r="E298"/>
  <c r="D298"/>
  <c r="C298"/>
  <c r="B298"/>
  <c r="E297"/>
  <c r="D297"/>
  <c r="C297"/>
  <c r="B297"/>
  <c r="E296"/>
  <c r="D296"/>
  <c r="C296"/>
  <c r="B296"/>
  <c r="E295"/>
  <c r="D295"/>
  <c r="C295"/>
  <c r="B295"/>
  <c r="E294"/>
  <c r="D294"/>
  <c r="C294"/>
  <c r="B294"/>
  <c r="E293"/>
  <c r="D293"/>
  <c r="C293"/>
  <c r="B293"/>
  <c r="E292"/>
  <c r="D292"/>
  <c r="C292"/>
  <c r="B292"/>
  <c r="E291"/>
  <c r="D291"/>
  <c r="C291"/>
  <c r="B291"/>
  <c r="E290"/>
  <c r="D290"/>
  <c r="C290"/>
  <c r="B290"/>
  <c r="E289"/>
  <c r="D289"/>
  <c r="C289"/>
  <c r="B289"/>
  <c r="E288"/>
  <c r="D288"/>
  <c r="C288"/>
  <c r="B288"/>
  <c r="E287"/>
  <c r="D287"/>
  <c r="C287"/>
  <c r="B287"/>
  <c r="E286"/>
  <c r="D286"/>
  <c r="C286"/>
  <c r="B286"/>
  <c r="E285"/>
  <c r="D285"/>
  <c r="C285"/>
  <c r="B285"/>
  <c r="E284"/>
  <c r="D284"/>
  <c r="C284"/>
  <c r="B284"/>
  <c r="E283"/>
  <c r="D283"/>
  <c r="C283"/>
  <c r="B283"/>
  <c r="E282"/>
  <c r="D282"/>
  <c r="C282"/>
  <c r="B282"/>
  <c r="E281"/>
  <c r="D281"/>
  <c r="C281"/>
  <c r="B281"/>
  <c r="E280"/>
  <c r="D280"/>
  <c r="C280"/>
  <c r="B280"/>
  <c r="E279"/>
  <c r="D279"/>
  <c r="C279"/>
  <c r="B279"/>
  <c r="E278"/>
  <c r="D278"/>
  <c r="C278"/>
  <c r="B278"/>
  <c r="E277"/>
  <c r="D277"/>
  <c r="C277"/>
  <c r="B277"/>
  <c r="E276"/>
  <c r="D276"/>
  <c r="C276"/>
  <c r="B276"/>
  <c r="E275"/>
  <c r="D275"/>
  <c r="C275"/>
  <c r="B275"/>
  <c r="E274"/>
  <c r="D274"/>
  <c r="C274"/>
  <c r="B274"/>
  <c r="E273"/>
  <c r="D273"/>
  <c r="C273"/>
  <c r="B273"/>
  <c r="E272"/>
  <c r="D272"/>
  <c r="C272"/>
  <c r="B272"/>
  <c r="E271"/>
  <c r="D271"/>
  <c r="C271"/>
  <c r="B271"/>
  <c r="E270"/>
  <c r="D270"/>
  <c r="C270"/>
  <c r="B270"/>
  <c r="E269"/>
  <c r="D269"/>
  <c r="C269"/>
  <c r="B269"/>
  <c r="E268"/>
  <c r="D268"/>
  <c r="C268"/>
  <c r="B268"/>
  <c r="E267"/>
  <c r="D267"/>
  <c r="C267"/>
  <c r="B267"/>
  <c r="E266"/>
  <c r="D266"/>
  <c r="C266"/>
  <c r="B266"/>
  <c r="E265"/>
  <c r="D265"/>
  <c r="C265"/>
  <c r="B265"/>
  <c r="E264"/>
  <c r="D264"/>
  <c r="C264"/>
  <c r="B264"/>
  <c r="E263"/>
  <c r="D263"/>
  <c r="C263"/>
  <c r="B263"/>
  <c r="E262"/>
  <c r="D262"/>
  <c r="C262"/>
  <c r="B262"/>
  <c r="E261"/>
  <c r="D261"/>
  <c r="C261"/>
  <c r="B261"/>
  <c r="E260"/>
  <c r="D260"/>
  <c r="C260"/>
  <c r="B260"/>
  <c r="E259"/>
  <c r="D259"/>
  <c r="C259"/>
  <c r="B259"/>
  <c r="E258"/>
  <c r="D258"/>
  <c r="C258"/>
  <c r="B258"/>
  <c r="E257"/>
  <c r="D257"/>
  <c r="C257"/>
  <c r="B257"/>
  <c r="E256"/>
  <c r="D256"/>
  <c r="C256"/>
  <c r="B256"/>
  <c r="E255"/>
  <c r="D255"/>
  <c r="C255"/>
  <c r="B255"/>
  <c r="E254"/>
  <c r="D254"/>
  <c r="C254"/>
  <c r="B254"/>
  <c r="E253"/>
  <c r="D253"/>
  <c r="C253"/>
  <c r="B253"/>
  <c r="E252"/>
  <c r="D252"/>
  <c r="C252"/>
  <c r="B252"/>
  <c r="E251"/>
  <c r="D251"/>
  <c r="C251"/>
  <c r="B251"/>
  <c r="E250"/>
  <c r="D250"/>
  <c r="C250"/>
  <c r="B250"/>
  <c r="E249"/>
  <c r="D249"/>
  <c r="C249"/>
  <c r="B249"/>
  <c r="E248"/>
  <c r="D248"/>
  <c r="C248"/>
  <c r="B248"/>
  <c r="E247"/>
  <c r="D247"/>
  <c r="C247"/>
  <c r="B247"/>
  <c r="E246"/>
  <c r="D246"/>
  <c r="C246"/>
  <c r="B246"/>
  <c r="E245"/>
  <c r="D245"/>
  <c r="C245"/>
  <c r="B245"/>
  <c r="E244"/>
  <c r="D244"/>
  <c r="C244"/>
  <c r="B244"/>
  <c r="E243"/>
  <c r="D243"/>
  <c r="C243"/>
  <c r="B243"/>
  <c r="E242"/>
  <c r="D242"/>
  <c r="C242"/>
  <c r="B242"/>
  <c r="E241"/>
  <c r="D241"/>
  <c r="C241"/>
  <c r="B241"/>
  <c r="E240"/>
  <c r="D240"/>
  <c r="C240"/>
  <c r="B240"/>
  <c r="E239"/>
  <c r="D239"/>
  <c r="C239"/>
  <c r="B239"/>
  <c r="E238"/>
  <c r="D238"/>
  <c r="C238"/>
  <c r="B238"/>
  <c r="E237"/>
  <c r="D237"/>
  <c r="C237"/>
  <c r="B237"/>
  <c r="E236"/>
  <c r="D236"/>
  <c r="C236"/>
  <c r="B236"/>
  <c r="E235"/>
  <c r="D235"/>
  <c r="C235"/>
  <c r="B235"/>
  <c r="E234"/>
  <c r="D234"/>
  <c r="C234"/>
  <c r="B234"/>
  <c r="E233"/>
  <c r="D233"/>
  <c r="C233"/>
  <c r="B233"/>
  <c r="E232"/>
  <c r="D232"/>
  <c r="C232"/>
  <c r="B232"/>
  <c r="E231"/>
  <c r="D231"/>
  <c r="C231"/>
  <c r="B231"/>
  <c r="E230"/>
  <c r="D230"/>
  <c r="C230"/>
  <c r="B230"/>
  <c r="E229"/>
  <c r="D229"/>
  <c r="C229"/>
  <c r="B229"/>
  <c r="E228"/>
  <c r="D228"/>
  <c r="C228"/>
  <c r="B228"/>
  <c r="E227"/>
  <c r="D227"/>
  <c r="C227"/>
  <c r="B227"/>
  <c r="E226"/>
  <c r="D226"/>
  <c r="C226"/>
  <c r="B226"/>
  <c r="E225"/>
  <c r="D225"/>
  <c r="C225"/>
  <c r="B225"/>
  <c r="E224"/>
  <c r="D224"/>
  <c r="C224"/>
  <c r="B224"/>
  <c r="E223"/>
  <c r="D223"/>
  <c r="C223"/>
  <c r="B223"/>
  <c r="E222"/>
  <c r="D222"/>
  <c r="C222"/>
  <c r="B222"/>
  <c r="E221"/>
  <c r="D221"/>
  <c r="C221"/>
  <c r="B221"/>
  <c r="E220"/>
  <c r="D220"/>
  <c r="C220"/>
  <c r="B220"/>
  <c r="E219"/>
  <c r="D219"/>
  <c r="C219"/>
  <c r="B219"/>
  <c r="E218"/>
  <c r="D218"/>
  <c r="C218"/>
  <c r="B218"/>
  <c r="E217"/>
  <c r="D217"/>
  <c r="C217"/>
  <c r="B217"/>
  <c r="E216"/>
  <c r="D216"/>
  <c r="C216"/>
  <c r="B216"/>
  <c r="E215"/>
  <c r="D215"/>
  <c r="C215"/>
  <c r="B215"/>
  <c r="E214"/>
  <c r="D214"/>
  <c r="C214"/>
  <c r="B214"/>
  <c r="E213"/>
  <c r="D213"/>
  <c r="C213"/>
  <c r="B213"/>
  <c r="E212"/>
  <c r="D212"/>
  <c r="C212"/>
  <c r="B212"/>
  <c r="E211"/>
  <c r="D211"/>
  <c r="C211"/>
  <c r="B211"/>
  <c r="E210"/>
  <c r="D210"/>
  <c r="C210"/>
  <c r="B210"/>
  <c r="E209"/>
  <c r="D209"/>
  <c r="C209"/>
  <c r="B209"/>
  <c r="E208"/>
  <c r="D208"/>
  <c r="C208"/>
  <c r="B208"/>
  <c r="E207"/>
  <c r="D207"/>
  <c r="C207"/>
  <c r="B207"/>
  <c r="E206"/>
  <c r="D206"/>
  <c r="C206"/>
  <c r="B206"/>
  <c r="E205"/>
  <c r="D205"/>
  <c r="C205"/>
  <c r="B205"/>
  <c r="E204"/>
  <c r="D204"/>
  <c r="C204"/>
  <c r="B204"/>
  <c r="E203"/>
  <c r="D203"/>
  <c r="C203"/>
  <c r="B203"/>
  <c r="E202"/>
  <c r="D202"/>
  <c r="C202"/>
  <c r="B202"/>
  <c r="E201"/>
  <c r="D201"/>
  <c r="C201"/>
  <c r="B201"/>
  <c r="E200"/>
  <c r="D200"/>
  <c r="C200"/>
  <c r="B200"/>
  <c r="E199"/>
  <c r="D199"/>
  <c r="C199"/>
  <c r="B199"/>
  <c r="E198"/>
  <c r="D198"/>
  <c r="C198"/>
  <c r="B198"/>
  <c r="E197"/>
  <c r="D197"/>
  <c r="C197"/>
  <c r="B197"/>
  <c r="E196"/>
  <c r="D196"/>
  <c r="C196"/>
  <c r="B196"/>
  <c r="E195"/>
  <c r="D195"/>
  <c r="C195"/>
  <c r="B195"/>
  <c r="E194"/>
  <c r="D194"/>
  <c r="C194"/>
  <c r="B194"/>
  <c r="E193"/>
  <c r="D193"/>
  <c r="C193"/>
  <c r="B193"/>
  <c r="E192"/>
  <c r="D192"/>
  <c r="C192"/>
  <c r="B192"/>
  <c r="E191"/>
  <c r="D191"/>
  <c r="C191"/>
  <c r="B191"/>
  <c r="E190"/>
  <c r="D190"/>
  <c r="C190"/>
  <c r="B190"/>
  <c r="E189"/>
  <c r="D189"/>
  <c r="C189"/>
  <c r="B189"/>
  <c r="E188"/>
  <c r="D188"/>
  <c r="C188"/>
  <c r="B188"/>
  <c r="E187"/>
  <c r="D187"/>
  <c r="C187"/>
  <c r="B187"/>
  <c r="E186"/>
  <c r="D186"/>
  <c r="C186"/>
  <c r="B186"/>
  <c r="E185"/>
  <c r="D185"/>
  <c r="C185"/>
  <c r="B185"/>
  <c r="E184"/>
  <c r="D184"/>
  <c r="C184"/>
  <c r="B184"/>
  <c r="E183"/>
  <c r="D183"/>
  <c r="C183"/>
  <c r="B183"/>
  <c r="E182"/>
  <c r="D182"/>
  <c r="C182"/>
  <c r="B182"/>
  <c r="E181"/>
  <c r="D181"/>
  <c r="C181"/>
  <c r="B181"/>
  <c r="E180"/>
  <c r="D180"/>
  <c r="C180"/>
  <c r="B180"/>
  <c r="E179"/>
  <c r="D179"/>
  <c r="C179"/>
  <c r="B179"/>
  <c r="E178"/>
  <c r="D178"/>
  <c r="C178"/>
  <c r="B178"/>
  <c r="E177"/>
  <c r="D177"/>
  <c r="C177"/>
  <c r="B177"/>
  <c r="E176"/>
  <c r="D176"/>
  <c r="C176"/>
  <c r="B176"/>
  <c r="E175"/>
  <c r="D175"/>
  <c r="C175"/>
  <c r="B175"/>
  <c r="E174"/>
  <c r="D174"/>
  <c r="C174"/>
  <c r="B174"/>
  <c r="E173"/>
  <c r="D173"/>
  <c r="C173"/>
  <c r="B173"/>
  <c r="E172"/>
  <c r="D172"/>
  <c r="C172"/>
  <c r="B172"/>
  <c r="E171"/>
  <c r="D171"/>
  <c r="C171"/>
  <c r="B171"/>
  <c r="E170"/>
  <c r="D170"/>
  <c r="C170"/>
  <c r="B170"/>
  <c r="E169"/>
  <c r="D169"/>
  <c r="C169"/>
  <c r="B169"/>
  <c r="E168"/>
  <c r="D168"/>
  <c r="C168"/>
  <c r="B168"/>
  <c r="E167"/>
  <c r="D167"/>
  <c r="C167"/>
  <c r="B167"/>
  <c r="E166"/>
  <c r="D166"/>
  <c r="C166"/>
  <c r="B166"/>
  <c r="E165"/>
  <c r="D165"/>
  <c r="C165"/>
  <c r="B165"/>
  <c r="E164"/>
  <c r="D164"/>
  <c r="C164"/>
  <c r="B164"/>
  <c r="E163"/>
  <c r="D163"/>
  <c r="C163"/>
  <c r="B163"/>
  <c r="E162"/>
  <c r="D162"/>
  <c r="C162"/>
  <c r="B162"/>
  <c r="E161"/>
  <c r="D161"/>
  <c r="C161"/>
  <c r="B161"/>
  <c r="E160"/>
  <c r="D160"/>
  <c r="C160"/>
  <c r="B160"/>
  <c r="E159"/>
  <c r="D159"/>
  <c r="C159"/>
  <c r="B159"/>
  <c r="E158"/>
  <c r="D158"/>
  <c r="C158"/>
  <c r="B158"/>
  <c r="E157"/>
  <c r="D157"/>
  <c r="C157"/>
  <c r="B157"/>
  <c r="E156"/>
  <c r="D156"/>
  <c r="C156"/>
  <c r="B156"/>
  <c r="E155"/>
  <c r="D155"/>
  <c r="C155"/>
  <c r="B155"/>
  <c r="E154"/>
  <c r="D154"/>
  <c r="C154"/>
  <c r="B154"/>
  <c r="E153"/>
  <c r="D153"/>
  <c r="C153"/>
  <c r="B153"/>
  <c r="E152"/>
  <c r="D152"/>
  <c r="C152"/>
  <c r="B152"/>
  <c r="E151"/>
  <c r="D151"/>
  <c r="C151"/>
  <c r="B151"/>
  <c r="E150"/>
  <c r="D150"/>
  <c r="C150"/>
  <c r="B150"/>
  <c r="E149"/>
  <c r="D149"/>
  <c r="C149"/>
  <c r="B149"/>
  <c r="E148"/>
  <c r="D148"/>
  <c r="C148"/>
  <c r="B148"/>
  <c r="E147"/>
  <c r="D147"/>
  <c r="C147"/>
  <c r="B147"/>
  <c r="E146"/>
  <c r="D146"/>
  <c r="C146"/>
  <c r="B146"/>
  <c r="E145"/>
  <c r="D145"/>
  <c r="C145"/>
  <c r="B145"/>
  <c r="E144"/>
  <c r="D144"/>
  <c r="C144"/>
  <c r="B144"/>
  <c r="E143"/>
  <c r="D143"/>
  <c r="C143"/>
  <c r="B143"/>
  <c r="E142"/>
  <c r="D142"/>
  <c r="C142"/>
  <c r="B142"/>
  <c r="E141"/>
  <c r="D141"/>
  <c r="C141"/>
  <c r="B141"/>
  <c r="E140"/>
  <c r="D140"/>
  <c r="C140"/>
  <c r="B140"/>
  <c r="E139"/>
  <c r="D139"/>
  <c r="C139"/>
  <c r="B139"/>
  <c r="E138"/>
  <c r="D138"/>
  <c r="C138"/>
  <c r="B138"/>
  <c r="E137"/>
  <c r="D137"/>
  <c r="C137"/>
  <c r="B137"/>
  <c r="E136"/>
  <c r="D136"/>
  <c r="C136"/>
  <c r="B136"/>
  <c r="E135"/>
  <c r="D135"/>
  <c r="C135"/>
  <c r="B135"/>
  <c r="E134"/>
  <c r="D134"/>
  <c r="C134"/>
  <c r="B134"/>
  <c r="E133"/>
  <c r="D133"/>
  <c r="C133"/>
  <c r="B133"/>
  <c r="E132"/>
  <c r="D132"/>
  <c r="C132"/>
  <c r="B132"/>
  <c r="E131"/>
  <c r="D131"/>
  <c r="C131"/>
  <c r="B131"/>
  <c r="E130"/>
  <c r="D130"/>
  <c r="C130"/>
  <c r="B130"/>
  <c r="E129"/>
  <c r="D129"/>
  <c r="C129"/>
  <c r="B129"/>
  <c r="E128"/>
  <c r="D128"/>
  <c r="C128"/>
  <c r="B128"/>
  <c r="E127"/>
  <c r="D127"/>
  <c r="C127"/>
  <c r="B127"/>
  <c r="E126"/>
  <c r="D126"/>
  <c r="C126"/>
  <c r="B126"/>
  <c r="E125"/>
  <c r="D125"/>
  <c r="C125"/>
  <c r="B125"/>
  <c r="E124"/>
  <c r="D124"/>
  <c r="C124"/>
  <c r="B124"/>
  <c r="E123"/>
  <c r="D123"/>
  <c r="C123"/>
  <c r="B123"/>
  <c r="E122"/>
  <c r="D122"/>
  <c r="C122"/>
  <c r="B122"/>
  <c r="E121"/>
  <c r="D121"/>
  <c r="C121"/>
  <c r="B121"/>
  <c r="E120"/>
  <c r="D120"/>
  <c r="C120"/>
  <c r="B120"/>
  <c r="E119"/>
  <c r="D119"/>
  <c r="C119"/>
  <c r="B119"/>
  <c r="E118"/>
  <c r="D118"/>
  <c r="C118"/>
  <c r="B118"/>
  <c r="E117"/>
  <c r="D117"/>
  <c r="C117"/>
  <c r="B117"/>
  <c r="E116"/>
  <c r="D116"/>
  <c r="C116"/>
  <c r="B116"/>
  <c r="E115"/>
  <c r="D115"/>
  <c r="C115"/>
  <c r="B115"/>
  <c r="E114"/>
  <c r="D114"/>
  <c r="C114"/>
  <c r="B114"/>
  <c r="E113"/>
  <c r="D113"/>
  <c r="C113"/>
  <c r="B113"/>
  <c r="E112"/>
  <c r="D112"/>
  <c r="C112"/>
  <c r="B112"/>
  <c r="E111"/>
  <c r="D111"/>
  <c r="C111"/>
  <c r="B111"/>
  <c r="E110"/>
  <c r="D110"/>
  <c r="C110"/>
  <c r="B110"/>
  <c r="E109"/>
  <c r="D109"/>
  <c r="C109"/>
  <c r="B109"/>
  <c r="E108"/>
  <c r="D108"/>
  <c r="C108"/>
  <c r="B108"/>
  <c r="E107"/>
  <c r="D107"/>
  <c r="C107"/>
  <c r="B107"/>
  <c r="E106"/>
  <c r="D106"/>
  <c r="C106"/>
  <c r="B106"/>
  <c r="E105"/>
  <c r="D105"/>
  <c r="C105"/>
  <c r="B105"/>
  <c r="E104"/>
  <c r="D104"/>
  <c r="C104"/>
  <c r="B104"/>
  <c r="E103"/>
  <c r="D103"/>
  <c r="C103"/>
  <c r="B103"/>
  <c r="E102"/>
  <c r="D102"/>
  <c r="C102"/>
  <c r="B102"/>
  <c r="E101"/>
  <c r="D101"/>
  <c r="C101"/>
  <c r="B101"/>
  <c r="E100"/>
  <c r="D100"/>
  <c r="C100"/>
  <c r="B100"/>
  <c r="E99"/>
  <c r="D99"/>
  <c r="C99"/>
  <c r="B99"/>
  <c r="E98"/>
  <c r="D98"/>
  <c r="C98"/>
  <c r="B98"/>
  <c r="E97"/>
  <c r="D97"/>
  <c r="C97"/>
  <c r="B97"/>
  <c r="E96"/>
  <c r="D96"/>
  <c r="C96"/>
  <c r="B96"/>
  <c r="E95"/>
  <c r="D95"/>
  <c r="C95"/>
  <c r="B95"/>
  <c r="E94"/>
  <c r="D94"/>
  <c r="C94"/>
  <c r="B94"/>
  <c r="E93"/>
  <c r="D93"/>
  <c r="C93"/>
  <c r="B93"/>
  <c r="E92"/>
  <c r="D92"/>
  <c r="C92"/>
  <c r="B92"/>
  <c r="E91"/>
  <c r="D91"/>
  <c r="C91"/>
  <c r="B91"/>
  <c r="E90"/>
  <c r="D90"/>
  <c r="C90"/>
  <c r="B90"/>
  <c r="E89"/>
  <c r="D89"/>
  <c r="C89"/>
  <c r="B89"/>
  <c r="E88"/>
  <c r="D88"/>
  <c r="C88"/>
  <c r="B88"/>
  <c r="E87"/>
  <c r="D87"/>
  <c r="C87"/>
  <c r="B87"/>
  <c r="E86"/>
  <c r="D86"/>
  <c r="C86"/>
  <c r="B86"/>
  <c r="E85"/>
  <c r="D85"/>
  <c r="C85"/>
  <c r="B85"/>
  <c r="E84"/>
  <c r="D84"/>
  <c r="C84"/>
  <c r="B84"/>
  <c r="E83"/>
  <c r="D83"/>
  <c r="C83"/>
  <c r="B83"/>
  <c r="E82"/>
  <c r="D82"/>
  <c r="C82"/>
  <c r="B82"/>
  <c r="E81"/>
  <c r="D81"/>
  <c r="C81"/>
  <c r="B81"/>
  <c r="E80"/>
  <c r="D80"/>
  <c r="C80"/>
  <c r="B80"/>
  <c r="E79"/>
  <c r="D79"/>
  <c r="C79"/>
  <c r="B79"/>
  <c r="E78"/>
  <c r="D78"/>
  <c r="C78"/>
  <c r="B78"/>
  <c r="E77"/>
  <c r="D77"/>
  <c r="C77"/>
  <c r="B77"/>
  <c r="E76"/>
  <c r="D76"/>
  <c r="C76"/>
  <c r="B76"/>
  <c r="E75"/>
  <c r="D75"/>
  <c r="C75"/>
  <c r="B75"/>
  <c r="E74"/>
  <c r="D74"/>
  <c r="C74"/>
  <c r="B74"/>
  <c r="E73"/>
  <c r="D73"/>
  <c r="C73"/>
  <c r="B73"/>
  <c r="E72"/>
  <c r="D72"/>
  <c r="C72"/>
  <c r="B72"/>
  <c r="E71"/>
  <c r="D71"/>
  <c r="C71"/>
  <c r="B71"/>
  <c r="E70"/>
  <c r="D70"/>
  <c r="C70"/>
  <c r="B70"/>
  <c r="E69"/>
  <c r="D69"/>
  <c r="C69"/>
  <c r="B69"/>
  <c r="E68"/>
  <c r="D68"/>
  <c r="C68"/>
  <c r="B68"/>
  <c r="E67"/>
  <c r="D67"/>
  <c r="C67"/>
  <c r="B67"/>
  <c r="E66"/>
  <c r="D66"/>
  <c r="C66"/>
  <c r="B66"/>
  <c r="E65"/>
  <c r="D65"/>
  <c r="C65"/>
  <c r="B65"/>
  <c r="E64"/>
  <c r="D64"/>
  <c r="C64"/>
  <c r="B64"/>
  <c r="E63"/>
  <c r="D63"/>
  <c r="C63"/>
  <c r="B63"/>
  <c r="E62"/>
  <c r="D62"/>
  <c r="C62"/>
  <c r="B62"/>
  <c r="E61"/>
  <c r="D61"/>
  <c r="C61"/>
  <c r="B61"/>
  <c r="E60"/>
  <c r="D60"/>
  <c r="C60"/>
  <c r="B60"/>
  <c r="E59"/>
  <c r="D59"/>
  <c r="C59"/>
  <c r="B59"/>
  <c r="E58"/>
  <c r="D58"/>
  <c r="C58"/>
  <c r="B58"/>
  <c r="E57"/>
  <c r="D57"/>
  <c r="C57"/>
  <c r="B57"/>
  <c r="E56"/>
  <c r="D56"/>
  <c r="C56"/>
  <c r="B56"/>
  <c r="E55"/>
  <c r="A50"/>
  <c r="F47"/>
  <c r="E47"/>
  <c r="C47"/>
  <c r="B47"/>
  <c r="F46"/>
  <c r="E46"/>
  <c r="C46"/>
  <c r="B46"/>
  <c r="F45"/>
  <c r="E45"/>
  <c r="C45"/>
  <c r="B45"/>
  <c r="F44"/>
  <c r="E44"/>
  <c r="C44"/>
  <c r="B44"/>
  <c r="F43"/>
  <c r="E43"/>
  <c r="C43"/>
  <c r="B43"/>
  <c r="F42"/>
  <c r="E42"/>
  <c r="C42"/>
  <c r="B42"/>
  <c r="F41"/>
  <c r="E41"/>
  <c r="C41"/>
  <c r="B41"/>
  <c r="F40"/>
  <c r="E40"/>
  <c r="C40"/>
  <c r="B40"/>
  <c r="F39"/>
  <c r="E39"/>
  <c r="C39"/>
  <c r="B39"/>
  <c r="F38"/>
  <c r="E38"/>
  <c r="C38"/>
  <c r="B38"/>
  <c r="F37"/>
  <c r="E37"/>
  <c r="C37"/>
  <c r="B37"/>
  <c r="F36"/>
  <c r="E36"/>
  <c r="C36"/>
  <c r="B36"/>
  <c r="F35"/>
  <c r="E35"/>
  <c r="C35"/>
  <c r="B35"/>
  <c r="F34"/>
  <c r="E34"/>
  <c r="C34"/>
  <c r="B34"/>
  <c r="F33"/>
  <c r="E33"/>
  <c r="C33"/>
  <c r="B33"/>
  <c r="F32"/>
  <c r="E32"/>
  <c r="C32"/>
  <c r="B32"/>
  <c r="F31"/>
  <c r="E31"/>
  <c r="C31"/>
  <c r="B31"/>
  <c r="F30"/>
  <c r="E30"/>
  <c r="C30"/>
  <c r="B30"/>
  <c r="F29"/>
  <c r="E29"/>
  <c r="C29"/>
  <c r="B29"/>
  <c r="F28"/>
  <c r="E28"/>
  <c r="C28"/>
  <c r="B28"/>
  <c r="D20"/>
  <c r="D18"/>
  <c r="D10"/>
  <c r="A1"/>
  <c r="K543" i="26"/>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J476"/>
  <c r="I476"/>
  <c r="H476"/>
  <c r="E476"/>
  <c r="D476"/>
  <c r="C476"/>
  <c r="B476"/>
  <c r="K475"/>
  <c r="J475"/>
  <c r="I475"/>
  <c r="H475"/>
  <c r="E475"/>
  <c r="D475"/>
  <c r="C475"/>
  <c r="B475"/>
  <c r="K474"/>
  <c r="J474"/>
  <c r="I474"/>
  <c r="H474"/>
  <c r="E474"/>
  <c r="D474"/>
  <c r="C474"/>
  <c r="B474"/>
  <c r="K473"/>
  <c r="J473"/>
  <c r="I473"/>
  <c r="H473"/>
  <c r="E473"/>
  <c r="D473"/>
  <c r="C473"/>
  <c r="B473"/>
  <c r="K472"/>
  <c r="J472"/>
  <c r="I472"/>
  <c r="H472"/>
  <c r="E472"/>
  <c r="D472"/>
  <c r="C472"/>
  <c r="B472"/>
  <c r="K471"/>
  <c r="J471"/>
  <c r="I471"/>
  <c r="H471"/>
  <c r="E471"/>
  <c r="D471"/>
  <c r="C471"/>
  <c r="B471"/>
  <c r="K470"/>
  <c r="J470"/>
  <c r="I470"/>
  <c r="H470"/>
  <c r="E470"/>
  <c r="D470"/>
  <c r="C470"/>
  <c r="B470"/>
  <c r="K469"/>
  <c r="J469"/>
  <c r="I469"/>
  <c r="H469"/>
  <c r="E469"/>
  <c r="D469"/>
  <c r="C469"/>
  <c r="B469"/>
  <c r="K468"/>
  <c r="J468"/>
  <c r="I468"/>
  <c r="H468"/>
  <c r="E468"/>
  <c r="D468"/>
  <c r="C468"/>
  <c r="B468"/>
  <c r="K467"/>
  <c r="J467"/>
  <c r="I467"/>
  <c r="H467"/>
  <c r="E467"/>
  <c r="D467"/>
  <c r="C467"/>
  <c r="B467"/>
  <c r="K466"/>
  <c r="J466"/>
  <c r="I466"/>
  <c r="H466"/>
  <c r="E466"/>
  <c r="D466"/>
  <c r="C466"/>
  <c r="B466"/>
  <c r="K465"/>
  <c r="J465"/>
  <c r="I465"/>
  <c r="H465"/>
  <c r="E465"/>
  <c r="D465"/>
  <c r="C465"/>
  <c r="B465"/>
  <c r="K464"/>
  <c r="J464"/>
  <c r="I464"/>
  <c r="H464"/>
  <c r="E464"/>
  <c r="D464"/>
  <c r="C464"/>
  <c r="B464"/>
  <c r="K463"/>
  <c r="J463"/>
  <c r="I463"/>
  <c r="H463"/>
  <c r="E463"/>
  <c r="D463"/>
  <c r="C463"/>
  <c r="B463"/>
  <c r="K462"/>
  <c r="J462"/>
  <c r="I462"/>
  <c r="H462"/>
  <c r="E462"/>
  <c r="D462"/>
  <c r="C462"/>
  <c r="B462"/>
  <c r="K461"/>
  <c r="J461"/>
  <c r="I461"/>
  <c r="H461"/>
  <c r="E461"/>
  <c r="D461"/>
  <c r="C461"/>
  <c r="B461"/>
  <c r="K460"/>
  <c r="J460"/>
  <c r="I460"/>
  <c r="H460"/>
  <c r="E460"/>
  <c r="D460"/>
  <c r="C460"/>
  <c r="B460"/>
  <c r="K459"/>
  <c r="J459"/>
  <c r="I459"/>
  <c r="H459"/>
  <c r="E459"/>
  <c r="D459"/>
  <c r="C459"/>
  <c r="B459"/>
  <c r="K458"/>
  <c r="J458"/>
  <c r="I458"/>
  <c r="H458"/>
  <c r="E458"/>
  <c r="D458"/>
  <c r="C458"/>
  <c r="B458"/>
  <c r="K457"/>
  <c r="J457"/>
  <c r="I457"/>
  <c r="H457"/>
  <c r="E457"/>
  <c r="D457"/>
  <c r="C457"/>
  <c r="B457"/>
  <c r="K456"/>
  <c r="J456"/>
  <c r="I456"/>
  <c r="H456"/>
  <c r="E456"/>
  <c r="D456"/>
  <c r="C456"/>
  <c r="B456"/>
  <c r="K455"/>
  <c r="J455"/>
  <c r="I455"/>
  <c r="H455"/>
  <c r="E455"/>
  <c r="D455"/>
  <c r="C455"/>
  <c r="B455"/>
  <c r="K454"/>
  <c r="J454"/>
  <c r="I454"/>
  <c r="H454"/>
  <c r="E454"/>
  <c r="D454"/>
  <c r="C454"/>
  <c r="B454"/>
  <c r="K453"/>
  <c r="J453"/>
  <c r="I453"/>
  <c r="H453"/>
  <c r="E453"/>
  <c r="D453"/>
  <c r="C453"/>
  <c r="B453"/>
  <c r="K452"/>
  <c r="J452"/>
  <c r="I452"/>
  <c r="H452"/>
  <c r="E452"/>
  <c r="D452"/>
  <c r="C452"/>
  <c r="B452"/>
  <c r="K451"/>
  <c r="J451"/>
  <c r="I451"/>
  <c r="H451"/>
  <c r="E451"/>
  <c r="D451"/>
  <c r="C451"/>
  <c r="B451"/>
  <c r="K450"/>
  <c r="J450"/>
  <c r="I450"/>
  <c r="H450"/>
  <c r="E450"/>
  <c r="D450"/>
  <c r="C450"/>
  <c r="B450"/>
  <c r="K449"/>
  <c r="J449"/>
  <c r="I449"/>
  <c r="H449"/>
  <c r="E449"/>
  <c r="D449"/>
  <c r="C449"/>
  <c r="B449"/>
  <c r="K448"/>
  <c r="J448"/>
  <c r="I448"/>
  <c r="H448"/>
  <c r="E448"/>
  <c r="D448"/>
  <c r="C448"/>
  <c r="B448"/>
  <c r="K447"/>
  <c r="J447"/>
  <c r="I447"/>
  <c r="H447"/>
  <c r="E447"/>
  <c r="D447"/>
  <c r="C447"/>
  <c r="B447"/>
  <c r="K446"/>
  <c r="J446"/>
  <c r="I446"/>
  <c r="H446"/>
  <c r="E446"/>
  <c r="D446"/>
  <c r="C446"/>
  <c r="B446"/>
  <c r="K445"/>
  <c r="J445"/>
  <c r="I445"/>
  <c r="H445"/>
  <c r="E445"/>
  <c r="D445"/>
  <c r="C445"/>
  <c r="B445"/>
  <c r="K444"/>
  <c r="J444"/>
  <c r="I444"/>
  <c r="H444"/>
  <c r="E444"/>
  <c r="D444"/>
  <c r="C444"/>
  <c r="B444"/>
  <c r="K443"/>
  <c r="J443"/>
  <c r="I443"/>
  <c r="H443"/>
  <c r="E443"/>
  <c r="D443"/>
  <c r="C443"/>
  <c r="B443"/>
  <c r="K442"/>
  <c r="J442"/>
  <c r="I442"/>
  <c r="H442"/>
  <c r="E442"/>
  <c r="D442"/>
  <c r="C442"/>
  <c r="B442"/>
  <c r="K441"/>
  <c r="J441"/>
  <c r="I441"/>
  <c r="H441"/>
  <c r="E441"/>
  <c r="D441"/>
  <c r="C441"/>
  <c r="B441"/>
  <c r="K440"/>
  <c r="J440"/>
  <c r="I440"/>
  <c r="H440"/>
  <c r="E440"/>
  <c r="D440"/>
  <c r="C440"/>
  <c r="B440"/>
  <c r="K439"/>
  <c r="J439"/>
  <c r="I439"/>
  <c r="H439"/>
  <c r="E439"/>
  <c r="D439"/>
  <c r="C439"/>
  <c r="B439"/>
  <c r="K438"/>
  <c r="J438"/>
  <c r="I438"/>
  <c r="H438"/>
  <c r="E438"/>
  <c r="D438"/>
  <c r="C438"/>
  <c r="B438"/>
  <c r="K437"/>
  <c r="J437"/>
  <c r="I437"/>
  <c r="H437"/>
  <c r="E437"/>
  <c r="D437"/>
  <c r="C437"/>
  <c r="B437"/>
  <c r="K436"/>
  <c r="J436"/>
  <c r="I436"/>
  <c r="H436"/>
  <c r="E436"/>
  <c r="D436"/>
  <c r="C436"/>
  <c r="B436"/>
  <c r="K435"/>
  <c r="J435"/>
  <c r="I435"/>
  <c r="H435"/>
  <c r="E435"/>
  <c r="D435"/>
  <c r="C435"/>
  <c r="B435"/>
  <c r="K434"/>
  <c r="J434"/>
  <c r="I434"/>
  <c r="H434"/>
  <c r="E434"/>
  <c r="D434"/>
  <c r="C434"/>
  <c r="B434"/>
  <c r="K433"/>
  <c r="J433"/>
  <c r="I433"/>
  <c r="H433"/>
  <c r="E433"/>
  <c r="D433"/>
  <c r="C433"/>
  <c r="B433"/>
  <c r="K432"/>
  <c r="J432"/>
  <c r="I432"/>
  <c r="H432"/>
  <c r="E432"/>
  <c r="D432"/>
  <c r="C432"/>
  <c r="B432"/>
  <c r="K431"/>
  <c r="J431"/>
  <c r="I431"/>
  <c r="H431"/>
  <c r="E431"/>
  <c r="D431"/>
  <c r="C431"/>
  <c r="B431"/>
  <c r="K430"/>
  <c r="J430"/>
  <c r="I430"/>
  <c r="H430"/>
  <c r="E430"/>
  <c r="D430"/>
  <c r="C430"/>
  <c r="B430"/>
  <c r="K429"/>
  <c r="J429"/>
  <c r="I429"/>
  <c r="H429"/>
  <c r="E429"/>
  <c r="D429"/>
  <c r="C429"/>
  <c r="B429"/>
  <c r="K428"/>
  <c r="J428"/>
  <c r="I428"/>
  <c r="H428"/>
  <c r="E428"/>
  <c r="D428"/>
  <c r="C428"/>
  <c r="B428"/>
  <c r="K427"/>
  <c r="J427"/>
  <c r="I427"/>
  <c r="H427"/>
  <c r="E427"/>
  <c r="D427"/>
  <c r="C427"/>
  <c r="B427"/>
  <c r="K426"/>
  <c r="J426"/>
  <c r="I426"/>
  <c r="H426"/>
  <c r="E426"/>
  <c r="D426"/>
  <c r="C426"/>
  <c r="B426"/>
  <c r="K425"/>
  <c r="J425"/>
  <c r="I425"/>
  <c r="H425"/>
  <c r="E425"/>
  <c r="D425"/>
  <c r="C425"/>
  <c r="B425"/>
  <c r="K424"/>
  <c r="J424"/>
  <c r="I424"/>
  <c r="H424"/>
  <c r="E424"/>
  <c r="D424"/>
  <c r="C424"/>
  <c r="B424"/>
  <c r="K423"/>
  <c r="J423"/>
  <c r="I423"/>
  <c r="H423"/>
  <c r="E423"/>
  <c r="D423"/>
  <c r="C423"/>
  <c r="B423"/>
  <c r="K422"/>
  <c r="J422"/>
  <c r="I422"/>
  <c r="H422"/>
  <c r="E422"/>
  <c r="D422"/>
  <c r="C422"/>
  <c r="B422"/>
  <c r="K421"/>
  <c r="J421"/>
  <c r="I421"/>
  <c r="H421"/>
  <c r="E421"/>
  <c r="D421"/>
  <c r="C421"/>
  <c r="B421"/>
  <c r="K420"/>
  <c r="J420"/>
  <c r="I420"/>
  <c r="H420"/>
  <c r="E420"/>
  <c r="D420"/>
  <c r="C420"/>
  <c r="B420"/>
  <c r="K419"/>
  <c r="J419"/>
  <c r="I419"/>
  <c r="H419"/>
  <c r="E419"/>
  <c r="D419"/>
  <c r="C419"/>
  <c r="B419"/>
  <c r="K418"/>
  <c r="J418"/>
  <c r="I418"/>
  <c r="H418"/>
  <c r="E418"/>
  <c r="D418"/>
  <c r="C418"/>
  <c r="B418"/>
  <c r="K417"/>
  <c r="J417"/>
  <c r="I417"/>
  <c r="H417"/>
  <c r="E417"/>
  <c r="D417"/>
  <c r="C417"/>
  <c r="B417"/>
  <c r="K416"/>
  <c r="J416"/>
  <c r="I416"/>
  <c r="H416"/>
  <c r="E416"/>
  <c r="D416"/>
  <c r="C416"/>
  <c r="B416"/>
  <c r="K415"/>
  <c r="J415"/>
  <c r="I415"/>
  <c r="H415"/>
  <c r="E415"/>
  <c r="D415"/>
  <c r="C415"/>
  <c r="B415"/>
  <c r="K414"/>
  <c r="J414"/>
  <c r="I414"/>
  <c r="H414"/>
  <c r="E414"/>
  <c r="D414"/>
  <c r="C414"/>
  <c r="B414"/>
  <c r="K413"/>
  <c r="J413"/>
  <c r="I413"/>
  <c r="H413"/>
  <c r="E413"/>
  <c r="D413"/>
  <c r="C413"/>
  <c r="B413"/>
  <c r="K412"/>
  <c r="J412"/>
  <c r="I412"/>
  <c r="H412"/>
  <c r="E412"/>
  <c r="D412"/>
  <c r="C412"/>
  <c r="B412"/>
  <c r="K411"/>
  <c r="J411"/>
  <c r="I411"/>
  <c r="H411"/>
  <c r="E411"/>
  <c r="D411"/>
  <c r="C411"/>
  <c r="B411"/>
  <c r="K410"/>
  <c r="J410"/>
  <c r="I410"/>
  <c r="H410"/>
  <c r="E410"/>
  <c r="D410"/>
  <c r="C410"/>
  <c r="B410"/>
  <c r="K409"/>
  <c r="J409"/>
  <c r="I409"/>
  <c r="H409"/>
  <c r="E409"/>
  <c r="D409"/>
  <c r="C409"/>
  <c r="B409"/>
  <c r="K408"/>
  <c r="J408"/>
  <c r="I408"/>
  <c r="H408"/>
  <c r="E408"/>
  <c r="D408"/>
  <c r="C408"/>
  <c r="B408"/>
  <c r="K407"/>
  <c r="J407"/>
  <c r="I407"/>
  <c r="H407"/>
  <c r="E407"/>
  <c r="D407"/>
  <c r="C407"/>
  <c r="B407"/>
  <c r="K406"/>
  <c r="J406"/>
  <c r="I406"/>
  <c r="H406"/>
  <c r="E406"/>
  <c r="D406"/>
  <c r="C406"/>
  <c r="B406"/>
  <c r="K405"/>
  <c r="J405"/>
  <c r="I405"/>
  <c r="H405"/>
  <c r="E405"/>
  <c r="D405"/>
  <c r="C405"/>
  <c r="B405"/>
  <c r="K404"/>
  <c r="J404"/>
  <c r="I404"/>
  <c r="H404"/>
  <c r="E404"/>
  <c r="D404"/>
  <c r="C404"/>
  <c r="B404"/>
  <c r="K403"/>
  <c r="J403"/>
  <c r="I403"/>
  <c r="H403"/>
  <c r="E403"/>
  <c r="D403"/>
  <c r="C403"/>
  <c r="B403"/>
  <c r="K402"/>
  <c r="J402"/>
  <c r="I402"/>
  <c r="H402"/>
  <c r="E402"/>
  <c r="D402"/>
  <c r="C402"/>
  <c r="B402"/>
  <c r="K401"/>
  <c r="J401"/>
  <c r="I401"/>
  <c r="H401"/>
  <c r="E401"/>
  <c r="D401"/>
  <c r="C401"/>
  <c r="B401"/>
  <c r="K400"/>
  <c r="J400"/>
  <c r="I400"/>
  <c r="H400"/>
  <c r="E400"/>
  <c r="D400"/>
  <c r="C400"/>
  <c r="B400"/>
  <c r="K399"/>
  <c r="J399"/>
  <c r="I399"/>
  <c r="H399"/>
  <c r="E399"/>
  <c r="D399"/>
  <c r="C399"/>
  <c r="B399"/>
  <c r="K398"/>
  <c r="J398"/>
  <c r="I398"/>
  <c r="H398"/>
  <c r="E398"/>
  <c r="D398"/>
  <c r="C398"/>
  <c r="B398"/>
  <c r="K397"/>
  <c r="J397"/>
  <c r="I397"/>
  <c r="H397"/>
  <c r="E397"/>
  <c r="D397"/>
  <c r="C397"/>
  <c r="B397"/>
  <c r="K396"/>
  <c r="J396"/>
  <c r="I396"/>
  <c r="H396"/>
  <c r="E396"/>
  <c r="D396"/>
  <c r="C396"/>
  <c r="B396"/>
  <c r="K395"/>
  <c r="J395"/>
  <c r="I395"/>
  <c r="H395"/>
  <c r="E395"/>
  <c r="D395"/>
  <c r="C395"/>
  <c r="B395"/>
  <c r="K394"/>
  <c r="J394"/>
  <c r="I394"/>
  <c r="H394"/>
  <c r="E394"/>
  <c r="D394"/>
  <c r="C394"/>
  <c r="B394"/>
  <c r="K393"/>
  <c r="J393"/>
  <c r="I393"/>
  <c r="H393"/>
  <c r="E393"/>
  <c r="D393"/>
  <c r="C393"/>
  <c r="B393"/>
  <c r="K392"/>
  <c r="J392"/>
  <c r="I392"/>
  <c r="H392"/>
  <c r="E392"/>
  <c r="D392"/>
  <c r="C392"/>
  <c r="B392"/>
  <c r="K391"/>
  <c r="J391"/>
  <c r="I391"/>
  <c r="H391"/>
  <c r="E391"/>
  <c r="D391"/>
  <c r="C391"/>
  <c r="B391"/>
  <c r="K390"/>
  <c r="J390"/>
  <c r="I390"/>
  <c r="H390"/>
  <c r="E390"/>
  <c r="D390"/>
  <c r="C390"/>
  <c r="B390"/>
  <c r="K389"/>
  <c r="J389"/>
  <c r="I389"/>
  <c r="H389"/>
  <c r="E389"/>
  <c r="D389"/>
  <c r="C389"/>
  <c r="B389"/>
  <c r="K388"/>
  <c r="J388"/>
  <c r="I388"/>
  <c r="H388"/>
  <c r="E388"/>
  <c r="D388"/>
  <c r="C388"/>
  <c r="B388"/>
  <c r="K387"/>
  <c r="J387"/>
  <c r="I387"/>
  <c r="H387"/>
  <c r="E387"/>
  <c r="D387"/>
  <c r="C387"/>
  <c r="B387"/>
  <c r="K386"/>
  <c r="J386"/>
  <c r="I386"/>
  <c r="H386"/>
  <c r="E386"/>
  <c r="D386"/>
  <c r="C386"/>
  <c r="B386"/>
  <c r="K385"/>
  <c r="J385"/>
  <c r="I385"/>
  <c r="H385"/>
  <c r="E385"/>
  <c r="D385"/>
  <c r="C385"/>
  <c r="B385"/>
  <c r="K384"/>
  <c r="J384"/>
  <c r="I384"/>
  <c r="H384"/>
  <c r="E384"/>
  <c r="D384"/>
  <c r="C384"/>
  <c r="B384"/>
  <c r="K383"/>
  <c r="J383"/>
  <c r="I383"/>
  <c r="H383"/>
  <c r="E383"/>
  <c r="D383"/>
  <c r="C383"/>
  <c r="B383"/>
  <c r="K382"/>
  <c r="J382"/>
  <c r="I382"/>
  <c r="H382"/>
  <c r="E382"/>
  <c r="D382"/>
  <c r="C382"/>
  <c r="B382"/>
  <c r="K381"/>
  <c r="J381"/>
  <c r="I381"/>
  <c r="H381"/>
  <c r="E381"/>
  <c r="D381"/>
  <c r="C381"/>
  <c r="B381"/>
  <c r="K380"/>
  <c r="J380"/>
  <c r="I380"/>
  <c r="H380"/>
  <c r="E380"/>
  <c r="D380"/>
  <c r="C380"/>
  <c r="B380"/>
  <c r="K379"/>
  <c r="J379"/>
  <c r="I379"/>
  <c r="H379"/>
  <c r="E379"/>
  <c r="D379"/>
  <c r="C379"/>
  <c r="B379"/>
  <c r="K378"/>
  <c r="J378"/>
  <c r="I378"/>
  <c r="H378"/>
  <c r="E378"/>
  <c r="D378"/>
  <c r="C378"/>
  <c r="B378"/>
  <c r="K377"/>
  <c r="J377"/>
  <c r="I377"/>
  <c r="H377"/>
  <c r="E377"/>
  <c r="D377"/>
  <c r="C377"/>
  <c r="B377"/>
  <c r="K376"/>
  <c r="J376"/>
  <c r="I376"/>
  <c r="H376"/>
  <c r="E376"/>
  <c r="D376"/>
  <c r="C376"/>
  <c r="B376"/>
  <c r="K375"/>
  <c r="J375"/>
  <c r="I375"/>
  <c r="H375"/>
  <c r="E375"/>
  <c r="D375"/>
  <c r="C375"/>
  <c r="B375"/>
  <c r="K374"/>
  <c r="J374"/>
  <c r="I374"/>
  <c r="H374"/>
  <c r="E374"/>
  <c r="D374"/>
  <c r="C374"/>
  <c r="B374"/>
  <c r="K373"/>
  <c r="J373"/>
  <c r="I373"/>
  <c r="H373"/>
  <c r="E373"/>
  <c r="D373"/>
  <c r="C373"/>
  <c r="B373"/>
  <c r="K372"/>
  <c r="J372"/>
  <c r="I372"/>
  <c r="H372"/>
  <c r="E372"/>
  <c r="D372"/>
  <c r="C372"/>
  <c r="B372"/>
  <c r="K371"/>
  <c r="J371"/>
  <c r="I371"/>
  <c r="H371"/>
  <c r="E371"/>
  <c r="D371"/>
  <c r="C371"/>
  <c r="B371"/>
  <c r="K370"/>
  <c r="J370"/>
  <c r="I370"/>
  <c r="H370"/>
  <c r="E370"/>
  <c r="D370"/>
  <c r="C370"/>
  <c r="B370"/>
  <c r="K369"/>
  <c r="J369"/>
  <c r="I369"/>
  <c r="H369"/>
  <c r="E369"/>
  <c r="D369"/>
  <c r="C369"/>
  <c r="B369"/>
  <c r="K368"/>
  <c r="J368"/>
  <c r="I368"/>
  <c r="H368"/>
  <c r="E368"/>
  <c r="D368"/>
  <c r="C368"/>
  <c r="B368"/>
  <c r="K367"/>
  <c r="J367"/>
  <c r="I367"/>
  <c r="H367"/>
  <c r="E367"/>
  <c r="D367"/>
  <c r="C367"/>
  <c r="B367"/>
  <c r="K366"/>
  <c r="J366"/>
  <c r="I366"/>
  <c r="H366"/>
  <c r="E366"/>
  <c r="D366"/>
  <c r="C366"/>
  <c r="B366"/>
  <c r="K365"/>
  <c r="J365"/>
  <c r="I365"/>
  <c r="H365"/>
  <c r="E365"/>
  <c r="D365"/>
  <c r="C365"/>
  <c r="B365"/>
  <c r="K364"/>
  <c r="J364"/>
  <c r="I364"/>
  <c r="H364"/>
  <c r="E364"/>
  <c r="D364"/>
  <c r="C364"/>
  <c r="B364"/>
  <c r="K363"/>
  <c r="J363"/>
  <c r="I363"/>
  <c r="H363"/>
  <c r="E363"/>
  <c r="D363"/>
  <c r="C363"/>
  <c r="B363"/>
  <c r="K362"/>
  <c r="J362"/>
  <c r="I362"/>
  <c r="H362"/>
  <c r="E362"/>
  <c r="D362"/>
  <c r="C362"/>
  <c r="B362"/>
  <c r="K361"/>
  <c r="J361"/>
  <c r="I361"/>
  <c r="H361"/>
  <c r="E361"/>
  <c r="D361"/>
  <c r="C361"/>
  <c r="B361"/>
  <c r="K360"/>
  <c r="J360"/>
  <c r="I360"/>
  <c r="H360"/>
  <c r="E360"/>
  <c r="D360"/>
  <c r="C360"/>
  <c r="B360"/>
  <c r="K359"/>
  <c r="J359"/>
  <c r="I359"/>
  <c r="H359"/>
  <c r="E359"/>
  <c r="D359"/>
  <c r="C359"/>
  <c r="B359"/>
  <c r="K358"/>
  <c r="J358"/>
  <c r="I358"/>
  <c r="H358"/>
  <c r="E358"/>
  <c r="D358"/>
  <c r="C358"/>
  <c r="B358"/>
  <c r="K357"/>
  <c r="J357"/>
  <c r="I357"/>
  <c r="H357"/>
  <c r="E357"/>
  <c r="D357"/>
  <c r="C357"/>
  <c r="B357"/>
  <c r="K356"/>
  <c r="J356"/>
  <c r="I356"/>
  <c r="H356"/>
  <c r="E356"/>
  <c r="D356"/>
  <c r="C356"/>
  <c r="B356"/>
  <c r="K355"/>
  <c r="J355"/>
  <c r="I355"/>
  <c r="H355"/>
  <c r="E355"/>
  <c r="D355"/>
  <c r="C355"/>
  <c r="B355"/>
  <c r="K354"/>
  <c r="J354"/>
  <c r="I354"/>
  <c r="H354"/>
  <c r="E354"/>
  <c r="D354"/>
  <c r="C354"/>
  <c r="B354"/>
  <c r="K353"/>
  <c r="J353"/>
  <c r="I353"/>
  <c r="H353"/>
  <c r="E353"/>
  <c r="D353"/>
  <c r="C353"/>
  <c r="B353"/>
  <c r="K352"/>
  <c r="J352"/>
  <c r="I352"/>
  <c r="H352"/>
  <c r="E352"/>
  <c r="D352"/>
  <c r="C352"/>
  <c r="B352"/>
  <c r="K351"/>
  <c r="J351"/>
  <c r="I351"/>
  <c r="H351"/>
  <c r="E351"/>
  <c r="D351"/>
  <c r="C351"/>
  <c r="B351"/>
  <c r="K350"/>
  <c r="J350"/>
  <c r="I350"/>
  <c r="H350"/>
  <c r="E350"/>
  <c r="D350"/>
  <c r="C350"/>
  <c r="B350"/>
  <c r="K349"/>
  <c r="J349"/>
  <c r="I349"/>
  <c r="H349"/>
  <c r="E349"/>
  <c r="D349"/>
  <c r="C349"/>
  <c r="B349"/>
  <c r="K348"/>
  <c r="J348"/>
  <c r="I348"/>
  <c r="H348"/>
  <c r="E348"/>
  <c r="D348"/>
  <c r="C348"/>
  <c r="B348"/>
  <c r="K347"/>
  <c r="J347"/>
  <c r="I347"/>
  <c r="H347"/>
  <c r="E347"/>
  <c r="D347"/>
  <c r="C347"/>
  <c r="B347"/>
  <c r="K346"/>
  <c r="J346"/>
  <c r="I346"/>
  <c r="H346"/>
  <c r="E346"/>
  <c r="D346"/>
  <c r="C346"/>
  <c r="B346"/>
  <c r="K345"/>
  <c r="J345"/>
  <c r="I345"/>
  <c r="H345"/>
  <c r="E345"/>
  <c r="D345"/>
  <c r="C345"/>
  <c r="B345"/>
  <c r="K344"/>
  <c r="J344"/>
  <c r="I344"/>
  <c r="H344"/>
  <c r="E344"/>
  <c r="D344"/>
  <c r="C344"/>
  <c r="B344"/>
  <c r="K343"/>
  <c r="J343"/>
  <c r="I343"/>
  <c r="H343"/>
  <c r="E343"/>
  <c r="D343"/>
  <c r="C343"/>
  <c r="B343"/>
  <c r="K342"/>
  <c r="J342"/>
  <c r="I342"/>
  <c r="H342"/>
  <c r="E342"/>
  <c r="D342"/>
  <c r="C342"/>
  <c r="B342"/>
  <c r="K341"/>
  <c r="J341"/>
  <c r="I341"/>
  <c r="H341"/>
  <c r="E341"/>
  <c r="D341"/>
  <c r="C341"/>
  <c r="B341"/>
  <c r="K340"/>
  <c r="J340"/>
  <c r="I340"/>
  <c r="H340"/>
  <c r="E340"/>
  <c r="D340"/>
  <c r="C340"/>
  <c r="B340"/>
  <c r="K339"/>
  <c r="J339"/>
  <c r="I339"/>
  <c r="H339"/>
  <c r="E339"/>
  <c r="D339"/>
  <c r="C339"/>
  <c r="B339"/>
  <c r="K338"/>
  <c r="J338"/>
  <c r="I338"/>
  <c r="H338"/>
  <c r="E338"/>
  <c r="D338"/>
  <c r="C338"/>
  <c r="B338"/>
  <c r="K337"/>
  <c r="J337"/>
  <c r="I337"/>
  <c r="H337"/>
  <c r="E337"/>
  <c r="D337"/>
  <c r="C337"/>
  <c r="B337"/>
  <c r="K336"/>
  <c r="J336"/>
  <c r="I336"/>
  <c r="H336"/>
  <c r="E336"/>
  <c r="D336"/>
  <c r="C336"/>
  <c r="B336"/>
  <c r="K335"/>
  <c r="J335"/>
  <c r="I335"/>
  <c r="H335"/>
  <c r="E335"/>
  <c r="D335"/>
  <c r="C335"/>
  <c r="B335"/>
  <c r="K334"/>
  <c r="J334"/>
  <c r="I334"/>
  <c r="H334"/>
  <c r="E334"/>
  <c r="D334"/>
  <c r="C334"/>
  <c r="B334"/>
  <c r="K333"/>
  <c r="J333"/>
  <c r="I333"/>
  <c r="H333"/>
  <c r="E333"/>
  <c r="D333"/>
  <c r="C333"/>
  <c r="B333"/>
  <c r="K332"/>
  <c r="J332"/>
  <c r="I332"/>
  <c r="H332"/>
  <c r="E332"/>
  <c r="D332"/>
  <c r="C332"/>
  <c r="B332"/>
  <c r="K331"/>
  <c r="J331"/>
  <c r="I331"/>
  <c r="H331"/>
  <c r="E331"/>
  <c r="D331"/>
  <c r="C331"/>
  <c r="B331"/>
  <c r="K330"/>
  <c r="J330"/>
  <c r="I330"/>
  <c r="H330"/>
  <c r="E330"/>
  <c r="D330"/>
  <c r="C330"/>
  <c r="B330"/>
  <c r="K329"/>
  <c r="J329"/>
  <c r="I329"/>
  <c r="H329"/>
  <c r="E329"/>
  <c r="D329"/>
  <c r="C329"/>
  <c r="B329"/>
  <c r="K328"/>
  <c r="J328"/>
  <c r="I328"/>
  <c r="H328"/>
  <c r="E328"/>
  <c r="D328"/>
  <c r="C328"/>
  <c r="B328"/>
  <c r="K327"/>
  <c r="J327"/>
  <c r="I327"/>
  <c r="H327"/>
  <c r="E327"/>
  <c r="D327"/>
  <c r="C327"/>
  <c r="B327"/>
  <c r="K326"/>
  <c r="J326"/>
  <c r="I326"/>
  <c r="H326"/>
  <c r="E326"/>
  <c r="D326"/>
  <c r="C326"/>
  <c r="B326"/>
  <c r="K325"/>
  <c r="J325"/>
  <c r="I325"/>
  <c r="H325"/>
  <c r="E325"/>
  <c r="D325"/>
  <c r="C325"/>
  <c r="B325"/>
  <c r="K324"/>
  <c r="J324"/>
  <c r="I324"/>
  <c r="H324"/>
  <c r="E324"/>
  <c r="D324"/>
  <c r="C324"/>
  <c r="B324"/>
  <c r="K323"/>
  <c r="J323"/>
  <c r="I323"/>
  <c r="H323"/>
  <c r="E323"/>
  <c r="D323"/>
  <c r="C323"/>
  <c r="B323"/>
  <c r="K322"/>
  <c r="J322"/>
  <c r="I322"/>
  <c r="H322"/>
  <c r="E322"/>
  <c r="D322"/>
  <c r="C322"/>
  <c r="B322"/>
  <c r="K321"/>
  <c r="J321"/>
  <c r="I321"/>
  <c r="H321"/>
  <c r="E321"/>
  <c r="D321"/>
  <c r="C321"/>
  <c r="B321"/>
  <c r="K320"/>
  <c r="J320"/>
  <c r="I320"/>
  <c r="H320"/>
  <c r="E320"/>
  <c r="D320"/>
  <c r="C320"/>
  <c r="B320"/>
  <c r="K319"/>
  <c r="J319"/>
  <c r="I319"/>
  <c r="H319"/>
  <c r="E319"/>
  <c r="D319"/>
  <c r="C319"/>
  <c r="B319"/>
  <c r="K318"/>
  <c r="J318"/>
  <c r="I318"/>
  <c r="H318"/>
  <c r="E318"/>
  <c r="D318"/>
  <c r="C318"/>
  <c r="B318"/>
  <c r="K317"/>
  <c r="J317"/>
  <c r="I317"/>
  <c r="H317"/>
  <c r="E317"/>
  <c r="D317"/>
  <c r="C317"/>
  <c r="B317"/>
  <c r="K316"/>
  <c r="J316"/>
  <c r="I316"/>
  <c r="H316"/>
  <c r="E316"/>
  <c r="D316"/>
  <c r="C316"/>
  <c r="B316"/>
  <c r="K315"/>
  <c r="J315"/>
  <c r="I315"/>
  <c r="H315"/>
  <c r="E315"/>
  <c r="D315"/>
  <c r="C315"/>
  <c r="B315"/>
  <c r="K314"/>
  <c r="J314"/>
  <c r="I314"/>
  <c r="H314"/>
  <c r="E314"/>
  <c r="D314"/>
  <c r="C314"/>
  <c r="B314"/>
  <c r="K313"/>
  <c r="J313"/>
  <c r="I313"/>
  <c r="H313"/>
  <c r="E313"/>
  <c r="D313"/>
  <c r="C313"/>
  <c r="B313"/>
  <c r="K312"/>
  <c r="J312"/>
  <c r="I312"/>
  <c r="H312"/>
  <c r="E312"/>
  <c r="D312"/>
  <c r="C312"/>
  <c r="B312"/>
  <c r="K311"/>
  <c r="J311"/>
  <c r="I311"/>
  <c r="H311"/>
  <c r="E311"/>
  <c r="D311"/>
  <c r="C311"/>
  <c r="B311"/>
  <c r="K310"/>
  <c r="J310"/>
  <c r="I310"/>
  <c r="H310"/>
  <c r="E310"/>
  <c r="D310"/>
  <c r="C310"/>
  <c r="B310"/>
  <c r="K309"/>
  <c r="J309"/>
  <c r="I309"/>
  <c r="H309"/>
  <c r="E309"/>
  <c r="D309"/>
  <c r="C309"/>
  <c r="B309"/>
  <c r="K308"/>
  <c r="J308"/>
  <c r="I308"/>
  <c r="H308"/>
  <c r="E308"/>
  <c r="D308"/>
  <c r="C308"/>
  <c r="B308"/>
  <c r="K307"/>
  <c r="J307"/>
  <c r="I307"/>
  <c r="H307"/>
  <c r="E307"/>
  <c r="D307"/>
  <c r="C307"/>
  <c r="B307"/>
  <c r="K306"/>
  <c r="J306"/>
  <c r="I306"/>
  <c r="H306"/>
  <c r="E306"/>
  <c r="D306"/>
  <c r="C306"/>
  <c r="B306"/>
  <c r="K305"/>
  <c r="J305"/>
  <c r="I305"/>
  <c r="H305"/>
  <c r="E305"/>
  <c r="D305"/>
  <c r="C305"/>
  <c r="B305"/>
  <c r="K304"/>
  <c r="J304"/>
  <c r="I304"/>
  <c r="H304"/>
  <c r="E304"/>
  <c r="D304"/>
  <c r="C304"/>
  <c r="B304"/>
  <c r="K303"/>
  <c r="J303"/>
  <c r="I303"/>
  <c r="H303"/>
  <c r="E303"/>
  <c r="D303"/>
  <c r="C303"/>
  <c r="B303"/>
  <c r="K302"/>
  <c r="J302"/>
  <c r="I302"/>
  <c r="H302"/>
  <c r="E302"/>
  <c r="D302"/>
  <c r="C302"/>
  <c r="B302"/>
  <c r="K301"/>
  <c r="J301"/>
  <c r="I301"/>
  <c r="H301"/>
  <c r="E301"/>
  <c r="D301"/>
  <c r="C301"/>
  <c r="B301"/>
  <c r="K300"/>
  <c r="J300"/>
  <c r="I300"/>
  <c r="H300"/>
  <c r="E300"/>
  <c r="D300"/>
  <c r="C300"/>
  <c r="B300"/>
  <c r="K299"/>
  <c r="J299"/>
  <c r="I299"/>
  <c r="H299"/>
  <c r="E299"/>
  <c r="D299"/>
  <c r="C299"/>
  <c r="B299"/>
  <c r="K298"/>
  <c r="J298"/>
  <c r="I298"/>
  <c r="H298"/>
  <c r="E298"/>
  <c r="D298"/>
  <c r="C298"/>
  <c r="B298"/>
  <c r="K297"/>
  <c r="J297"/>
  <c r="I297"/>
  <c r="H297"/>
  <c r="E297"/>
  <c r="D297"/>
  <c r="C297"/>
  <c r="B297"/>
  <c r="K296"/>
  <c r="J296"/>
  <c r="I296"/>
  <c r="H296"/>
  <c r="E296"/>
  <c r="D296"/>
  <c r="C296"/>
  <c r="B296"/>
  <c r="K295"/>
  <c r="J295"/>
  <c r="I295"/>
  <c r="H295"/>
  <c r="E295"/>
  <c r="D295"/>
  <c r="C295"/>
  <c r="B295"/>
  <c r="K294"/>
  <c r="J294"/>
  <c r="I294"/>
  <c r="H294"/>
  <c r="E294"/>
  <c r="D294"/>
  <c r="C294"/>
  <c r="B294"/>
  <c r="K293"/>
  <c r="J293"/>
  <c r="I293"/>
  <c r="H293"/>
  <c r="E293"/>
  <c r="D293"/>
  <c r="C293"/>
  <c r="B293"/>
  <c r="K292"/>
  <c r="J292"/>
  <c r="I292"/>
  <c r="H292"/>
  <c r="E292"/>
  <c r="D292"/>
  <c r="C292"/>
  <c r="B292"/>
  <c r="K291"/>
  <c r="J291"/>
  <c r="I291"/>
  <c r="H291"/>
  <c r="E291"/>
  <c r="D291"/>
  <c r="C291"/>
  <c r="B291"/>
  <c r="K290"/>
  <c r="J290"/>
  <c r="I290"/>
  <c r="H290"/>
  <c r="E290"/>
  <c r="D290"/>
  <c r="C290"/>
  <c r="B290"/>
  <c r="K289"/>
  <c r="J289"/>
  <c r="I289"/>
  <c r="H289"/>
  <c r="E289"/>
  <c r="D289"/>
  <c r="C289"/>
  <c r="B289"/>
  <c r="K288"/>
  <c r="J288"/>
  <c r="I288"/>
  <c r="H288"/>
  <c r="E288"/>
  <c r="D288"/>
  <c r="C288"/>
  <c r="B288"/>
  <c r="K287"/>
  <c r="J287"/>
  <c r="I287"/>
  <c r="H287"/>
  <c r="E287"/>
  <c r="D287"/>
  <c r="C287"/>
  <c r="B287"/>
  <c r="K286"/>
  <c r="J286"/>
  <c r="I286"/>
  <c r="H286"/>
  <c r="E286"/>
  <c r="D286"/>
  <c r="C286"/>
  <c r="B286"/>
  <c r="K285"/>
  <c r="J285"/>
  <c r="I285"/>
  <c r="H285"/>
  <c r="E285"/>
  <c r="D285"/>
  <c r="C285"/>
  <c r="B285"/>
  <c r="K284"/>
  <c r="J284"/>
  <c r="I284"/>
  <c r="H284"/>
  <c r="E284"/>
  <c r="D284"/>
  <c r="C284"/>
  <c r="B284"/>
  <c r="K283"/>
  <c r="J283"/>
  <c r="I283"/>
  <c r="H283"/>
  <c r="E283"/>
  <c r="D283"/>
  <c r="C283"/>
  <c r="B283"/>
  <c r="K282"/>
  <c r="J282"/>
  <c r="I282"/>
  <c r="H282"/>
  <c r="E282"/>
  <c r="D282"/>
  <c r="C282"/>
  <c r="B282"/>
  <c r="K281"/>
  <c r="J281"/>
  <c r="I281"/>
  <c r="H281"/>
  <c r="E281"/>
  <c r="D281"/>
  <c r="C281"/>
  <c r="B281"/>
  <c r="K280"/>
  <c r="J280"/>
  <c r="I280"/>
  <c r="H280"/>
  <c r="E280"/>
  <c r="D280"/>
  <c r="C280"/>
  <c r="B280"/>
  <c r="K279"/>
  <c r="J279"/>
  <c r="I279"/>
  <c r="H279"/>
  <c r="E279"/>
  <c r="D279"/>
  <c r="C279"/>
  <c r="B279"/>
  <c r="K278"/>
  <c r="J278"/>
  <c r="I278"/>
  <c r="H278"/>
  <c r="E278"/>
  <c r="D278"/>
  <c r="C278"/>
  <c r="B278"/>
  <c r="K277"/>
  <c r="J277"/>
  <c r="I277"/>
  <c r="H277"/>
  <c r="E277"/>
  <c r="D277"/>
  <c r="C277"/>
  <c r="B277"/>
  <c r="K276"/>
  <c r="J276"/>
  <c r="I276"/>
  <c r="H276"/>
  <c r="E276"/>
  <c r="D276"/>
  <c r="C276"/>
  <c r="B276"/>
  <c r="K275"/>
  <c r="J275"/>
  <c r="I275"/>
  <c r="H275"/>
  <c r="E275"/>
  <c r="D275"/>
  <c r="C275"/>
  <c r="B275"/>
  <c r="K274"/>
  <c r="J274"/>
  <c r="I274"/>
  <c r="H274"/>
  <c r="E274"/>
  <c r="D274"/>
  <c r="C274"/>
  <c r="B274"/>
  <c r="K273"/>
  <c r="J273"/>
  <c r="I273"/>
  <c r="H273"/>
  <c r="E273"/>
  <c r="D273"/>
  <c r="C273"/>
  <c r="B273"/>
  <c r="K272"/>
  <c r="J272"/>
  <c r="I272"/>
  <c r="H272"/>
  <c r="E272"/>
  <c r="D272"/>
  <c r="C272"/>
  <c r="B272"/>
  <c r="K271"/>
  <c r="J271"/>
  <c r="I271"/>
  <c r="H271"/>
  <c r="E271"/>
  <c r="D271"/>
  <c r="C271"/>
  <c r="B271"/>
  <c r="K270"/>
  <c r="J270"/>
  <c r="I270"/>
  <c r="H270"/>
  <c r="E270"/>
  <c r="D270"/>
  <c r="C270"/>
  <c r="B270"/>
  <c r="K269"/>
  <c r="J269"/>
  <c r="I269"/>
  <c r="H269"/>
  <c r="E269"/>
  <c r="D269"/>
  <c r="C269"/>
  <c r="B269"/>
  <c r="K268"/>
  <c r="J268"/>
  <c r="I268"/>
  <c r="H268"/>
  <c r="E268"/>
  <c r="D268"/>
  <c r="C268"/>
  <c r="B268"/>
  <c r="K267"/>
  <c r="J267"/>
  <c r="I267"/>
  <c r="H267"/>
  <c r="E267"/>
  <c r="D267"/>
  <c r="C267"/>
  <c r="B267"/>
  <c r="K266"/>
  <c r="J266"/>
  <c r="I266"/>
  <c r="H266"/>
  <c r="E266"/>
  <c r="D266"/>
  <c r="C266"/>
  <c r="B266"/>
  <c r="K265"/>
  <c r="J265"/>
  <c r="I265"/>
  <c r="H265"/>
  <c r="E265"/>
  <c r="D265"/>
  <c r="C265"/>
  <c r="B265"/>
  <c r="K264"/>
  <c r="J264"/>
  <c r="I264"/>
  <c r="H264"/>
  <c r="E264"/>
  <c r="D264"/>
  <c r="C264"/>
  <c r="B264"/>
  <c r="K263"/>
  <c r="J263"/>
  <c r="I263"/>
  <c r="H263"/>
  <c r="E263"/>
  <c r="D263"/>
  <c r="C263"/>
  <c r="B263"/>
  <c r="K262"/>
  <c r="J262"/>
  <c r="I262"/>
  <c r="H262"/>
  <c r="E262"/>
  <c r="D262"/>
  <c r="C262"/>
  <c r="B262"/>
  <c r="K261"/>
  <c r="J261"/>
  <c r="I261"/>
  <c r="H261"/>
  <c r="E261"/>
  <c r="D261"/>
  <c r="C261"/>
  <c r="B261"/>
  <c r="K260"/>
  <c r="J260"/>
  <c r="I260"/>
  <c r="H260"/>
  <c r="E260"/>
  <c r="D260"/>
  <c r="C260"/>
  <c r="B260"/>
  <c r="K259"/>
  <c r="J259"/>
  <c r="I259"/>
  <c r="H259"/>
  <c r="E259"/>
  <c r="D259"/>
  <c r="C259"/>
  <c r="B259"/>
  <c r="K258"/>
  <c r="J258"/>
  <c r="I258"/>
  <c r="H258"/>
  <c r="E258"/>
  <c r="D258"/>
  <c r="C258"/>
  <c r="B258"/>
  <c r="K257"/>
  <c r="J257"/>
  <c r="I257"/>
  <c r="H257"/>
  <c r="E257"/>
  <c r="D257"/>
  <c r="C257"/>
  <c r="B257"/>
  <c r="K256"/>
  <c r="J256"/>
  <c r="I256"/>
  <c r="H256"/>
  <c r="E256"/>
  <c r="D256"/>
  <c r="C256"/>
  <c r="B256"/>
  <c r="K255"/>
  <c r="J255"/>
  <c r="I255"/>
  <c r="H255"/>
  <c r="E255"/>
  <c r="D255"/>
  <c r="C255"/>
  <c r="B255"/>
  <c r="K254"/>
  <c r="J254"/>
  <c r="I254"/>
  <c r="H254"/>
  <c r="E254"/>
  <c r="D254"/>
  <c r="C254"/>
  <c r="B254"/>
  <c r="K253"/>
  <c r="J253"/>
  <c r="I253"/>
  <c r="H253"/>
  <c r="E253"/>
  <c r="D253"/>
  <c r="C253"/>
  <c r="B253"/>
  <c r="K252"/>
  <c r="J252"/>
  <c r="I252"/>
  <c r="H252"/>
  <c r="E252"/>
  <c r="D252"/>
  <c r="C252"/>
  <c r="B252"/>
  <c r="K251"/>
  <c r="J251"/>
  <c r="I251"/>
  <c r="H251"/>
  <c r="E251"/>
  <c r="D251"/>
  <c r="C251"/>
  <c r="B251"/>
  <c r="K250"/>
  <c r="J250"/>
  <c r="I250"/>
  <c r="H250"/>
  <c r="E250"/>
  <c r="D250"/>
  <c r="C250"/>
  <c r="B250"/>
  <c r="K249"/>
  <c r="J249"/>
  <c r="I249"/>
  <c r="H249"/>
  <c r="E249"/>
  <c r="D249"/>
  <c r="C249"/>
  <c r="B249"/>
  <c r="K248"/>
  <c r="J248"/>
  <c r="I248"/>
  <c r="H248"/>
  <c r="E248"/>
  <c r="D248"/>
  <c r="C248"/>
  <c r="B248"/>
  <c r="K247"/>
  <c r="J247"/>
  <c r="I247"/>
  <c r="H247"/>
  <c r="E247"/>
  <c r="D247"/>
  <c r="C247"/>
  <c r="B247"/>
  <c r="K246"/>
  <c r="J246"/>
  <c r="I246"/>
  <c r="H246"/>
  <c r="E246"/>
  <c r="D246"/>
  <c r="C246"/>
  <c r="B246"/>
  <c r="K245"/>
  <c r="J245"/>
  <c r="I245"/>
  <c r="H245"/>
  <c r="E245"/>
  <c r="D245"/>
  <c r="C245"/>
  <c r="B245"/>
  <c r="K244"/>
  <c r="J244"/>
  <c r="I244"/>
  <c r="H244"/>
  <c r="E244"/>
  <c r="D244"/>
  <c r="C244"/>
  <c r="B244"/>
  <c r="K243"/>
  <c r="J243"/>
  <c r="I243"/>
  <c r="H243"/>
  <c r="E243"/>
  <c r="D243"/>
  <c r="C243"/>
  <c r="B243"/>
  <c r="K242"/>
  <c r="J242"/>
  <c r="I242"/>
  <c r="H242"/>
  <c r="E242"/>
  <c r="D242"/>
  <c r="C242"/>
  <c r="B242"/>
  <c r="K241"/>
  <c r="J241"/>
  <c r="I241"/>
  <c r="H241"/>
  <c r="E241"/>
  <c r="D241"/>
  <c r="C241"/>
  <c r="B241"/>
  <c r="K240"/>
  <c r="J240"/>
  <c r="I240"/>
  <c r="H240"/>
  <c r="E240"/>
  <c r="D240"/>
  <c r="C240"/>
  <c r="B240"/>
  <c r="K239"/>
  <c r="J239"/>
  <c r="I239"/>
  <c r="H239"/>
  <c r="E239"/>
  <c r="D239"/>
  <c r="C239"/>
  <c r="B239"/>
  <c r="K238"/>
  <c r="J238"/>
  <c r="I238"/>
  <c r="H238"/>
  <c r="E238"/>
  <c r="D238"/>
  <c r="C238"/>
  <c r="B238"/>
  <c r="K237"/>
  <c r="J237"/>
  <c r="I237"/>
  <c r="H237"/>
  <c r="E237"/>
  <c r="D237"/>
  <c r="C237"/>
  <c r="B237"/>
  <c r="K236"/>
  <c r="J236"/>
  <c r="I236"/>
  <c r="H236"/>
  <c r="E236"/>
  <c r="D236"/>
  <c r="C236"/>
  <c r="B236"/>
  <c r="K235"/>
  <c r="J235"/>
  <c r="I235"/>
  <c r="H235"/>
  <c r="E235"/>
  <c r="D235"/>
  <c r="C235"/>
  <c r="B235"/>
  <c r="K234"/>
  <c r="J234"/>
  <c r="I234"/>
  <c r="H234"/>
  <c r="E234"/>
  <c r="D234"/>
  <c r="C234"/>
  <c r="B234"/>
  <c r="K233"/>
  <c r="J233"/>
  <c r="I233"/>
  <c r="H233"/>
  <c r="E233"/>
  <c r="D233"/>
  <c r="C233"/>
  <c r="B233"/>
  <c r="K232"/>
  <c r="J232"/>
  <c r="I232"/>
  <c r="H232"/>
  <c r="E232"/>
  <c r="D232"/>
  <c r="C232"/>
  <c r="B232"/>
  <c r="K231"/>
  <c r="J231"/>
  <c r="I231"/>
  <c r="H231"/>
  <c r="E231"/>
  <c r="D231"/>
  <c r="C231"/>
  <c r="B231"/>
  <c r="K230"/>
  <c r="J230"/>
  <c r="I230"/>
  <c r="H230"/>
  <c r="E230"/>
  <c r="D230"/>
  <c r="C230"/>
  <c r="B230"/>
  <c r="K229"/>
  <c r="J229"/>
  <c r="I229"/>
  <c r="H229"/>
  <c r="E229"/>
  <c r="D229"/>
  <c r="C229"/>
  <c r="B229"/>
  <c r="K228"/>
  <c r="J228"/>
  <c r="I228"/>
  <c r="H228"/>
  <c r="E228"/>
  <c r="D228"/>
  <c r="C228"/>
  <c r="B228"/>
  <c r="K227"/>
  <c r="J227"/>
  <c r="I227"/>
  <c r="H227"/>
  <c r="E227"/>
  <c r="D227"/>
  <c r="C227"/>
  <c r="B227"/>
  <c r="K226"/>
  <c r="J226"/>
  <c r="I226"/>
  <c r="H226"/>
  <c r="E226"/>
  <c r="D226"/>
  <c r="C226"/>
  <c r="B226"/>
  <c r="K225"/>
  <c r="J225"/>
  <c r="I225"/>
  <c r="H225"/>
  <c r="E225"/>
  <c r="D225"/>
  <c r="C225"/>
  <c r="B225"/>
  <c r="K224"/>
  <c r="J224"/>
  <c r="I224"/>
  <c r="H224"/>
  <c r="E224"/>
  <c r="D224"/>
  <c r="C224"/>
  <c r="B224"/>
  <c r="K223"/>
  <c r="J223"/>
  <c r="I223"/>
  <c r="H223"/>
  <c r="E223"/>
  <c r="D223"/>
  <c r="C223"/>
  <c r="B223"/>
  <c r="K222"/>
  <c r="J222"/>
  <c r="I222"/>
  <c r="H222"/>
  <c r="E222"/>
  <c r="D222"/>
  <c r="C222"/>
  <c r="B222"/>
  <c r="K221"/>
  <c r="J221"/>
  <c r="I221"/>
  <c r="H221"/>
  <c r="E221"/>
  <c r="D221"/>
  <c r="C221"/>
  <c r="B221"/>
  <c r="K220"/>
  <c r="J220"/>
  <c r="I220"/>
  <c r="H220"/>
  <c r="E220"/>
  <c r="D220"/>
  <c r="C220"/>
  <c r="B220"/>
  <c r="K219"/>
  <c r="J219"/>
  <c r="I219"/>
  <c r="H219"/>
  <c r="E219"/>
  <c r="D219"/>
  <c r="C219"/>
  <c r="B219"/>
  <c r="K218"/>
  <c r="J218"/>
  <c r="I218"/>
  <c r="H218"/>
  <c r="E218"/>
  <c r="D218"/>
  <c r="C218"/>
  <c r="B218"/>
  <c r="K217"/>
  <c r="J217"/>
  <c r="I217"/>
  <c r="H217"/>
  <c r="E217"/>
  <c r="D217"/>
  <c r="C217"/>
  <c r="B217"/>
  <c r="K216"/>
  <c r="J216"/>
  <c r="I216"/>
  <c r="H216"/>
  <c r="E216"/>
  <c r="D216"/>
  <c r="C216"/>
  <c r="B216"/>
  <c r="K215"/>
  <c r="J215"/>
  <c r="I215"/>
  <c r="H215"/>
  <c r="E215"/>
  <c r="D215"/>
  <c r="C215"/>
  <c r="B215"/>
  <c r="K214"/>
  <c r="J214"/>
  <c r="I214"/>
  <c r="H214"/>
  <c r="E214"/>
  <c r="D214"/>
  <c r="C214"/>
  <c r="B214"/>
  <c r="K213"/>
  <c r="J213"/>
  <c r="I213"/>
  <c r="H213"/>
  <c r="E213"/>
  <c r="D213"/>
  <c r="C213"/>
  <c r="B213"/>
  <c r="K212"/>
  <c r="J212"/>
  <c r="I212"/>
  <c r="H212"/>
  <c r="E212"/>
  <c r="D212"/>
  <c r="C212"/>
  <c r="B212"/>
  <c r="K211"/>
  <c r="J211"/>
  <c r="I211"/>
  <c r="H211"/>
  <c r="E211"/>
  <c r="D211"/>
  <c r="C211"/>
  <c r="B211"/>
  <c r="K210"/>
  <c r="J210"/>
  <c r="I210"/>
  <c r="H210"/>
  <c r="E210"/>
  <c r="D210"/>
  <c r="C210"/>
  <c r="B210"/>
  <c r="K209"/>
  <c r="J209"/>
  <c r="I209"/>
  <c r="H209"/>
  <c r="E209"/>
  <c r="D209"/>
  <c r="C209"/>
  <c r="B209"/>
  <c r="K208"/>
  <c r="J208"/>
  <c r="I208"/>
  <c r="H208"/>
  <c r="E208"/>
  <c r="D208"/>
  <c r="C208"/>
  <c r="B208"/>
  <c r="K207"/>
  <c r="J207"/>
  <c r="I207"/>
  <c r="H207"/>
  <c r="E207"/>
  <c r="D207"/>
  <c r="C207"/>
  <c r="B207"/>
  <c r="K206"/>
  <c r="J206"/>
  <c r="I206"/>
  <c r="H206"/>
  <c r="E206"/>
  <c r="D206"/>
  <c r="C206"/>
  <c r="B206"/>
  <c r="K205"/>
  <c r="J205"/>
  <c r="I205"/>
  <c r="H205"/>
  <c r="E205"/>
  <c r="D205"/>
  <c r="C205"/>
  <c r="B205"/>
  <c r="K204"/>
  <c r="J204"/>
  <c r="I204"/>
  <c r="H204"/>
  <c r="E204"/>
  <c r="D204"/>
  <c r="C204"/>
  <c r="B204"/>
  <c r="K203"/>
  <c r="J203"/>
  <c r="I203"/>
  <c r="H203"/>
  <c r="E203"/>
  <c r="D203"/>
  <c r="C203"/>
  <c r="B203"/>
  <c r="K202"/>
  <c r="J202"/>
  <c r="I202"/>
  <c r="H202"/>
  <c r="E202"/>
  <c r="D202"/>
  <c r="C202"/>
  <c r="B202"/>
  <c r="K201"/>
  <c r="J201"/>
  <c r="I201"/>
  <c r="H201"/>
  <c r="E201"/>
  <c r="D201"/>
  <c r="C201"/>
  <c r="B201"/>
  <c r="K200"/>
  <c r="J200"/>
  <c r="I200"/>
  <c r="H200"/>
  <c r="E200"/>
  <c r="D200"/>
  <c r="C200"/>
  <c r="B200"/>
  <c r="K199"/>
  <c r="J199"/>
  <c r="I199"/>
  <c r="H199"/>
  <c r="E199"/>
  <c r="D199"/>
  <c r="C199"/>
  <c r="B199"/>
  <c r="K198"/>
  <c r="J198"/>
  <c r="I198"/>
  <c r="H198"/>
  <c r="E198"/>
  <c r="D198"/>
  <c r="C198"/>
  <c r="B198"/>
  <c r="K197"/>
  <c r="J197"/>
  <c r="I197"/>
  <c r="H197"/>
  <c r="E197"/>
  <c r="D197"/>
  <c r="C197"/>
  <c r="B197"/>
  <c r="K196"/>
  <c r="J196"/>
  <c r="I196"/>
  <c r="H196"/>
  <c r="E196"/>
  <c r="D196"/>
  <c r="C196"/>
  <c r="B196"/>
  <c r="K195"/>
  <c r="J195"/>
  <c r="I195"/>
  <c r="H195"/>
  <c r="E195"/>
  <c r="D195"/>
  <c r="C195"/>
  <c r="B195"/>
  <c r="K194"/>
  <c r="J194"/>
  <c r="I194"/>
  <c r="H194"/>
  <c r="E194"/>
  <c r="D194"/>
  <c r="C194"/>
  <c r="B194"/>
  <c r="K193"/>
  <c r="J193"/>
  <c r="I193"/>
  <c r="H193"/>
  <c r="E193"/>
  <c r="D193"/>
  <c r="C193"/>
  <c r="B193"/>
  <c r="K192"/>
  <c r="J192"/>
  <c r="I192"/>
  <c r="H192"/>
  <c r="E192"/>
  <c r="D192"/>
  <c r="C192"/>
  <c r="B192"/>
  <c r="K191"/>
  <c r="J191"/>
  <c r="I191"/>
  <c r="H191"/>
  <c r="E191"/>
  <c r="D191"/>
  <c r="C191"/>
  <c r="B191"/>
  <c r="K190"/>
  <c r="J190"/>
  <c r="I190"/>
  <c r="H190"/>
  <c r="E190"/>
  <c r="D190"/>
  <c r="C190"/>
  <c r="B190"/>
  <c r="K189"/>
  <c r="J189"/>
  <c r="I189"/>
  <c r="H189"/>
  <c r="E189"/>
  <c r="D189"/>
  <c r="C189"/>
  <c r="B189"/>
  <c r="K188"/>
  <c r="J188"/>
  <c r="I188"/>
  <c r="H188"/>
  <c r="E188"/>
  <c r="D188"/>
  <c r="C188"/>
  <c r="B188"/>
  <c r="K187"/>
  <c r="J187"/>
  <c r="I187"/>
  <c r="H187"/>
  <c r="E187"/>
  <c r="D187"/>
  <c r="C187"/>
  <c r="B187"/>
  <c r="K186"/>
  <c r="J186"/>
  <c r="I186"/>
  <c r="H186"/>
  <c r="E186"/>
  <c r="D186"/>
  <c r="C186"/>
  <c r="B186"/>
  <c r="K185"/>
  <c r="J185"/>
  <c r="I185"/>
  <c r="H185"/>
  <c r="E185"/>
  <c r="D185"/>
  <c r="C185"/>
  <c r="B185"/>
  <c r="K184"/>
  <c r="J184"/>
  <c r="I184"/>
  <c r="H184"/>
  <c r="E184"/>
  <c r="D184"/>
  <c r="C184"/>
  <c r="B184"/>
  <c r="K183"/>
  <c r="J183"/>
  <c r="I183"/>
  <c r="H183"/>
  <c r="E183"/>
  <c r="D183"/>
  <c r="C183"/>
  <c r="B183"/>
  <c r="K182"/>
  <c r="J182"/>
  <c r="I182"/>
  <c r="H182"/>
  <c r="E182"/>
  <c r="D182"/>
  <c r="C182"/>
  <c r="B182"/>
  <c r="K181"/>
  <c r="J181"/>
  <c r="I181"/>
  <c r="H181"/>
  <c r="E181"/>
  <c r="D181"/>
  <c r="C181"/>
  <c r="B181"/>
  <c r="K180"/>
  <c r="J180"/>
  <c r="I180"/>
  <c r="H180"/>
  <c r="E180"/>
  <c r="D180"/>
  <c r="C180"/>
  <c r="B180"/>
  <c r="K179"/>
  <c r="J179"/>
  <c r="I179"/>
  <c r="H179"/>
  <c r="E179"/>
  <c r="D179"/>
  <c r="C179"/>
  <c r="B179"/>
  <c r="K178"/>
  <c r="J178"/>
  <c r="I178"/>
  <c r="H178"/>
  <c r="E178"/>
  <c r="D178"/>
  <c r="C178"/>
  <c r="B178"/>
  <c r="K177"/>
  <c r="J177"/>
  <c r="I177"/>
  <c r="H177"/>
  <c r="E177"/>
  <c r="D177"/>
  <c r="C177"/>
  <c r="B177"/>
  <c r="K176"/>
  <c r="J176"/>
  <c r="I176"/>
  <c r="H176"/>
  <c r="E176"/>
  <c r="D176"/>
  <c r="C176"/>
  <c r="B176"/>
  <c r="K175"/>
  <c r="J175"/>
  <c r="I175"/>
  <c r="H175"/>
  <c r="E175"/>
  <c r="D175"/>
  <c r="C175"/>
  <c r="B175"/>
  <c r="K174"/>
  <c r="J174"/>
  <c r="I174"/>
  <c r="H174"/>
  <c r="E174"/>
  <c r="D174"/>
  <c r="C174"/>
  <c r="B174"/>
  <c r="K173"/>
  <c r="J173"/>
  <c r="I173"/>
  <c r="H173"/>
  <c r="E173"/>
  <c r="D173"/>
  <c r="C173"/>
  <c r="B173"/>
  <c r="K172"/>
  <c r="J172"/>
  <c r="I172"/>
  <c r="H172"/>
  <c r="E172"/>
  <c r="D172"/>
  <c r="C172"/>
  <c r="B172"/>
  <c r="K171"/>
  <c r="J171"/>
  <c r="I171"/>
  <c r="H171"/>
  <c r="E171"/>
  <c r="D171"/>
  <c r="C171"/>
  <c r="B171"/>
  <c r="K170"/>
  <c r="J170"/>
  <c r="I170"/>
  <c r="H170"/>
  <c r="E170"/>
  <c r="D170"/>
  <c r="C170"/>
  <c r="B170"/>
  <c r="K169"/>
  <c r="J169"/>
  <c r="I169"/>
  <c r="H169"/>
  <c r="E169"/>
  <c r="D169"/>
  <c r="C169"/>
  <c r="B169"/>
  <c r="K168"/>
  <c r="J168"/>
  <c r="I168"/>
  <c r="H168"/>
  <c r="E168"/>
  <c r="D168"/>
  <c r="C168"/>
  <c r="B168"/>
  <c r="K167"/>
  <c r="J167"/>
  <c r="I167"/>
  <c r="H167"/>
  <c r="E167"/>
  <c r="D167"/>
  <c r="C167"/>
  <c r="B167"/>
  <c r="K166"/>
  <c r="J166"/>
  <c r="I166"/>
  <c r="H166"/>
  <c r="E166"/>
  <c r="D166"/>
  <c r="C166"/>
  <c r="B166"/>
  <c r="K165"/>
  <c r="J165"/>
  <c r="I165"/>
  <c r="H165"/>
  <c r="E165"/>
  <c r="D165"/>
  <c r="C165"/>
  <c r="B165"/>
  <c r="K164"/>
  <c r="J164"/>
  <c r="I164"/>
  <c r="H164"/>
  <c r="E164"/>
  <c r="D164"/>
  <c r="C164"/>
  <c r="B164"/>
  <c r="K163"/>
  <c r="J163"/>
  <c r="I163"/>
  <c r="H163"/>
  <c r="E163"/>
  <c r="D163"/>
  <c r="C163"/>
  <c r="B163"/>
  <c r="K162"/>
  <c r="J162"/>
  <c r="I162"/>
  <c r="H162"/>
  <c r="E162"/>
  <c r="D162"/>
  <c r="C162"/>
  <c r="B162"/>
  <c r="K161"/>
  <c r="J161"/>
  <c r="I161"/>
  <c r="H161"/>
  <c r="E161"/>
  <c r="D161"/>
  <c r="C161"/>
  <c r="B161"/>
  <c r="K160"/>
  <c r="J160"/>
  <c r="I160"/>
  <c r="H160"/>
  <c r="E160"/>
  <c r="D160"/>
  <c r="C160"/>
  <c r="B160"/>
  <c r="K159"/>
  <c r="J159"/>
  <c r="I159"/>
  <c r="H159"/>
  <c r="E159"/>
  <c r="D159"/>
  <c r="C159"/>
  <c r="B159"/>
  <c r="K158"/>
  <c r="J158"/>
  <c r="I158"/>
  <c r="H158"/>
  <c r="E158"/>
  <c r="D158"/>
  <c r="C158"/>
  <c r="B158"/>
  <c r="K157"/>
  <c r="J157"/>
  <c r="I157"/>
  <c r="H157"/>
  <c r="E157"/>
  <c r="D157"/>
  <c r="C157"/>
  <c r="B157"/>
  <c r="K156"/>
  <c r="J156"/>
  <c r="I156"/>
  <c r="H156"/>
  <c r="E156"/>
  <c r="D156"/>
  <c r="C156"/>
  <c r="B156"/>
  <c r="K155"/>
  <c r="J155"/>
  <c r="I155"/>
  <c r="H155"/>
  <c r="E155"/>
  <c r="D155"/>
  <c r="C155"/>
  <c r="B155"/>
  <c r="K154"/>
  <c r="J154"/>
  <c r="I154"/>
  <c r="H154"/>
  <c r="E154"/>
  <c r="D154"/>
  <c r="C154"/>
  <c r="B154"/>
  <c r="K153"/>
  <c r="J153"/>
  <c r="I153"/>
  <c r="H153"/>
  <c r="E153"/>
  <c r="D153"/>
  <c r="C153"/>
  <c r="B153"/>
  <c r="K152"/>
  <c r="J152"/>
  <c r="I152"/>
  <c r="H152"/>
  <c r="E152"/>
  <c r="D152"/>
  <c r="C152"/>
  <c r="B152"/>
  <c r="K151"/>
  <c r="J151"/>
  <c r="I151"/>
  <c r="H151"/>
  <c r="E151"/>
  <c r="D151"/>
  <c r="C151"/>
  <c r="B151"/>
  <c r="K150"/>
  <c r="J150"/>
  <c r="I150"/>
  <c r="H150"/>
  <c r="E150"/>
  <c r="D150"/>
  <c r="C150"/>
  <c r="B150"/>
  <c r="K149"/>
  <c r="J149"/>
  <c r="I149"/>
  <c r="H149"/>
  <c r="E149"/>
  <c r="D149"/>
  <c r="C149"/>
  <c r="B149"/>
  <c r="K148"/>
  <c r="J148"/>
  <c r="I148"/>
  <c r="H148"/>
  <c r="E148"/>
  <c r="D148"/>
  <c r="C148"/>
  <c r="B148"/>
  <c r="K147"/>
  <c r="J147"/>
  <c r="I147"/>
  <c r="H147"/>
  <c r="E147"/>
  <c r="D147"/>
  <c r="C147"/>
  <c r="B147"/>
  <c r="K146"/>
  <c r="J146"/>
  <c r="I146"/>
  <c r="H146"/>
  <c r="E146"/>
  <c r="D146"/>
  <c r="C146"/>
  <c r="B146"/>
  <c r="K145"/>
  <c r="J145"/>
  <c r="I145"/>
  <c r="H145"/>
  <c r="E145"/>
  <c r="D145"/>
  <c r="C145"/>
  <c r="B145"/>
  <c r="K144"/>
  <c r="J144"/>
  <c r="I144"/>
  <c r="H144"/>
  <c r="E144"/>
  <c r="D144"/>
  <c r="C144"/>
  <c r="B144"/>
  <c r="K143"/>
  <c r="J143"/>
  <c r="I143"/>
  <c r="H143"/>
  <c r="E143"/>
  <c r="D143"/>
  <c r="C143"/>
  <c r="B143"/>
  <c r="K142"/>
  <c r="J142"/>
  <c r="I142"/>
  <c r="H142"/>
  <c r="E142"/>
  <c r="D142"/>
  <c r="C142"/>
  <c r="B142"/>
  <c r="K141"/>
  <c r="J141"/>
  <c r="I141"/>
  <c r="H141"/>
  <c r="E141"/>
  <c r="D141"/>
  <c r="C141"/>
  <c r="B141"/>
  <c r="K140"/>
  <c r="J140"/>
  <c r="I140"/>
  <c r="H140"/>
  <c r="E140"/>
  <c r="D140"/>
  <c r="C140"/>
  <c r="B140"/>
  <c r="K139"/>
  <c r="J139"/>
  <c r="I139"/>
  <c r="H139"/>
  <c r="E139"/>
  <c r="D139"/>
  <c r="C139"/>
  <c r="B139"/>
  <c r="K138"/>
  <c r="J138"/>
  <c r="I138"/>
  <c r="H138"/>
  <c r="E138"/>
  <c r="D138"/>
  <c r="C138"/>
  <c r="B138"/>
  <c r="K137"/>
  <c r="J137"/>
  <c r="I137"/>
  <c r="H137"/>
  <c r="E137"/>
  <c r="D137"/>
  <c r="C137"/>
  <c r="B137"/>
  <c r="K136"/>
  <c r="J136"/>
  <c r="I136"/>
  <c r="H136"/>
  <c r="E136"/>
  <c r="D136"/>
  <c r="C136"/>
  <c r="B136"/>
  <c r="K135"/>
  <c r="J135"/>
  <c r="I135"/>
  <c r="H135"/>
  <c r="E135"/>
  <c r="D135"/>
  <c r="C135"/>
  <c r="B135"/>
  <c r="K134"/>
  <c r="J134"/>
  <c r="I134"/>
  <c r="H134"/>
  <c r="E134"/>
  <c r="D134"/>
  <c r="C134"/>
  <c r="B134"/>
  <c r="K133"/>
  <c r="J133"/>
  <c r="I133"/>
  <c r="H133"/>
  <c r="E133"/>
  <c r="D133"/>
  <c r="C133"/>
  <c r="B133"/>
  <c r="K132"/>
  <c r="J132"/>
  <c r="I132"/>
  <c r="H132"/>
  <c r="E132"/>
  <c r="D132"/>
  <c r="C132"/>
  <c r="B132"/>
  <c r="K131"/>
  <c r="J131"/>
  <c r="I131"/>
  <c r="H131"/>
  <c r="E131"/>
  <c r="D131"/>
  <c r="C131"/>
  <c r="B131"/>
  <c r="K130"/>
  <c r="J130"/>
  <c r="I130"/>
  <c r="H130"/>
  <c r="E130"/>
  <c r="D130"/>
  <c r="C130"/>
  <c r="B130"/>
  <c r="K129"/>
  <c r="J129"/>
  <c r="I129"/>
  <c r="H129"/>
  <c r="E129"/>
  <c r="D129"/>
  <c r="C129"/>
  <c r="B129"/>
  <c r="K128"/>
  <c r="J128"/>
  <c r="I128"/>
  <c r="H128"/>
  <c r="E128"/>
  <c r="D128"/>
  <c r="C128"/>
  <c r="B128"/>
  <c r="K127"/>
  <c r="J127"/>
  <c r="I127"/>
  <c r="H127"/>
  <c r="E127"/>
  <c r="D127"/>
  <c r="C127"/>
  <c r="B127"/>
  <c r="K126"/>
  <c r="J126"/>
  <c r="I126"/>
  <c r="H126"/>
  <c r="E126"/>
  <c r="D126"/>
  <c r="C126"/>
  <c r="B126"/>
  <c r="K125"/>
  <c r="J125"/>
  <c r="I125"/>
  <c r="H125"/>
  <c r="E125"/>
  <c r="D125"/>
  <c r="C125"/>
  <c r="B125"/>
  <c r="K124"/>
  <c r="J124"/>
  <c r="I124"/>
  <c r="H124"/>
  <c r="E124"/>
  <c r="D124"/>
  <c r="C124"/>
  <c r="B124"/>
  <c r="K123"/>
  <c r="J123"/>
  <c r="I123"/>
  <c r="H123"/>
  <c r="E123"/>
  <c r="D123"/>
  <c r="C123"/>
  <c r="B123"/>
  <c r="K122"/>
  <c r="J122"/>
  <c r="I122"/>
  <c r="H122"/>
  <c r="E122"/>
  <c r="D122"/>
  <c r="C122"/>
  <c r="B122"/>
  <c r="K121"/>
  <c r="J121"/>
  <c r="I121"/>
  <c r="H121"/>
  <c r="E121"/>
  <c r="D121"/>
  <c r="C121"/>
  <c r="B121"/>
  <c r="K120"/>
  <c r="J120"/>
  <c r="I120"/>
  <c r="H120"/>
  <c r="E120"/>
  <c r="D120"/>
  <c r="C120"/>
  <c r="B120"/>
  <c r="K119"/>
  <c r="J119"/>
  <c r="I119"/>
  <c r="H119"/>
  <c r="E119"/>
  <c r="D119"/>
  <c r="C119"/>
  <c r="B119"/>
  <c r="K118"/>
  <c r="J118"/>
  <c r="I118"/>
  <c r="H118"/>
  <c r="E118"/>
  <c r="D118"/>
  <c r="C118"/>
  <c r="B118"/>
  <c r="K117"/>
  <c r="J117"/>
  <c r="I117"/>
  <c r="H117"/>
  <c r="E117"/>
  <c r="D117"/>
  <c r="C117"/>
  <c r="B117"/>
  <c r="K116"/>
  <c r="J116"/>
  <c r="I116"/>
  <c r="H116"/>
  <c r="E116"/>
  <c r="D116"/>
  <c r="C116"/>
  <c r="B116"/>
  <c r="K115"/>
  <c r="J115"/>
  <c r="I115"/>
  <c r="H115"/>
  <c r="E115"/>
  <c r="D115"/>
  <c r="C115"/>
  <c r="B115"/>
  <c r="K114"/>
  <c r="J114"/>
  <c r="I114"/>
  <c r="H114"/>
  <c r="E114"/>
  <c r="D114"/>
  <c r="C114"/>
  <c r="B114"/>
  <c r="K113"/>
  <c r="J113"/>
  <c r="I113"/>
  <c r="H113"/>
  <c r="E113"/>
  <c r="D113"/>
  <c r="C113"/>
  <c r="B113"/>
  <c r="K112"/>
  <c r="J112"/>
  <c r="I112"/>
  <c r="H112"/>
  <c r="E112"/>
  <c r="D112"/>
  <c r="C112"/>
  <c r="B112"/>
  <c r="K111"/>
  <c r="J111"/>
  <c r="I111"/>
  <c r="H111"/>
  <c r="E111"/>
  <c r="D111"/>
  <c r="C111"/>
  <c r="B111"/>
  <c r="K110"/>
  <c r="J110"/>
  <c r="I110"/>
  <c r="H110"/>
  <c r="E110"/>
  <c r="D110"/>
  <c r="C110"/>
  <c r="B110"/>
  <c r="K109"/>
  <c r="J109"/>
  <c r="I109"/>
  <c r="H109"/>
  <c r="E109"/>
  <c r="D109"/>
  <c r="C109"/>
  <c r="B109"/>
  <c r="K108"/>
  <c r="J108"/>
  <c r="I108"/>
  <c r="H108"/>
  <c r="E108"/>
  <c r="D108"/>
  <c r="C108"/>
  <c r="B108"/>
  <c r="K107"/>
  <c r="J107"/>
  <c r="I107"/>
  <c r="H107"/>
  <c r="E107"/>
  <c r="D107"/>
  <c r="C107"/>
  <c r="B107"/>
  <c r="K106"/>
  <c r="J106"/>
  <c r="I106"/>
  <c r="H106"/>
  <c r="E106"/>
  <c r="D106"/>
  <c r="C106"/>
  <c r="B106"/>
  <c r="K105"/>
  <c r="J105"/>
  <c r="I105"/>
  <c r="H105"/>
  <c r="E105"/>
  <c r="D105"/>
  <c r="C105"/>
  <c r="B105"/>
  <c r="K104"/>
  <c r="J104"/>
  <c r="I104"/>
  <c r="H104"/>
  <c r="E104"/>
  <c r="D104"/>
  <c r="C104"/>
  <c r="B104"/>
  <c r="K103"/>
  <c r="J103"/>
  <c r="I103"/>
  <c r="H103"/>
  <c r="E103"/>
  <c r="D103"/>
  <c r="C103"/>
  <c r="B103"/>
  <c r="K102"/>
  <c r="J102"/>
  <c r="I102"/>
  <c r="H102"/>
  <c r="E102"/>
  <c r="D102"/>
  <c r="C102"/>
  <c r="B102"/>
  <c r="K101"/>
  <c r="J101"/>
  <c r="I101"/>
  <c r="H101"/>
  <c r="E101"/>
  <c r="D101"/>
  <c r="C101"/>
  <c r="B101"/>
  <c r="K100"/>
  <c r="J100"/>
  <c r="I100"/>
  <c r="H100"/>
  <c r="E100"/>
  <c r="D100"/>
  <c r="C100"/>
  <c r="B100"/>
  <c r="K99"/>
  <c r="J99"/>
  <c r="I99"/>
  <c r="H99"/>
  <c r="E99"/>
  <c r="D99"/>
  <c r="C99"/>
  <c r="B99"/>
  <c r="K98"/>
  <c r="J98"/>
  <c r="I98"/>
  <c r="H98"/>
  <c r="E98"/>
  <c r="D98"/>
  <c r="C98"/>
  <c r="B98"/>
  <c r="K97"/>
  <c r="J97"/>
  <c r="I97"/>
  <c r="H97"/>
  <c r="E97"/>
  <c r="D97"/>
  <c r="C97"/>
  <c r="B97"/>
  <c r="K96"/>
  <c r="J96"/>
  <c r="I96"/>
  <c r="H96"/>
  <c r="E96"/>
  <c r="D96"/>
  <c r="C96"/>
  <c r="B96"/>
  <c r="K95"/>
  <c r="J95"/>
  <c r="I95"/>
  <c r="H95"/>
  <c r="E95"/>
  <c r="D95"/>
  <c r="C95"/>
  <c r="B95"/>
  <c r="K94"/>
  <c r="J94"/>
  <c r="I94"/>
  <c r="H94"/>
  <c r="E94"/>
  <c r="D94"/>
  <c r="C94"/>
  <c r="B94"/>
  <c r="K93"/>
  <c r="J93"/>
  <c r="I93"/>
  <c r="H93"/>
  <c r="E93"/>
  <c r="D93"/>
  <c r="C93"/>
  <c r="B93"/>
  <c r="K92"/>
  <c r="J92"/>
  <c r="I92"/>
  <c r="H92"/>
  <c r="E92"/>
  <c r="D92"/>
  <c r="C92"/>
  <c r="B92"/>
  <c r="K91"/>
  <c r="J91"/>
  <c r="I91"/>
  <c r="H91"/>
  <c r="E91"/>
  <c r="D91"/>
  <c r="C91"/>
  <c r="B91"/>
  <c r="K90"/>
  <c r="J90"/>
  <c r="I90"/>
  <c r="H90"/>
  <c r="E90"/>
  <c r="D90"/>
  <c r="C90"/>
  <c r="B90"/>
  <c r="K89"/>
  <c r="J89"/>
  <c r="I89"/>
  <c r="H89"/>
  <c r="E89"/>
  <c r="D89"/>
  <c r="C89"/>
  <c r="B89"/>
  <c r="K88"/>
  <c r="J88"/>
  <c r="I88"/>
  <c r="H88"/>
  <c r="E88"/>
  <c r="D88"/>
  <c r="C88"/>
  <c r="B88"/>
  <c r="K87"/>
  <c r="J87"/>
  <c r="I87"/>
  <c r="H87"/>
  <c r="E87"/>
  <c r="D87"/>
  <c r="C87"/>
  <c r="B87"/>
  <c r="K86"/>
  <c r="J86"/>
  <c r="I86"/>
  <c r="H86"/>
  <c r="E86"/>
  <c r="D86"/>
  <c r="C86"/>
  <c r="B86"/>
  <c r="K85"/>
  <c r="J85"/>
  <c r="I85"/>
  <c r="H85"/>
  <c r="E85"/>
  <c r="D85"/>
  <c r="C85"/>
  <c r="B85"/>
  <c r="K84"/>
  <c r="J84"/>
  <c r="I84"/>
  <c r="H84"/>
  <c r="E84"/>
  <c r="D84"/>
  <c r="C84"/>
  <c r="B84"/>
  <c r="K83"/>
  <c r="J83"/>
  <c r="I83"/>
  <c r="H83"/>
  <c r="E83"/>
  <c r="D83"/>
  <c r="C83"/>
  <c r="B83"/>
  <c r="K82"/>
  <c r="J82"/>
  <c r="I82"/>
  <c r="H82"/>
  <c r="E82"/>
  <c r="D82"/>
  <c r="C82"/>
  <c r="B82"/>
  <c r="K81"/>
  <c r="J81"/>
  <c r="I81"/>
  <c r="H81"/>
  <c r="E81"/>
  <c r="D81"/>
  <c r="C81"/>
  <c r="B81"/>
  <c r="K80"/>
  <c r="J80"/>
  <c r="I80"/>
  <c r="H80"/>
  <c r="E80"/>
  <c r="D80"/>
  <c r="C80"/>
  <c r="B80"/>
  <c r="K79"/>
  <c r="J79"/>
  <c r="I79"/>
  <c r="H79"/>
  <c r="E79"/>
  <c r="D79"/>
  <c r="C79"/>
  <c r="B79"/>
  <c r="K78"/>
  <c r="J78"/>
  <c r="I78"/>
  <c r="H78"/>
  <c r="E78"/>
  <c r="D78"/>
  <c r="C78"/>
  <c r="B78"/>
  <c r="K77"/>
  <c r="J77"/>
  <c r="I77"/>
  <c r="H77"/>
  <c r="E77"/>
  <c r="D77"/>
  <c r="C77"/>
  <c r="B77"/>
  <c r="K76"/>
  <c r="J76"/>
  <c r="I76"/>
  <c r="H76"/>
  <c r="E76"/>
  <c r="D76"/>
  <c r="C76"/>
  <c r="B76"/>
  <c r="K75"/>
  <c r="J75"/>
  <c r="I75"/>
  <c r="H75"/>
  <c r="E75"/>
  <c r="D75"/>
  <c r="C75"/>
  <c r="B75"/>
  <c r="K74"/>
  <c r="J74"/>
  <c r="I74"/>
  <c r="H74"/>
  <c r="E74"/>
  <c r="D74"/>
  <c r="C74"/>
  <c r="B74"/>
  <c r="K73"/>
  <c r="J73"/>
  <c r="I73"/>
  <c r="H73"/>
  <c r="E73"/>
  <c r="D73"/>
  <c r="C73"/>
  <c r="B73"/>
  <c r="K72"/>
  <c r="J72"/>
  <c r="I72"/>
  <c r="H72"/>
  <c r="E72"/>
  <c r="D72"/>
  <c r="C72"/>
  <c r="B72"/>
  <c r="K71"/>
  <c r="J71"/>
  <c r="I71"/>
  <c r="H71"/>
  <c r="E71"/>
  <c r="D71"/>
  <c r="C71"/>
  <c r="B71"/>
  <c r="K70"/>
  <c r="J70"/>
  <c r="I70"/>
  <c r="H70"/>
  <c r="E70"/>
  <c r="D70"/>
  <c r="C70"/>
  <c r="B70"/>
  <c r="K69"/>
  <c r="J69"/>
  <c r="I69"/>
  <c r="H69"/>
  <c r="E69"/>
  <c r="D69"/>
  <c r="C69"/>
  <c r="B69"/>
  <c r="K68"/>
  <c r="J68"/>
  <c r="I68"/>
  <c r="H68"/>
  <c r="E68"/>
  <c r="D68"/>
  <c r="C68"/>
  <c r="B68"/>
  <c r="K67"/>
  <c r="J67"/>
  <c r="I67"/>
  <c r="H67"/>
  <c r="E67"/>
  <c r="D67"/>
  <c r="C67"/>
  <c r="B67"/>
  <c r="K66"/>
  <c r="J66"/>
  <c r="I66"/>
  <c r="H66"/>
  <c r="E66"/>
  <c r="D66"/>
  <c r="C66"/>
  <c r="B66"/>
  <c r="K65"/>
  <c r="J65"/>
  <c r="I65"/>
  <c r="H65"/>
  <c r="E65"/>
  <c r="D65"/>
  <c r="C65"/>
  <c r="B65"/>
  <c r="K64"/>
  <c r="J64"/>
  <c r="I64"/>
  <c r="H64"/>
  <c r="E64"/>
  <c r="D64"/>
  <c r="C64"/>
  <c r="B64"/>
  <c r="K63"/>
  <c r="E63"/>
  <c r="G58"/>
  <c r="A58"/>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E12"/>
  <c r="D12"/>
  <c r="C12"/>
  <c r="E11"/>
  <c r="D11"/>
  <c r="C11"/>
  <c r="E5"/>
  <c r="D5"/>
  <c r="A1"/>
  <c r="M36" i="3"/>
  <c r="M34"/>
  <c r="M33"/>
  <c r="M32"/>
  <c r="S29"/>
  <c r="S11"/>
  <c r="S3"/>
  <c r="A1"/>
  <c r="S1" s="1"/>
  <c r="R141" i="18"/>
  <c r="A1"/>
  <c r="H154" i="7"/>
  <c r="H153"/>
  <c r="P141"/>
  <c r="P140"/>
  <c r="P71"/>
  <c r="P69"/>
  <c r="P67"/>
  <c r="H59"/>
  <c r="H54"/>
  <c r="P52"/>
  <c r="H52"/>
  <c r="I51"/>
  <c r="H51"/>
  <c r="P50"/>
  <c r="P51" s="1"/>
  <c r="P53" s="1"/>
  <c r="P58" s="1"/>
  <c r="I50"/>
  <c r="H50"/>
  <c r="P49"/>
  <c r="F46"/>
  <c r="F45"/>
  <c r="F44"/>
  <c r="F43"/>
  <c r="F42"/>
  <c r="J26"/>
  <c r="I26"/>
  <c r="J25"/>
  <c r="L24"/>
  <c r="J7"/>
  <c r="A1"/>
  <c r="A3" i="37"/>
  <c r="A2"/>
  <c r="A1" i="34"/>
  <c r="Q11" i="36" l="1"/>
  <c r="Q21"/>
  <c r="Q19"/>
  <c r="Q17"/>
  <c r="Q27"/>
  <c r="P263" i="11"/>
  <c r="Q13" i="36"/>
  <c r="Q25"/>
  <c r="B15" i="8"/>
  <c r="J75" s="1"/>
  <c r="K32"/>
  <c r="E32"/>
  <c r="K44"/>
  <c r="I62"/>
  <c r="F74"/>
  <c r="C91"/>
  <c r="K91"/>
  <c r="L31" i="11"/>
  <c r="H49" i="7"/>
  <c r="H53" s="1"/>
  <c r="H55" s="1"/>
  <c r="Q15" i="36"/>
  <c r="Q23"/>
  <c r="D14" i="8"/>
  <c r="I32"/>
  <c r="C44"/>
  <c r="I61"/>
  <c r="G91"/>
  <c r="H92"/>
  <c r="C32"/>
  <c r="G32"/>
  <c r="H61"/>
  <c r="J74"/>
  <c r="J76" s="1"/>
  <c r="D91"/>
  <c r="D92"/>
  <c r="F21"/>
  <c r="F33"/>
  <c r="E51"/>
  <c r="J63"/>
  <c r="H75"/>
  <c r="H76" s="1"/>
  <c r="D81"/>
  <c r="Q12" i="36"/>
  <c r="Q16"/>
  <c r="Q20"/>
  <c r="Q24"/>
  <c r="P147"/>
  <c r="N149" s="1"/>
  <c r="E14" i="8"/>
  <c r="I14"/>
  <c r="C15"/>
  <c r="G15"/>
  <c r="K15"/>
  <c r="C21"/>
  <c r="G21"/>
  <c r="K21"/>
  <c r="E31"/>
  <c r="I31"/>
  <c r="B32"/>
  <c r="F32"/>
  <c r="J32"/>
  <c r="C33"/>
  <c r="G33"/>
  <c r="K33"/>
  <c r="D44"/>
  <c r="H44"/>
  <c r="B45"/>
  <c r="F45"/>
  <c r="J45"/>
  <c r="B51"/>
  <c r="F51"/>
  <c r="J51"/>
  <c r="B62"/>
  <c r="F62"/>
  <c r="J62"/>
  <c r="C63"/>
  <c r="G63"/>
  <c r="K63"/>
  <c r="C74"/>
  <c r="G74"/>
  <c r="K74"/>
  <c r="E75"/>
  <c r="I75"/>
  <c r="E81"/>
  <c r="I81"/>
  <c r="E92"/>
  <c r="I92"/>
  <c r="B93"/>
  <c r="F93"/>
  <c r="J93"/>
  <c r="L278" i="11"/>
  <c r="F15" i="8"/>
  <c r="J15"/>
  <c r="D31"/>
  <c r="H31"/>
  <c r="B33"/>
  <c r="J33"/>
  <c r="I45"/>
  <c r="B63"/>
  <c r="F63"/>
  <c r="D75"/>
  <c r="E93"/>
  <c r="I93"/>
  <c r="E33" i="15"/>
  <c r="Q10" i="36"/>
  <c r="Q14"/>
  <c r="Q18"/>
  <c r="Q22"/>
  <c r="C14" i="8"/>
  <c r="G14"/>
  <c r="G16" s="1"/>
  <c r="K14"/>
  <c r="E15"/>
  <c r="I15"/>
  <c r="E21"/>
  <c r="I21"/>
  <c r="C31"/>
  <c r="G31"/>
  <c r="K31"/>
  <c r="D32"/>
  <c r="H32"/>
  <c r="E33"/>
  <c r="I33"/>
  <c r="B44"/>
  <c r="F44"/>
  <c r="F46" s="1"/>
  <c r="J44"/>
  <c r="J46" s="1"/>
  <c r="D45"/>
  <c r="H45"/>
  <c r="D51"/>
  <c r="H51"/>
  <c r="C61"/>
  <c r="G61"/>
  <c r="K61"/>
  <c r="D62"/>
  <c r="H62"/>
  <c r="E63"/>
  <c r="I63"/>
  <c r="E74"/>
  <c r="I74"/>
  <c r="I76" s="1"/>
  <c r="C75"/>
  <c r="G75"/>
  <c r="K75"/>
  <c r="C81"/>
  <c r="G81"/>
  <c r="K81"/>
  <c r="B91"/>
  <c r="F91"/>
  <c r="J91"/>
  <c r="C92"/>
  <c r="G92"/>
  <c r="K92"/>
  <c r="D93"/>
  <c r="H93"/>
  <c r="O264" i="11"/>
  <c r="J21" i="8"/>
  <c r="E45"/>
  <c r="I51"/>
  <c r="H81"/>
  <c r="F14"/>
  <c r="F16" s="1"/>
  <c r="J14"/>
  <c r="J16" s="1"/>
  <c r="D15"/>
  <c r="H15"/>
  <c r="H16" s="1"/>
  <c r="B16"/>
  <c r="D21"/>
  <c r="H21"/>
  <c r="B31"/>
  <c r="F31"/>
  <c r="J31"/>
  <c r="D33"/>
  <c r="H33"/>
  <c r="E44"/>
  <c r="E46" s="1"/>
  <c r="I44"/>
  <c r="C45"/>
  <c r="G45"/>
  <c r="G46" s="1"/>
  <c r="K45"/>
  <c r="K46" s="1"/>
  <c r="C51"/>
  <c r="G51"/>
  <c r="K51"/>
  <c r="B61"/>
  <c r="F61"/>
  <c r="J61"/>
  <c r="C62"/>
  <c r="G62"/>
  <c r="K62"/>
  <c r="D63"/>
  <c r="H63"/>
  <c r="D74"/>
  <c r="D76" s="1"/>
  <c r="B75"/>
  <c r="B76" s="1"/>
  <c r="F75"/>
  <c r="B81"/>
  <c r="F81"/>
  <c r="J81"/>
  <c r="E91"/>
  <c r="I91"/>
  <c r="B92"/>
  <c r="F92"/>
  <c r="J92"/>
  <c r="C93"/>
  <c r="G93"/>
  <c r="K93"/>
  <c r="J117" i="15"/>
  <c r="O218" i="11"/>
  <c r="P218"/>
  <c r="S69" i="15"/>
  <c r="D39"/>
  <c r="D38"/>
  <c r="G42"/>
  <c r="J36"/>
  <c r="C40" i="8"/>
  <c r="C70"/>
  <c r="C100"/>
  <c r="D28"/>
  <c r="N148" i="36"/>
  <c r="P157"/>
  <c r="P165" s="1"/>
  <c r="J121" i="15"/>
  <c r="C76" i="8" l="1"/>
  <c r="E76"/>
  <c r="C16"/>
  <c r="E16"/>
  <c r="F76"/>
  <c r="C46"/>
  <c r="P30" i="11"/>
  <c r="O30"/>
  <c r="I46" i="8"/>
  <c r="D16"/>
  <c r="O263" i="11"/>
  <c r="G76" i="8"/>
  <c r="I16"/>
  <c r="B19"/>
  <c r="N157" i="36"/>
  <c r="K16" i="8"/>
  <c r="K76"/>
  <c r="D46"/>
  <c r="B46"/>
  <c r="H46"/>
  <c r="R218" i="11"/>
  <c r="J42" i="15"/>
  <c r="F42"/>
  <c r="D100" i="8"/>
  <c r="D40"/>
  <c r="D70"/>
  <c r="E28"/>
  <c r="K79"/>
  <c r="I79"/>
  <c r="G79"/>
  <c r="E79"/>
  <c r="C79"/>
  <c r="K49"/>
  <c r="I49"/>
  <c r="G49"/>
  <c r="E49"/>
  <c r="C49"/>
  <c r="J19"/>
  <c r="H19"/>
  <c r="F19"/>
  <c r="D19"/>
  <c r="J79"/>
  <c r="H79"/>
  <c r="F79"/>
  <c r="D79"/>
  <c r="B79"/>
  <c r="J49"/>
  <c r="H49"/>
  <c r="F49"/>
  <c r="D49"/>
  <c r="B49"/>
  <c r="K19"/>
  <c r="I19"/>
  <c r="G19"/>
  <c r="E19"/>
  <c r="C19"/>
  <c r="H48" i="3"/>
  <c r="G117" i="15"/>
  <c r="R30" i="11" l="1"/>
  <c r="L30"/>
  <c r="E40" i="8"/>
  <c r="E70"/>
  <c r="E100"/>
  <c r="F28"/>
  <c r="S117" i="15"/>
  <c r="F40" i="8" l="1"/>
  <c r="F100"/>
  <c r="F70"/>
  <c r="G28"/>
  <c r="G70" l="1"/>
  <c r="G100"/>
  <c r="G40"/>
  <c r="H28"/>
  <c r="J57" i="15"/>
  <c r="H40" i="8" l="1"/>
  <c r="H100"/>
  <c r="H70"/>
  <c r="I28"/>
  <c r="I100" l="1"/>
  <c r="I70"/>
  <c r="I40"/>
  <c r="J28"/>
  <c r="J40" l="1"/>
  <c r="J70"/>
  <c r="J100"/>
  <c r="K28"/>
  <c r="K100" l="1"/>
  <c r="K70"/>
  <c r="K40"/>
  <c r="B58"/>
  <c r="C58" l="1"/>
  <c r="D58" l="1"/>
  <c r="E58" l="1"/>
  <c r="F58" l="1"/>
  <c r="G58" s="1"/>
  <c r="S57" i="15" l="1"/>
  <c r="G109"/>
  <c r="H58" i="8" l="1"/>
  <c r="D37" i="3"/>
  <c r="M37"/>
  <c r="J109" i="15"/>
  <c r="J123" s="1"/>
  <c r="C109"/>
  <c r="F107"/>
  <c r="F106"/>
  <c r="F108"/>
  <c r="I58" i="8" l="1"/>
  <c r="J140" i="15"/>
  <c r="J142" s="1"/>
  <c r="J144" s="1"/>
  <c r="J146" s="1"/>
  <c r="J148" s="1"/>
  <c r="J149" s="1"/>
  <c r="C29" i="8"/>
  <c r="E29"/>
  <c r="G29"/>
  <c r="I29"/>
  <c r="K29"/>
  <c r="D29"/>
  <c r="H29"/>
  <c r="B59"/>
  <c r="D59"/>
  <c r="B89"/>
  <c r="D89"/>
  <c r="F89"/>
  <c r="H89"/>
  <c r="J89"/>
  <c r="F29"/>
  <c r="J29"/>
  <c r="C59"/>
  <c r="E59"/>
  <c r="C89"/>
  <c r="E89"/>
  <c r="G89"/>
  <c r="I89"/>
  <c r="K89"/>
  <c r="J58" l="1"/>
  <c r="K58" l="1"/>
  <c r="B88" l="1"/>
  <c r="C88" l="1"/>
  <c r="D88" l="1"/>
  <c r="E88" l="1"/>
  <c r="F88" l="1"/>
  <c r="G88" l="1"/>
  <c r="H88" l="1"/>
  <c r="I88" l="1"/>
  <c r="J88" l="1"/>
  <c r="K88" l="1"/>
  <c r="L25" i="3"/>
  <c r="G57" i="15"/>
  <c r="M35" i="3" l="1"/>
  <c r="H49"/>
  <c r="U103" i="15"/>
  <c r="K169"/>
  <c r="I211" i="11"/>
  <c r="B26" i="8"/>
  <c r="B29" s="1"/>
  <c r="I26"/>
  <c r="B39"/>
  <c r="B86"/>
  <c r="C86"/>
  <c r="D86"/>
  <c r="E86"/>
  <c r="F86"/>
  <c r="G86"/>
  <c r="H86"/>
  <c r="I86"/>
  <c r="J86"/>
  <c r="K86"/>
  <c r="F94"/>
  <c r="I94"/>
  <c r="J94"/>
  <c r="H94" l="1"/>
  <c r="K94"/>
  <c r="G94"/>
  <c r="J154" i="15"/>
  <c r="B41" i="8"/>
  <c r="G104" i="15"/>
  <c r="A103"/>
  <c r="S104" l="1"/>
  <c r="C41" i="8"/>
  <c r="D41" l="1"/>
  <c r="E41" l="1"/>
  <c r="F41" l="1"/>
  <c r="G41" l="1"/>
  <c r="H41" l="1"/>
  <c r="I41" l="1"/>
  <c r="J41" l="1"/>
  <c r="K41" l="1"/>
  <c r="B71" l="1"/>
  <c r="C71" l="1"/>
  <c r="D71" l="1"/>
  <c r="E71" l="1"/>
  <c r="F59" l="1"/>
  <c r="F71" l="1"/>
  <c r="G59" l="1"/>
  <c r="G71" l="1"/>
  <c r="H59" l="1"/>
  <c r="H71" l="1"/>
  <c r="I59" l="1"/>
  <c r="I71" l="1"/>
  <c r="J59" l="1"/>
  <c r="J71" l="1"/>
  <c r="K59" l="1"/>
  <c r="K71" l="1"/>
  <c r="B101" l="1"/>
  <c r="C101" l="1"/>
  <c r="D101" l="1"/>
  <c r="E101" l="1"/>
  <c r="F101" l="1"/>
  <c r="G101" l="1"/>
  <c r="H101" l="1"/>
  <c r="I101" l="1"/>
  <c r="J101" l="1"/>
  <c r="K101" l="1"/>
  <c r="G98" i="15"/>
  <c r="S98"/>
  <c r="G123"/>
  <c r="S123"/>
  <c r="C136"/>
  <c r="J153"/>
  <c r="I213" i="11"/>
  <c r="I214" s="1"/>
  <c r="G125" i="15" l="1"/>
  <c r="L214" i="11"/>
  <c r="J282"/>
  <c r="J152" i="15"/>
  <c r="M125"/>
  <c r="M151"/>
  <c r="J155"/>
  <c r="J157" s="1"/>
  <c r="J159" s="1"/>
  <c r="J161" s="1"/>
  <c r="J163" s="1"/>
  <c r="M163" s="1"/>
  <c r="O201" i="11"/>
  <c r="H50" i="3"/>
  <c r="L26"/>
  <c r="L27" s="1"/>
  <c r="P201" i="11" l="1"/>
  <c r="O41" i="3"/>
  <c r="H51"/>
  <c r="O42"/>
  <c r="O193" i="11"/>
  <c r="J165" i="15"/>
  <c r="P193" i="11" l="1"/>
  <c r="J40" i="3"/>
  <c r="L40" s="1"/>
  <c r="J41"/>
  <c r="L41" s="1"/>
  <c r="J6" i="7"/>
  <c r="H98" s="1"/>
  <c r="E92" i="15"/>
  <c r="O291" i="11"/>
  <c r="O43" i="3"/>
  <c r="P291" i="11" l="1"/>
  <c r="O6"/>
  <c r="O292"/>
  <c r="P292" l="1"/>
  <c r="P6"/>
  <c r="K5" i="8" l="1"/>
  <c r="K6"/>
  <c r="K7"/>
  <c r="B17"/>
  <c r="C17"/>
  <c r="D17"/>
  <c r="E17"/>
  <c r="F17"/>
  <c r="G17"/>
  <c r="H17"/>
  <c r="I17"/>
  <c r="J17"/>
  <c r="K17"/>
  <c r="B22"/>
  <c r="C22"/>
  <c r="D22"/>
  <c r="E22"/>
  <c r="F22"/>
  <c r="G22"/>
  <c r="H22"/>
  <c r="I22"/>
  <c r="J22"/>
  <c r="K22"/>
  <c r="C26"/>
  <c r="D26"/>
  <c r="E26"/>
  <c r="F26"/>
  <c r="G26"/>
  <c r="H26"/>
  <c r="J26"/>
  <c r="K26"/>
  <c r="B30"/>
  <c r="C30"/>
  <c r="D30"/>
  <c r="E30"/>
  <c r="F30"/>
  <c r="G30"/>
  <c r="H30"/>
  <c r="I30"/>
  <c r="J30"/>
  <c r="K30"/>
  <c r="B34"/>
  <c r="C34"/>
  <c r="D34"/>
  <c r="E34"/>
  <c r="F34"/>
  <c r="G34"/>
  <c r="H34"/>
  <c r="I34"/>
  <c r="J34"/>
  <c r="K34"/>
  <c r="B35"/>
  <c r="C35"/>
  <c r="D35"/>
  <c r="E35"/>
  <c r="F35"/>
  <c r="G35"/>
  <c r="H35"/>
  <c r="I35"/>
  <c r="J35"/>
  <c r="K35"/>
  <c r="C39"/>
  <c r="D39"/>
  <c r="E39"/>
  <c r="F39"/>
  <c r="G39"/>
  <c r="H39"/>
  <c r="I39"/>
  <c r="J39"/>
  <c r="K39"/>
  <c r="B47"/>
  <c r="C47"/>
  <c r="D47"/>
  <c r="E47"/>
  <c r="F47"/>
  <c r="G47"/>
  <c r="H47"/>
  <c r="I47"/>
  <c r="J47"/>
  <c r="K47"/>
  <c r="B52"/>
  <c r="C52"/>
  <c r="D52"/>
  <c r="E52"/>
  <c r="F52"/>
  <c r="G52"/>
  <c r="H52"/>
  <c r="I52"/>
  <c r="J52"/>
  <c r="K52"/>
  <c r="B56"/>
  <c r="C56"/>
  <c r="D56"/>
  <c r="E56"/>
  <c r="F56"/>
  <c r="G56"/>
  <c r="H56"/>
  <c r="I56"/>
  <c r="J56"/>
  <c r="K56"/>
  <c r="B60"/>
  <c r="C60"/>
  <c r="D60"/>
  <c r="E60"/>
  <c r="F60"/>
  <c r="G60"/>
  <c r="H60"/>
  <c r="I60"/>
  <c r="J60"/>
  <c r="K60"/>
  <c r="B64"/>
  <c r="C64"/>
  <c r="D64"/>
  <c r="E64"/>
  <c r="F64"/>
  <c r="G64"/>
  <c r="H64"/>
  <c r="I64"/>
  <c r="J64"/>
  <c r="K64"/>
  <c r="B65"/>
  <c r="C65"/>
  <c r="D65"/>
  <c r="E65"/>
  <c r="F65"/>
  <c r="G65"/>
  <c r="H65"/>
  <c r="I65"/>
  <c r="J65"/>
  <c r="K65"/>
  <c r="B69"/>
  <c r="C69"/>
  <c r="D69"/>
  <c r="E69"/>
  <c r="F69"/>
  <c r="G69"/>
  <c r="H69"/>
  <c r="I69"/>
  <c r="J69"/>
  <c r="K69"/>
  <c r="B77"/>
  <c r="C77"/>
  <c r="D77"/>
  <c r="E77"/>
  <c r="F77"/>
  <c r="G77"/>
  <c r="H77"/>
  <c r="I77"/>
  <c r="J77"/>
  <c r="K77"/>
  <c r="B82"/>
  <c r="C82"/>
  <c r="D82"/>
  <c r="E82"/>
  <c r="F82"/>
  <c r="G82"/>
  <c r="H82"/>
  <c r="I82"/>
  <c r="J82"/>
  <c r="K82"/>
  <c r="B90"/>
  <c r="C90"/>
  <c r="D90"/>
  <c r="E90"/>
  <c r="F90"/>
  <c r="G90"/>
  <c r="H90"/>
  <c r="I90"/>
  <c r="J90"/>
  <c r="K90"/>
  <c r="B94"/>
  <c r="C94"/>
  <c r="D94"/>
  <c r="E94"/>
  <c r="B95"/>
  <c r="C95"/>
  <c r="D95"/>
  <c r="E95"/>
  <c r="F95"/>
  <c r="G95"/>
  <c r="H95"/>
  <c r="I95"/>
  <c r="J95"/>
  <c r="K95"/>
  <c r="B99"/>
  <c r="C99"/>
  <c r="D99"/>
  <c r="E99"/>
  <c r="F99"/>
  <c r="G99"/>
  <c r="H99"/>
  <c r="I99"/>
  <c r="J99"/>
  <c r="K99"/>
  <c r="G109" i="36"/>
  <c r="H109"/>
  <c r="I109"/>
  <c r="J109"/>
  <c r="K109"/>
  <c r="L109"/>
  <c r="M109"/>
  <c r="N109"/>
  <c r="O109"/>
  <c r="P109"/>
  <c r="G110"/>
  <c r="H110"/>
  <c r="I110"/>
  <c r="J110"/>
  <c r="K110"/>
  <c r="L110"/>
  <c r="M110"/>
  <c r="N110"/>
  <c r="O110"/>
  <c r="P110"/>
  <c r="G111"/>
  <c r="H111"/>
  <c r="I111"/>
  <c r="J111"/>
  <c r="K111"/>
  <c r="L111"/>
  <c r="M111"/>
  <c r="N111"/>
  <c r="O111"/>
  <c r="P111"/>
  <c r="G119"/>
  <c r="H119"/>
  <c r="I119"/>
  <c r="J119"/>
  <c r="K119"/>
  <c r="L119"/>
  <c r="M119"/>
  <c r="N119"/>
  <c r="O119"/>
  <c r="P119"/>
  <c r="G120"/>
  <c r="H120"/>
  <c r="I120"/>
  <c r="J120"/>
  <c r="K120"/>
  <c r="L120"/>
  <c r="M120"/>
  <c r="N120"/>
  <c r="O120"/>
  <c r="P120"/>
  <c r="G121"/>
  <c r="H121"/>
  <c r="I121"/>
  <c r="J121"/>
  <c r="K121"/>
  <c r="L121"/>
  <c r="M121"/>
  <c r="N121"/>
  <c r="O121"/>
  <c r="P121"/>
  <c r="G129"/>
  <c r="H129"/>
  <c r="I129"/>
  <c r="J129"/>
  <c r="K129"/>
  <c r="L129"/>
  <c r="M129"/>
  <c r="N129"/>
  <c r="O129"/>
  <c r="P129"/>
  <c r="G130"/>
  <c r="H130"/>
  <c r="I130"/>
  <c r="J130"/>
  <c r="K130"/>
  <c r="L130"/>
  <c r="M130"/>
  <c r="N130"/>
  <c r="O130"/>
  <c r="P130"/>
  <c r="G131"/>
  <c r="H131"/>
  <c r="I131"/>
  <c r="J131"/>
  <c r="K131"/>
  <c r="L131"/>
  <c r="M131"/>
  <c r="N131"/>
  <c r="O131"/>
  <c r="P131"/>
</calcChain>
</file>

<file path=xl/sharedStrings.xml><?xml version="1.0" encoding="utf-8"?>
<sst xmlns="http://schemas.openxmlformats.org/spreadsheetml/2006/main" count="8044" uniqueCount="4154">
  <si>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</si>
  <si>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</si>
  <si>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</si>
  <si>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</si>
  <si>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</si>
  <si>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</si>
  <si>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</si>
  <si>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</si>
  <si>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</si>
  <si>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</si>
  <si>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</si>
  <si>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</si>
  <si>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</si>
  <si>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</si>
  <si>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</si>
  <si>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</si>
  <si>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</si>
  <si>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</si>
  <si>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</si>
  <si>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</si>
  <si>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</si>
  <si>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</si>
  <si>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</si>
  <si>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</si>
  <si>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</si>
  <si>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</si>
  <si>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</si>
  <si>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</si>
  <si>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</si>
  <si>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</si>
  <si>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</si>
  <si>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</si>
  <si>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</si>
  <si>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</si>
  <si>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</si>
  <si>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</si>
  <si>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</si>
  <si>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</si>
  <si>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</si>
  <si>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</si>
  <si>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</si>
  <si>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</si>
  <si>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</si>
  <si>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</si>
  <si>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</si>
  <si>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</si>
  <si>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</si>
  <si>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</si>
  <si>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</si>
  <si>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</si>
  <si>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</si>
  <si>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</si>
  <si>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</si>
  <si>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</si>
  <si>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</si>
  <si>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</si>
  <si>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</si>
  <si>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</si>
  <si>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</si>
  <si>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</si>
  <si>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</si>
  <si>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</si>
  <si>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</si>
  <si>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</si>
  <si>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</si>
  <si>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</si>
  <si>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</si>
  <si>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</si>
  <si>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</si>
  <si>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</si>
  <si>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</si>
  <si>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</si>
  <si>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</si>
  <si>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</si>
  <si>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</si>
  <si>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</si>
  <si>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</si>
  <si>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</si>
  <si>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</si>
  <si>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</si>
  <si>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</si>
  <si>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</si>
  <si>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</si>
  <si>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</si>
  <si>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</si>
  <si>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</si>
  <si>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</si>
  <si>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</si>
  <si>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</si>
  <si>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</si>
  <si>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</si>
  <si>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</si>
  <si>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</si>
  <si>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</si>
  <si>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</si>
  <si>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</si>
  <si>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</si>
  <si>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</si>
  <si>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</si>
  <si>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</si>
  <si>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</si>
  <si>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</si>
  <si>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</si>
  <si>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</si>
  <si>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</si>
  <si>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</si>
  <si>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</si>
  <si>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</si>
  <si>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</si>
  <si>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</si>
  <si>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</si>
  <si>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</si>
  <si>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</si>
  <si>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</si>
  <si>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</si>
  <si>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</si>
  <si>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</si>
  <si>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</si>
  <si>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</si>
  <si>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</si>
  <si>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</si>
  <si>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</si>
  <si>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</si>
  <si>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</si>
  <si>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</si>
  <si>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</si>
  <si>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</si>
  <si>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</si>
  <si>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</si>
  <si>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</si>
  <si>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</si>
  <si>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</si>
  <si>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</si>
  <si>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</si>
  <si>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</si>
  <si>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</si>
  <si>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</si>
  <si>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</si>
  <si>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</si>
  <si>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</si>
  <si>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</si>
  <si>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</si>
  <si>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</si>
  <si>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</si>
  <si>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</si>
  <si>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</si>
  <si>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</si>
  <si>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</si>
  <si>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</si>
  <si>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</si>
  <si>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</si>
  <si>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</si>
  <si>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</si>
  <si>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</si>
  <si>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</si>
  <si>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</si>
  <si>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</si>
  <si>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</si>
  <si>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</si>
  <si>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</si>
  <si>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</si>
  <si>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</si>
  <si>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</si>
  <si>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</si>
  <si>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</si>
  <si>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</si>
  <si>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</si>
  <si>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</si>
  <si>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</si>
  <si>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</si>
  <si>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</si>
  <si>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</si>
  <si>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</si>
  <si>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</si>
  <si>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</si>
  <si>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</si>
  <si>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</si>
  <si>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</si>
  <si>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</si>
  <si>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</si>
  <si>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</si>
  <si>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</si>
  <si>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</si>
  <si>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</si>
  <si>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</si>
  <si>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</si>
  <si>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</si>
  <si>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</si>
  <si>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</si>
  <si>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</si>
  <si>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</si>
  <si>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</si>
  <si>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</si>
  <si>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</si>
  <si>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</si>
  <si>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</si>
  <si>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</si>
  <si>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</si>
  <si>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</si>
  <si>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</si>
  <si>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</si>
  <si>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</si>
  <si>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</si>
  <si>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</si>
  <si>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</si>
  <si>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</si>
  <si>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</si>
  <si>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</si>
  <si>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</si>
  <si>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</si>
  <si>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</si>
  <si>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</si>
  <si>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</si>
  <si>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</si>
  <si>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</si>
  <si>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</si>
  <si>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</si>
  <si>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</si>
  <si>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</si>
  <si>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</si>
  <si>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</si>
  <si>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</si>
  <si>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</si>
  <si>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</si>
  <si>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</si>
  <si>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</si>
  <si>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</si>
  <si>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</si>
  <si>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</si>
  <si>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</si>
  <si>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</si>
  <si>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</si>
  <si>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</si>
  <si>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</si>
  <si>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</si>
  <si>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</si>
  <si>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</si>
  <si>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</si>
  <si>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</si>
  <si>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</si>
  <si>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</si>
  <si>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</si>
  <si>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</si>
  <si>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</si>
  <si>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</si>
  <si>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</si>
  <si>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</si>
  <si>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</si>
  <si>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</si>
  <si>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</si>
  <si>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</si>
  <si>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</si>
  <si>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</si>
  <si>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</si>
  <si>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</si>
  <si>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</si>
  <si>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</si>
  <si>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</si>
  <si>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</si>
  <si>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</si>
  <si>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</si>
  <si>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</si>
  <si>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</si>
  <si>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</si>
  <si>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</si>
  <si>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</si>
  <si>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</si>
  <si>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</si>
  <si>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</si>
  <si>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</si>
  <si>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</si>
  <si>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</si>
  <si>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</si>
  <si>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</si>
  <si>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</si>
  <si>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</si>
  <si>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</si>
  <si>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</si>
  <si>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</si>
  <si>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</si>
  <si>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</si>
  <si>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</si>
  <si>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</si>
  <si>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</si>
  <si>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</si>
  <si>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</si>
  <si>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</si>
  <si>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</si>
  <si>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</si>
  <si>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</si>
  <si>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</si>
  <si>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</si>
  <si>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</si>
  <si>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</si>
  <si>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</si>
  <si>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</si>
  <si>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</si>
  <si>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</si>
  <si>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</si>
  <si>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</si>
  <si>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</si>
  <si>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</si>
  <si>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</si>
  <si>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</si>
  <si>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</si>
  <si>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</si>
  <si>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</si>
  <si>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</si>
  <si>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</si>
  <si>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</si>
  <si>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</si>
  <si>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</si>
  <si>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</si>
  <si>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</si>
  <si>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</si>
  <si>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</si>
  <si>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</si>
  <si>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</si>
  <si>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</si>
  <si>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</si>
  <si>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</si>
  <si>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</si>
  <si>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</si>
  <si>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</si>
  <si>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</si>
  <si>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</si>
  <si>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</si>
  <si>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</si>
  <si>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</si>
  <si>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</si>
  <si>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</si>
  <si>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</si>
  <si>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</si>
  <si>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</si>
  <si>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</si>
  <si>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</si>
  <si>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</si>
  <si>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</si>
  <si>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</si>
  <si>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</si>
  <si>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</si>
  <si>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</si>
  <si>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</si>
  <si>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</si>
  <si>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</si>
  <si>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</si>
  <si>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</si>
  <si>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</si>
  <si>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</si>
  <si>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</si>
  <si>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</si>
  <si>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</si>
  <si>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</si>
  <si>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</si>
  <si>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</si>
  <si>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</si>
  <si>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</si>
  <si>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</si>
  <si>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</si>
  <si>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</si>
  <si>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</si>
  <si>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</si>
  <si>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</si>
  <si>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</si>
  <si>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</si>
  <si>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</si>
  <si>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</si>
  <si>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</si>
  <si>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</si>
  <si>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</si>
  <si>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</si>
  <si>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</si>
  <si>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</si>
  <si>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</si>
  <si>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</si>
  <si>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</si>
  <si>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</si>
  <si>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</si>
  <si>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</si>
  <si>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</si>
  <si>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</si>
  <si>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</si>
  <si>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</si>
  <si>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</si>
  <si>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</si>
  <si>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</si>
  <si>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</si>
  <si>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</si>
  <si>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</si>
  <si>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</si>
  <si>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</si>
  <si>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</si>
  <si>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</si>
  <si>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</si>
  <si>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</si>
  <si>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</si>
  <si>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</si>
  <si>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</si>
  <si>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</si>
  <si>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</si>
  <si>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</si>
  <si>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</si>
  <si>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</si>
  <si>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</si>
  <si>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</si>
  <si>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</si>
  <si>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</si>
  <si>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</si>
  <si>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</si>
  <si>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</si>
  <si>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</si>
  <si>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</si>
  <si>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</si>
  <si>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</si>
  <si>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</si>
  <si>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</si>
  <si>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</si>
  <si>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</si>
  <si>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</si>
  <si>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</si>
  <si>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</si>
  <si>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</si>
  <si>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</si>
  <si>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</si>
  <si>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</si>
  <si>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</si>
  <si>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</si>
  <si>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</si>
  <si>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</si>
  <si>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</si>
  <si>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</si>
  <si>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</si>
  <si>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</si>
  <si>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</si>
  <si>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</si>
  <si>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</si>
  <si>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</si>
  <si>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</si>
  <si>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</si>
  <si>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</si>
  <si>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</si>
  <si>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</si>
  <si>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</si>
  <si>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</si>
  <si>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</si>
  <si>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</si>
  <si>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</si>
  <si>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</si>
  <si>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</si>
  <si>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</si>
  <si>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</si>
  <si>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</si>
  <si>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</si>
  <si>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</si>
  <si>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</si>
  <si>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</si>
  <si>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</si>
  <si>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</si>
  <si>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</si>
  <si>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</si>
  <si>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</si>
  <si>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</si>
  <si>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</si>
  <si>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</si>
  <si>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</si>
  <si>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</si>
  <si>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</si>
  <si>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</si>
  <si>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</si>
  <si>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</si>
  <si>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</si>
  <si>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</si>
  <si>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</si>
  <si>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</si>
  <si>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</si>
  <si>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</si>
  <si>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</si>
  <si>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</si>
  <si>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</si>
  <si>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</si>
  <si>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</si>
  <si>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</si>
  <si>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</si>
  <si>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</si>
  <si>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</si>
  <si>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</si>
  <si>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</si>
  <si>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</si>
  <si>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</si>
  <si>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</si>
  <si>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</si>
  <si>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</si>
  <si>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</si>
  <si>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</si>
  <si>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</si>
  <si>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</si>
  <si>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</si>
  <si>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</si>
  <si>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</si>
  <si>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</si>
  <si>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</si>
  <si>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</si>
  <si>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</si>
  <si>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</si>
  <si>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</si>
  <si>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</si>
  <si>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</si>
  <si>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</si>
  <si>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</si>
  <si>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</si>
  <si>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</si>
  <si>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</si>
  <si>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</si>
  <si>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</si>
  <si>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</si>
  <si>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</si>
  <si>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</si>
  <si>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</si>
  <si>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</si>
  <si>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</si>
  <si>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</si>
  <si>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</si>
  <si>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</si>
  <si>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</si>
  <si>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</si>
  <si>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</si>
  <si>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</si>
  <si>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</si>
  <si>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</si>
  <si>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</si>
  <si>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</si>
  <si>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</si>
  <si>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</si>
  <si>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</si>
  <si>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</si>
  <si>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</si>
  <si>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</si>
  <si>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</si>
  <si>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</si>
  <si>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</si>
  <si>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</si>
  <si>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</si>
  <si>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</si>
  <si>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</si>
  <si>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</si>
  <si>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</si>
  <si>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</si>
  <si>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</si>
  <si>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</si>
  <si>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</si>
  <si>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</si>
  <si>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</si>
  <si>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</si>
  <si>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</si>
  <si>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</si>
  <si>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</si>
  <si>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</si>
  <si>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</si>
  <si>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</si>
  <si>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</si>
  <si>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</si>
  <si>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</si>
  <si>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</si>
  <si>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</si>
  <si>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</si>
  <si>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</si>
  <si>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</si>
  <si>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</si>
  <si>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</si>
  <si>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</si>
  <si>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</si>
  <si>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</si>
  <si>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</si>
  <si>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</si>
  <si>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</si>
  <si>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</si>
  <si>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</si>
  <si>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</si>
  <si>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</si>
  <si>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</si>
  <si>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</si>
  <si>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</si>
  <si>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</si>
  <si>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</si>
  <si>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</si>
  <si>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</si>
  <si>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</si>
  <si>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</si>
  <si>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</si>
  <si>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</si>
  <si>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</si>
  <si>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</si>
  <si>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</si>
  <si>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</si>
  <si>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</si>
  <si>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</si>
  <si>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</si>
  <si>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</si>
  <si>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</si>
  <si>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</si>
  <si>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</si>
  <si>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</si>
  <si>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</si>
  <si>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</si>
  <si>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</si>
  <si>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</si>
  <si>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</si>
  <si>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</si>
  <si>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</si>
  <si>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</si>
  <si>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</si>
  <si>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</si>
  <si>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</si>
  <si>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</si>
  <si>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</si>
  <si>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</si>
  <si>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</si>
  <si>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</si>
  <si>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</si>
  <si>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</si>
  <si>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</si>
  <si>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</si>
  <si>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</si>
  <si>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</si>
  <si>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</si>
  <si>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</si>
  <si>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</si>
  <si>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</si>
  <si>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</si>
  <si>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</si>
  <si>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</si>
  <si>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</si>
  <si>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</si>
  <si>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</si>
  <si>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</si>
  <si>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</si>
  <si>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</si>
  <si>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</si>
  <si>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</si>
  <si>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</si>
  <si>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</si>
  <si>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</si>
  <si>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</si>
  <si>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</si>
  <si>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</si>
  <si>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</si>
  <si>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</si>
  <si>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</si>
  <si>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</si>
  <si>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</si>
  <si>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</si>
  <si>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</si>
  <si>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</si>
  <si>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</si>
  <si>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</si>
  <si>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</si>
  <si>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</si>
  <si>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</si>
  <si>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</si>
  <si>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</si>
  <si>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</si>
  <si>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</si>
  <si>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</si>
  <si>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</si>
  <si>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</si>
  <si>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</si>
  <si>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</si>
  <si>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</si>
  <si>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</si>
  <si>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</si>
  <si>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</si>
  <si>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</si>
  <si>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</si>
  <si>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</si>
  <si>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</si>
  <si>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</si>
  <si>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</si>
  <si>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</si>
  <si>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</si>
  <si>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</si>
  <si>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</si>
  <si>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</si>
  <si>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</si>
  <si>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</si>
  <si>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</si>
  <si>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</si>
  <si>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</si>
  <si>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</si>
  <si>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</si>
  <si>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</si>
  <si>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</si>
  <si>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</si>
  <si>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</si>
  <si>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</si>
  <si>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</si>
  <si>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</si>
  <si>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</si>
  <si>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</si>
  <si>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</si>
  <si>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</si>
  <si>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</si>
  <si>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</si>
  <si>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</si>
  <si>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</si>
  <si>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</si>
  <si>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</si>
  <si>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</si>
  <si>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</si>
  <si>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</si>
  <si>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</si>
  <si>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</si>
  <si>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</si>
  <si>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</si>
  <si>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</si>
  <si>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</si>
  <si>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</si>
  <si>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</si>
  <si>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</si>
  <si>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</si>
  <si>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</si>
  <si>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</si>
  <si>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</si>
  <si>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</si>
  <si>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</si>
  <si>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</si>
  <si>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</si>
  <si>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</si>
  <si>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</si>
  <si>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</si>
  <si>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</si>
  <si>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</si>
  <si>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</si>
  <si>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</si>
  <si>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</si>
  <si>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</si>
  <si>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</si>
  <si>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</si>
  <si>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</si>
  <si>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</si>
  <si>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</si>
  <si>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</si>
  <si>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</si>
  <si>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</si>
  <si>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</si>
  <si>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</si>
  <si>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</si>
  <si>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</si>
  <si>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</si>
  <si>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</si>
  <si>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</si>
  <si>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</si>
  <si>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</si>
  <si>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</si>
  <si>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</si>
  <si>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</si>
  <si>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</si>
  <si>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</si>
  <si>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</si>
  <si>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</si>
  <si>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</si>
  <si>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</si>
  <si>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</si>
  <si>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</si>
  <si>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</si>
  <si>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</si>
  <si>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</si>
  <si>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</si>
  <si>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</si>
  <si>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</si>
  <si>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</si>
  <si>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</si>
  <si>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</si>
  <si>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</si>
  <si>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</si>
  <si>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</si>
  <si>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</si>
  <si>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</si>
  <si>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</si>
  <si>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</si>
  <si>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</si>
  <si>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</si>
  <si>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</si>
  <si>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</si>
  <si>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</si>
  <si>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</si>
  <si>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</si>
  <si>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</si>
  <si>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</si>
  <si>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</si>
  <si>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</si>
  <si>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</si>
  <si>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</si>
  <si>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</si>
  <si>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</si>
  <si>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</si>
  <si>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</si>
  <si>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</si>
  <si>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</si>
  <si>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</si>
  <si>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</si>
  <si>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</si>
  <si>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</si>
  <si>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</si>
  <si>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</si>
  <si>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</si>
  <si>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</si>
  <si>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</si>
  <si>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</si>
  <si>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</si>
  <si>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</si>
  <si>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</si>
  <si>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</si>
  <si>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</si>
  <si>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</si>
  <si>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</si>
  <si>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</si>
  <si>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</si>
  <si>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</si>
  <si>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</si>
  <si>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</si>
  <si>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</si>
  <si>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</si>
  <si>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</si>
  <si>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</si>
  <si>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</si>
  <si>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</si>
  <si>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</si>
  <si>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</si>
  <si>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</si>
  <si>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</si>
  <si>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</si>
  <si>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</si>
  <si>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</si>
  <si>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</si>
  <si>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</si>
  <si>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</si>
  <si>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</si>
  <si>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</si>
  <si>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</si>
  <si>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</si>
  <si>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</si>
  <si>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</si>
  <si>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</si>
  <si>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</si>
  <si>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</si>
  <si>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</si>
  <si>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</si>
  <si>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</si>
  <si>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</si>
  <si>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</si>
  <si>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</si>
  <si>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</si>
  <si>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</si>
  <si>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</si>
  <si>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</si>
  <si>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</si>
  <si>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</si>
  <si>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</si>
  <si>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</si>
  <si>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</si>
  <si>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</si>
  <si>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</si>
  <si>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</si>
  <si>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</si>
  <si>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</si>
  <si>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</si>
  <si>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</si>
  <si>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</si>
  <si>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</si>
  <si>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</si>
  <si>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</si>
  <si>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</si>
  <si>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</si>
  <si>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</si>
  <si>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</si>
  <si>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</si>
  <si>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</si>
  <si>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</si>
  <si>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</si>
  <si>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</si>
  <si>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</si>
  <si>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</si>
  <si>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</si>
  <si>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</si>
  <si>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</si>
  <si>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</si>
  <si>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</si>
  <si>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</si>
  <si>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</si>
  <si>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</si>
  <si>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</si>
  <si>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</si>
  <si>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</si>
  <si>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</si>
  <si>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</si>
  <si>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</si>
  <si>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</si>
  <si>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</si>
  <si>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</si>
  <si>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</si>
  <si>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</si>
  <si>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</si>
  <si>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</si>
  <si>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</si>
  <si>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</si>
  <si>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</si>
  <si>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</si>
  <si>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</si>
  <si>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</si>
  <si>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</si>
  <si>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</si>
  <si>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</si>
  <si>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</si>
  <si>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</si>
  <si>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</si>
  <si>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</si>
  <si>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</si>
  <si>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</si>
  <si>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</si>
  <si>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</si>
  <si>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</si>
  <si>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</si>
  <si>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</si>
  <si>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</si>
  <si>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</si>
  <si>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</si>
  <si>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</si>
  <si>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</si>
  <si>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</si>
  <si>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</si>
  <si>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</si>
  <si>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</si>
  <si>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</si>
  <si>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</si>
  <si>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</si>
  <si>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</si>
  <si>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</si>
  <si>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</si>
  <si>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</si>
  <si>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</si>
  <si>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</si>
  <si>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</si>
  <si>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</si>
  <si>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</si>
  <si>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</si>
  <si>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</si>
  <si>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</si>
  <si>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</si>
  <si>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</si>
  <si>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</si>
  <si>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</si>
  <si>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</si>
  <si>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</si>
  <si>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</si>
  <si>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</si>
  <si>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</si>
  <si>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</si>
  <si>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</si>
  <si>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</si>
  <si>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</si>
  <si>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</si>
  <si>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</si>
  <si>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</si>
  <si>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</si>
  <si>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</si>
  <si>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</si>
  <si>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</si>
  <si>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</si>
  <si>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</si>
  <si>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</si>
  <si>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</si>
  <si>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</si>
  <si>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</si>
  <si>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</si>
  <si>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</si>
  <si>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</si>
  <si>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</si>
  <si>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</si>
  <si>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</si>
  <si>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</si>
  <si>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</si>
  <si>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</si>
  <si>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</si>
  <si>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</si>
  <si>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</si>
  <si>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</si>
  <si>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</si>
  <si>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</si>
  <si>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</si>
  <si>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</si>
  <si>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</si>
  <si>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</si>
  <si>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</si>
  <si>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</si>
  <si>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</si>
  <si>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</si>
  <si>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</si>
  <si>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</si>
  <si>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</si>
  <si>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</si>
  <si>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</si>
  <si>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</si>
  <si>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</si>
  <si>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</si>
  <si>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</si>
  <si>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</si>
  <si>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</si>
  <si>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</si>
  <si>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</si>
  <si>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</si>
  <si>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</si>
  <si>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</si>
  <si>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</si>
  <si>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</si>
  <si>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</si>
  <si>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</si>
  <si>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</si>
  <si>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</si>
  <si>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</si>
  <si>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</si>
  <si>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</si>
  <si>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</si>
  <si>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</si>
  <si>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</si>
  <si>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</si>
  <si>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</si>
  <si>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</si>
  <si>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</si>
  <si>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</si>
  <si>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</si>
  <si>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</si>
  <si>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</si>
  <si>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</si>
  <si>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</si>
  <si>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</si>
  <si>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</si>
  <si>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</si>
  <si>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</si>
  <si>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</si>
  <si>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</si>
  <si>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</si>
  <si>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</si>
  <si>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</si>
  <si>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</si>
  <si>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</si>
  <si>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</si>
  <si>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</si>
  <si>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</si>
  <si>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</si>
  <si>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</si>
  <si>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</si>
  <si>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</si>
  <si>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</si>
  <si>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</si>
  <si>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</si>
  <si>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</si>
  <si>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</si>
  <si>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</si>
  <si>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</si>
  <si>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</si>
  <si>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</si>
  <si>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</si>
  <si>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</si>
  <si>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</si>
  <si>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</si>
  <si>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</si>
  <si>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</si>
  <si>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</si>
  <si>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</si>
  <si>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</si>
  <si>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</si>
  <si>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</si>
  <si>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</si>
  <si>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</si>
  <si>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</si>
  <si>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</si>
  <si>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</si>
  <si>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</si>
  <si>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</si>
  <si>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</si>
  <si>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</si>
  <si>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</si>
  <si>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</si>
  <si>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</si>
  <si>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</si>
  <si>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</si>
  <si>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</si>
  <si>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</si>
  <si>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</si>
  <si>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</si>
  <si>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</si>
  <si>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</si>
  <si>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</si>
  <si>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</si>
  <si>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</si>
  <si>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</si>
  <si>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</si>
  <si>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</si>
  <si>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</si>
  <si>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</si>
  <si>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</si>
  <si>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</si>
  <si>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</si>
  <si>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</si>
  <si>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</si>
  <si>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</si>
  <si>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</si>
  <si>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</si>
  <si>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</si>
  <si>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</si>
  <si>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</si>
  <si>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</si>
  <si>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</si>
  <si>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</si>
  <si>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</si>
  <si>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</si>
  <si>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</si>
  <si>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</si>
  <si>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</si>
  <si>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</si>
  <si>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</si>
  <si>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</si>
  <si>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</si>
  <si>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</si>
  <si>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</si>
  <si>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</si>
  <si>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</si>
  <si>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</si>
  <si>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</si>
  <si>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</si>
  <si>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</si>
  <si>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</si>
  <si>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</si>
  <si>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</si>
  <si>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</si>
  <si>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</si>
  <si>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</si>
  <si>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</si>
  <si>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</si>
  <si>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</si>
  <si>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</si>
  <si>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</si>
  <si>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</si>
  <si>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</si>
  <si>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</si>
  <si>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</si>
  <si>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</si>
  <si>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</si>
  <si>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</si>
  <si>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</si>
  <si>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</si>
  <si>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</si>
  <si>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</si>
  <si>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</si>
  <si>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</si>
  <si>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</si>
  <si>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</si>
  <si>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</si>
  <si>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</si>
  <si>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</si>
  <si>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</si>
  <si>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</si>
  <si>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</si>
  <si>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</si>
  <si>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</si>
  <si>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</si>
  <si>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</si>
  <si>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</si>
  <si>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</si>
  <si>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</si>
  <si>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</si>
  <si>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</si>
  <si>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</si>
  <si>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</si>
  <si>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</si>
  <si>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</si>
  <si>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</si>
  <si>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</si>
  <si>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</si>
  <si>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</si>
  <si>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</si>
  <si>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</si>
  <si>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</si>
  <si>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</si>
  <si>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</si>
  <si>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</si>
  <si>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</si>
  <si>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</si>
  <si>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</si>
  <si>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</si>
  <si>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</si>
  <si>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</si>
  <si>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</si>
  <si>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</si>
  <si>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</si>
  <si>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</si>
  <si>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</si>
  <si>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</si>
  <si>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</si>
  <si>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</si>
  <si>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</si>
  <si>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</si>
  <si>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</si>
  <si>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</si>
  <si>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</si>
  <si>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</si>
  <si>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</si>
  <si>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</si>
  <si>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</si>
  <si>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</si>
  <si>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</si>
  <si>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</si>
  <si>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</si>
  <si>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</si>
  <si>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</si>
  <si>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</si>
  <si>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</si>
  <si>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</si>
  <si>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</si>
  <si>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</si>
  <si>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</si>
  <si>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</si>
  <si>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</si>
  <si>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</si>
  <si>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</si>
  <si>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</si>
  <si>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</si>
  <si>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</si>
  <si>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</si>
  <si>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</si>
  <si>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</si>
  <si>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</si>
  <si>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</si>
  <si>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</si>
  <si>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</si>
  <si>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</si>
  <si>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</si>
  <si>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</si>
  <si>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</si>
  <si>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</si>
  <si>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</si>
  <si>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</si>
  <si>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</si>
  <si>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</si>
  <si>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</si>
  <si>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</si>
  <si>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</si>
  <si>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</si>
  <si>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</si>
  <si>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</si>
  <si>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</si>
  <si>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</si>
  <si>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</si>
  <si>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</si>
  <si>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</si>
  <si>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</si>
  <si>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</si>
  <si>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</si>
  <si>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</si>
  <si>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</si>
  <si>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</si>
  <si>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</si>
  <si>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</si>
  <si>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</si>
  <si>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</si>
  <si>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</si>
  <si>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</si>
  <si>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</si>
  <si>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</si>
  <si>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</si>
  <si>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</si>
  <si>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</si>
  <si>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</si>
  <si>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</si>
  <si>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</si>
  <si>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</si>
  <si>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</si>
  <si>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</si>
  <si>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</si>
  <si>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</si>
  <si>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</si>
  <si>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</si>
  <si>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</si>
  <si>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</si>
  <si>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</si>
  <si>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</si>
  <si>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</si>
  <si>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</si>
  <si>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</si>
  <si>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</si>
  <si>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</si>
  <si>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</si>
  <si>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</si>
  <si>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</si>
  <si>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</si>
  <si>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</si>
  <si>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</si>
  <si>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</si>
  <si>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</si>
  <si>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</si>
  <si>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</si>
  <si>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</si>
  <si>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</si>
  <si>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</si>
  <si>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</si>
  <si>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</si>
  <si>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</si>
  <si>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</si>
  <si>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</si>
  <si>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</si>
  <si>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</si>
  <si>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</si>
  <si>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</si>
  <si>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</si>
  <si>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</si>
  <si>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</si>
  <si>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</si>
  <si>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</si>
  <si>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</si>
  <si>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</si>
  <si>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</si>
  <si>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</si>
  <si>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</si>
  <si>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</si>
  <si>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</si>
  <si>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</si>
  <si>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</si>
  <si>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</si>
  <si>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</si>
  <si>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</si>
  <si>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</si>
  <si>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</si>
  <si>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</si>
  <si>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</si>
  <si>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</si>
  <si>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</si>
  <si>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</si>
  <si>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</si>
  <si>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</si>
  <si>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</si>
  <si>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</si>
  <si>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</si>
  <si>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</si>
  <si>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</si>
  <si>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</si>
  <si>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</si>
  <si>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</si>
  <si>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</si>
  <si>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</si>
  <si>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</si>
  <si>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</si>
  <si>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</si>
  <si>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</si>
  <si>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</si>
  <si>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</si>
  <si>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</si>
  <si>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</si>
  <si>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</si>
  <si>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</si>
  <si>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</si>
  <si>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</si>
  <si>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</si>
  <si>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</si>
  <si>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</si>
  <si>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</si>
  <si>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</si>
  <si>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</si>
  <si>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</si>
  <si>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</si>
  <si>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</si>
  <si>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</si>
  <si>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</si>
  <si>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</si>
  <si>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</si>
  <si>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</si>
  <si>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</si>
  <si>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</si>
  <si>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</si>
  <si>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</si>
  <si>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</si>
  <si>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</si>
  <si>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</si>
  <si>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</si>
  <si>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</si>
  <si>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</si>
  <si>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</si>
  <si>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</si>
  <si>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</si>
  <si>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</si>
  <si>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</si>
  <si>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</si>
  <si>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</si>
  <si>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</si>
  <si>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</si>
  <si>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</si>
  <si>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</si>
  <si>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</si>
  <si>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</si>
  <si>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</si>
  <si>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</si>
  <si>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</si>
  <si>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</si>
  <si>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</si>
  <si>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</si>
  <si>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</si>
  <si>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</si>
  <si>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</si>
  <si>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</si>
  <si>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</si>
  <si>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</si>
  <si>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</si>
  <si>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</si>
  <si>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</si>
  <si>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</si>
  <si>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</si>
  <si>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</si>
  <si>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</si>
  <si>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</si>
  <si>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</si>
  <si>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</si>
  <si>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</si>
  <si>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</si>
  <si>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</si>
  <si>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</si>
  <si>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</si>
  <si>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</si>
  <si>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</si>
  <si>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</si>
  <si>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</si>
  <si>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</si>
  <si>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</si>
  <si>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</si>
  <si>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</si>
  <si>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</si>
  <si>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</si>
  <si>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</si>
  <si>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</si>
  <si>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</si>
  <si>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</si>
  <si>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</si>
  <si>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</si>
  <si>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</si>
  <si>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</si>
  <si>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</si>
  <si>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</si>
  <si>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</si>
  <si>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</si>
  <si>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</si>
  <si>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</si>
  <si>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</si>
  <si>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</si>
  <si>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</si>
  <si>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</si>
  <si>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</si>
  <si>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</si>
  <si>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</si>
  <si>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</si>
  <si>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</si>
  <si>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</si>
  <si>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</si>
  <si>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</si>
  <si>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</si>
  <si>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</si>
  <si>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</si>
  <si>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</si>
  <si>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</si>
  <si>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</si>
  <si>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</si>
  <si>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</si>
  <si>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</si>
  <si>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</si>
  <si>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</si>
  <si>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</si>
  <si>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</si>
  <si>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</si>
  <si>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</si>
  <si>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</si>
  <si>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</si>
  <si>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</si>
  <si>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</si>
  <si>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</si>
  <si>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</si>
  <si>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</si>
  <si>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</si>
  <si>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</si>
  <si>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</si>
  <si>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</si>
  <si>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</si>
  <si>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</si>
  <si>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</si>
  <si>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</si>
  <si>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</si>
  <si>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</si>
  <si>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</si>
  <si>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</si>
  <si>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</si>
  <si>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</si>
  <si>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</si>
  <si>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</si>
  <si>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</si>
  <si>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</si>
  <si>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</si>
  <si>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</si>
  <si>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</si>
  <si>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</si>
  <si>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</si>
  <si>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</si>
  <si>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</si>
  <si>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</si>
  <si>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</si>
  <si>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</si>
  <si>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</si>
  <si>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</si>
  <si>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</si>
  <si>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</si>
  <si>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</si>
  <si>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</si>
  <si>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</si>
  <si>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</si>
  <si>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</si>
  <si>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</si>
  <si>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</si>
  <si>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</si>
  <si>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</si>
  <si>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</si>
  <si>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</si>
  <si>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</si>
  <si>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</si>
  <si>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</si>
  <si>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</si>
  <si>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</si>
  <si>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</si>
  <si>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</si>
  <si>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</si>
  <si>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</si>
  <si>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</si>
  <si>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</si>
  <si>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</si>
  <si>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</si>
  <si>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</si>
  <si>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</si>
  <si>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</si>
  <si>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</si>
  <si>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</si>
  <si>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</si>
  <si>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</si>
  <si>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</si>
  <si>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</si>
  <si>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</si>
  <si>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</si>
  <si>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</si>
  <si>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</si>
  <si>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</si>
  <si>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</si>
  <si>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</si>
  <si>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</si>
  <si>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</si>
  <si>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</si>
  <si>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</si>
  <si>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</si>
  <si>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</si>
  <si>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</si>
  <si>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</si>
  <si>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</si>
  <si>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</si>
  <si>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</si>
  <si>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</si>
  <si>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</si>
  <si>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</si>
  <si>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</si>
  <si>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</si>
  <si>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</si>
  <si>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</si>
  <si>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</si>
  <si>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</si>
  <si>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</si>
  <si>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</si>
  <si>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</si>
  <si>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</si>
  <si>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</si>
  <si>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</si>
  <si>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</si>
  <si>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</si>
  <si>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</si>
  <si>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</si>
  <si>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</si>
  <si>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</si>
  <si>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</si>
  <si>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</si>
  <si>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</si>
  <si>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</si>
  <si>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</si>
  <si>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</si>
  <si>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</si>
  <si>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</si>
  <si>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</si>
  <si>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</si>
  <si>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</si>
  <si>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</si>
  <si>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</si>
  <si>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</si>
  <si>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</si>
  <si>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</si>
  <si>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</si>
  <si>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</si>
  <si>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</si>
  <si>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</si>
  <si>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</si>
  <si>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</si>
  <si>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</si>
  <si>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</si>
  <si>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</si>
  <si>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</si>
  <si>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</si>
  <si>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</si>
  <si>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</si>
  <si>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</si>
  <si>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</si>
  <si>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</si>
  <si>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</si>
  <si>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</si>
  <si>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</si>
  <si>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</si>
  <si>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</si>
  <si>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</si>
  <si>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</si>
  <si>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</si>
  <si>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</si>
  <si>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</si>
  <si>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</si>
  <si>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</si>
  <si>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</si>
  <si>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</si>
  <si>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</si>
  <si>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</si>
  <si>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</si>
  <si>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</si>
  <si>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</si>
  <si>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</si>
  <si>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</si>
  <si>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</si>
  <si>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</si>
  <si>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</si>
  <si>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</si>
  <si>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</si>
  <si>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</si>
  <si>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</si>
  <si>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</si>
  <si>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</si>
  <si>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</si>
  <si>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</si>
  <si>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</si>
  <si>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</si>
  <si>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</si>
  <si>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</si>
  <si>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</si>
  <si>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</si>
  <si>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</si>
  <si>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</si>
  <si>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</si>
  <si>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</si>
  <si>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</si>
  <si>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</si>
  <si>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</si>
  <si>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</si>
  <si>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</si>
  <si>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</si>
  <si>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</si>
  <si>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</si>
  <si>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</si>
  <si>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</si>
  <si>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</si>
  <si>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</si>
  <si>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</si>
  <si>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</si>
  <si>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</si>
  <si>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</si>
  <si>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</si>
  <si>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</si>
  <si>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</si>
  <si>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</si>
  <si>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</si>
  <si>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</si>
  <si>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</si>
  <si>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</si>
  <si>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</si>
  <si>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</si>
  <si>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</si>
  <si>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</si>
  <si>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</si>
  <si>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</si>
  <si>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</si>
  <si>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</si>
  <si>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</si>
  <si>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</si>
  <si>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</si>
  <si>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</si>
  <si>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</si>
  <si>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</si>
  <si>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</si>
  <si>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</si>
  <si>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</si>
  <si>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</si>
  <si>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</si>
  <si>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</si>
  <si>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</si>
  <si>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</si>
  <si>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</si>
  <si>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</si>
  <si>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</si>
  <si>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</si>
  <si>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</si>
  <si>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</si>
  <si>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</si>
  <si>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</si>
  <si>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</si>
  <si>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</si>
  <si>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</si>
  <si>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</si>
  <si>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</si>
  <si>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</si>
  <si>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</si>
  <si>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</si>
  <si>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</si>
  <si>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</si>
  <si>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</si>
  <si>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</si>
  <si>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</si>
  <si>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</si>
  <si>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</si>
  <si>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</si>
  <si>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</si>
  <si>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</si>
  <si>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</si>
  <si>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</si>
  <si>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</si>
  <si>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</si>
  <si>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</si>
  <si>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</si>
  <si>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</si>
  <si>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</si>
  <si>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</si>
  <si>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</si>
  <si>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</si>
  <si>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</si>
  <si>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</si>
  <si>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</si>
  <si>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</si>
  <si>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</si>
  <si>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</si>
  <si>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</si>
  <si>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</si>
  <si>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</si>
  <si>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</si>
  <si>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</si>
  <si>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</si>
  <si>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</si>
  <si>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</si>
  <si>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</si>
  <si>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</si>
  <si>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</si>
  <si>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</si>
  <si>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</si>
  <si>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</si>
  <si>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</si>
  <si>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</si>
  <si>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</si>
  <si>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</si>
  <si>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</si>
  <si>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</si>
  <si>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</si>
  <si>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</si>
  <si>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</si>
  <si>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</si>
  <si>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</si>
  <si>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</si>
  <si>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</si>
  <si>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</si>
  <si>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</si>
  <si>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</si>
  <si>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</si>
  <si>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</si>
  <si>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</si>
  <si>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</si>
  <si>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</si>
  <si>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</si>
  <si>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</si>
  <si>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</si>
  <si>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</si>
  <si>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</si>
  <si>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</si>
  <si>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</si>
  <si>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</si>
  <si>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</si>
  <si>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</si>
  <si>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</si>
  <si>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</si>
  <si>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</si>
  <si>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</si>
  <si>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</si>
  <si>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</si>
  <si>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</si>
  <si>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</si>
  <si>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</si>
  <si>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</si>
  <si>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</si>
  <si>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</si>
  <si>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</si>
  <si>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</si>
  <si>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</si>
  <si>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</si>
  <si>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</si>
  <si>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</si>
  <si>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</si>
  <si>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</si>
  <si>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</si>
  <si>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</si>
  <si>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</si>
  <si>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</si>
  <si>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</si>
  <si>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</si>
  <si>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</si>
  <si>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</si>
  <si>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</si>
  <si>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</si>
  <si>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</si>
  <si>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</si>
  <si>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</si>
  <si>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</si>
  <si>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</si>
  <si>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</si>
  <si>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</si>
  <si>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</si>
  <si>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</si>
  <si>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</si>
  <si>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</si>
  <si>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</si>
  <si>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</si>
  <si>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</si>
  <si>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</si>
  <si>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</si>
  <si>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</si>
  <si>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</si>
  <si>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</si>
  <si>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</si>
  <si>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</si>
  <si>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</si>
  <si>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</si>
  <si>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</si>
  <si>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</si>
  <si>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</si>
  <si>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</si>
  <si>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</si>
  <si>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</si>
  <si>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</si>
  <si>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</si>
  <si>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</si>
  <si>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</si>
  <si>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</si>
  <si>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</si>
  <si>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</si>
  <si>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</si>
  <si>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</si>
  <si>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</si>
  <si>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</si>
  <si>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</si>
  <si>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</si>
  <si>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</si>
  <si>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</si>
  <si>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</si>
  <si>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</si>
  <si>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</si>
  <si>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</si>
  <si>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</si>
  <si>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</si>
  <si>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</si>
  <si>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</si>
  <si>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</si>
  <si>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</si>
  <si>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</si>
  <si>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</si>
  <si>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</si>
  <si>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</si>
  <si>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</si>
  <si>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</si>
  <si>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</si>
  <si>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</si>
  <si>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</si>
  <si>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</si>
  <si>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</si>
  <si>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</si>
  <si>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</si>
  <si>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</si>
  <si>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</si>
  <si>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</si>
  <si>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</si>
  <si>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</si>
  <si>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</si>
  <si>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</si>
  <si>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</si>
  <si>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</si>
  <si>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</si>
  <si>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</si>
  <si>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</si>
  <si>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</si>
  <si>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</si>
  <si>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</si>
  <si>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</si>
  <si>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</si>
  <si>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</si>
  <si>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</si>
  <si>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</si>
  <si>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</si>
  <si>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</si>
  <si>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</si>
  <si>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</si>
  <si>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</si>
  <si>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</si>
  <si>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</si>
  <si>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</si>
  <si>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</si>
  <si>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</si>
  <si>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</si>
  <si>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</si>
  <si>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</si>
  <si>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</si>
  <si>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</si>
  <si>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</si>
  <si>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</si>
  <si>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</si>
  <si>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</si>
  <si>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</si>
  <si>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</si>
  <si>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</si>
  <si>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</si>
  <si>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</si>
  <si>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</si>
  <si>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</si>
  <si>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</si>
  <si>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</si>
  <si>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</si>
  <si>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</si>
  <si>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</si>
  <si>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</si>
  <si>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</si>
  <si>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</si>
  <si>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</si>
  <si>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</si>
  <si>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</si>
  <si>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</si>
  <si>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</si>
  <si>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</si>
  <si>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</si>
  <si>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</si>
  <si>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</si>
  <si>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</si>
  <si>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</si>
  <si>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</si>
  <si>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</si>
  <si>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</si>
  <si>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</si>
  <si>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</si>
  <si>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</si>
  <si>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</si>
  <si>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</si>
  <si>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</si>
  <si>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</si>
  <si>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</si>
  <si>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</si>
  <si>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</si>
  <si>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</si>
  <si>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</si>
  <si>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</si>
  <si>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</si>
  <si>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</si>
  <si>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</si>
  <si>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</si>
  <si>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</si>
  <si>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</si>
  <si>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</si>
  <si>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</si>
  <si>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</si>
  <si>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</si>
  <si>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</si>
  <si>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</si>
  <si>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</si>
  <si>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</si>
  <si>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</si>
  <si>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</si>
  <si>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</si>
  <si>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</si>
  <si>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</si>
  <si>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</si>
  <si>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</si>
  <si>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</si>
  <si>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</si>
  <si>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</si>
  <si>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</si>
  <si>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</si>
  <si>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</si>
  <si>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</si>
  <si>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</si>
  <si>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</si>
  <si>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</si>
  <si>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</si>
  <si>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</si>
  <si>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</si>
  <si>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</si>
  <si>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</si>
  <si>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</si>
  <si>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</si>
  <si>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</si>
  <si>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</si>
  <si>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</si>
  <si>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</si>
  <si>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</si>
  <si>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</si>
  <si>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</si>
  <si>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</si>
  <si>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</si>
  <si>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</si>
  <si>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</si>
  <si>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</si>
  <si>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</si>
  <si>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</si>
  <si>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</si>
  <si>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</si>
  <si>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</si>
  <si>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</si>
  <si>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</si>
  <si>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</si>
  <si>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</si>
  <si>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</si>
  <si>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</si>
  <si>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</si>
  <si>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</si>
  <si>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</si>
  <si>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</si>
  <si>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</si>
  <si>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</si>
  <si>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</si>
  <si>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</si>
  <si>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</si>
  <si>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</si>
  <si>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</si>
  <si>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</si>
  <si>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</si>
  <si>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</si>
  <si>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</si>
  <si>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</si>
  <si>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</si>
  <si>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</si>
  <si>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</si>
  <si>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</si>
  <si>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</si>
  <si>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</si>
  <si>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</si>
  <si>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</si>
  <si>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</si>
  <si>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</si>
  <si>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</si>
  <si>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</si>
  <si>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</si>
  <si>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</si>
  <si>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</si>
  <si>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</si>
  <si>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</si>
  <si>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</si>
  <si>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</si>
  <si>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</si>
  <si>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</si>
  <si>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</si>
  <si>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</si>
  <si>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</si>
  <si>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</si>
  <si>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</si>
  <si>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</si>
  <si>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</si>
  <si>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</si>
  <si>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</si>
  <si>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</si>
  <si>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</si>
  <si>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</si>
  <si>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</si>
  <si>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</si>
  <si>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</si>
  <si>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</si>
  <si>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</si>
  <si>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</si>
  <si>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</si>
  <si>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</si>
  <si>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</si>
  <si>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</si>
  <si>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</si>
  <si>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</si>
  <si>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</si>
  <si>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</si>
  <si>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</si>
  <si>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</si>
  <si>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</si>
  <si>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</si>
  <si>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</si>
  <si>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</si>
  <si>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</si>
  <si>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</si>
  <si>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</si>
  <si>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</si>
  <si>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</si>
  <si>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</si>
  <si>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</si>
  <si>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</si>
  <si>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</si>
  <si>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</si>
  <si>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</si>
  <si>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</si>
  <si>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</si>
  <si>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</si>
  <si>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</si>
  <si>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</si>
  <si>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</si>
  <si>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</si>
  <si>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</si>
  <si>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</si>
  <si>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</si>
  <si>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</si>
  <si>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</si>
  <si>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</si>
  <si>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</si>
  <si>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</si>
  <si>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</si>
  <si>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</si>
  <si>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</si>
  <si>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</si>
  <si>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</si>
  <si>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</si>
  <si>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</si>
  <si>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</si>
  <si>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</si>
  <si>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</si>
  <si>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</si>
  <si>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</si>
  <si>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</si>
  <si>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</si>
  <si>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</si>
  <si>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</si>
  <si>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</si>
  <si>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</si>
  <si>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</si>
  <si>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</si>
  <si>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</si>
  <si>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</si>
  <si>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</si>
  <si>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</si>
  <si>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</si>
  <si>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</si>
  <si>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</si>
  <si>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</si>
  <si>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</si>
  <si>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</si>
  <si>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</si>
  <si>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</si>
  <si>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</si>
  <si>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</si>
  <si>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</si>
  <si>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</si>
  <si>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</si>
  <si>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</si>
  <si>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</si>
  <si>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</si>
  <si>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</si>
  <si>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</si>
  <si>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</si>
  <si>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</si>
  <si>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</si>
  <si>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</si>
  <si>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</si>
  <si>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</si>
  <si>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</si>
  <si>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</si>
  <si>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</si>
  <si>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</si>
  <si>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</si>
  <si>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</si>
  <si>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</si>
  <si>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</si>
  <si>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</si>
  <si>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</si>
  <si>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</si>
  <si>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</si>
  <si>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</si>
  <si>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</si>
  <si>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</si>
  <si>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</si>
  <si>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</si>
  <si>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</si>
  <si>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</si>
  <si>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</si>
  <si>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</si>
  <si>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</si>
  <si>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</si>
  <si>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</si>
  <si>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</si>
  <si>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</si>
  <si>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</si>
  <si>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</si>
  <si>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</si>
  <si>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</si>
  <si>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</si>
  <si>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</si>
  <si>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</si>
  <si>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</si>
  <si>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</si>
  <si>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</si>
  <si>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</si>
  <si>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</si>
  <si>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</si>
  <si>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</si>
  <si>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</si>
  <si>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</si>
  <si>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</si>
  <si>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</si>
  <si>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</si>
  <si>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</si>
  <si>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</si>
  <si>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</si>
  <si>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</si>
  <si>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</si>
  <si>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</si>
  <si>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</si>
  <si>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</si>
  <si>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</si>
  <si>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</si>
  <si>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</si>
  <si>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</si>
  <si>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</si>
  <si>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</si>
  <si>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</si>
  <si>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</si>
  <si>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</si>
  <si>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</si>
  <si>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</si>
  <si>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</si>
  <si>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</si>
  <si>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</si>
  <si>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</si>
  <si>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</si>
  <si>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</si>
  <si>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</si>
  <si>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</si>
  <si>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</si>
  <si>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</si>
  <si>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</si>
  <si>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</si>
  <si>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</si>
  <si>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</si>
  <si>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</si>
  <si>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</si>
  <si>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</si>
  <si>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</si>
  <si>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</si>
  <si>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</si>
  <si>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</si>
  <si>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</si>
  <si>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</si>
  <si>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</si>
  <si>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</si>
  <si>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</si>
  <si>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</si>
  <si>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</si>
  <si>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</si>
  <si>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</si>
  <si>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</si>
  <si>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</si>
  <si>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</si>
  <si>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</si>
  <si>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</si>
  <si>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</si>
  <si>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</si>
  <si>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</si>
  <si>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</si>
  <si>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</si>
  <si>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</si>
  <si>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</si>
  <si>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</si>
  <si>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</si>
  <si>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</si>
  <si>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</si>
  <si>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</si>
  <si>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</si>
  <si>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</si>
  <si>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</si>
  <si>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</si>
  <si>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</si>
  <si>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</si>
  <si>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</si>
  <si>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</si>
  <si>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</si>
  <si>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</si>
  <si>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</si>
  <si>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</si>
  <si>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</si>
  <si>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</si>
  <si>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</si>
  <si>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</si>
  <si>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</si>
  <si>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</si>
  <si>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</si>
  <si>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</si>
  <si>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</si>
  <si>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</si>
  <si>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</si>
  <si>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</si>
  <si>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</si>
  <si>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</si>
  <si>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</si>
  <si>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</si>
  <si>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</si>
  <si>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</si>
  <si>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</si>
  <si>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</si>
  <si>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</si>
  <si>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</si>
  <si>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</si>
  <si>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</si>
  <si>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</si>
  <si>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</si>
  <si>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</si>
  <si>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</si>
  <si>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</si>
  <si>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</si>
  <si>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</si>
  <si>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</si>
  <si>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</si>
  <si>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</si>
  <si>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</si>
  <si>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</si>
  <si>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</si>
  <si>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</si>
  <si>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</si>
  <si>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</si>
  <si>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</si>
  <si>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</si>
  <si>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</si>
  <si>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</si>
  <si>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</si>
  <si>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</si>
  <si>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</si>
  <si>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</si>
  <si>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</si>
  <si>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</si>
  <si>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</si>
  <si>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</si>
  <si>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</si>
  <si>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</si>
  <si>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</si>
  <si>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</si>
  <si>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</si>
  <si>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</si>
  <si>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</si>
  <si>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</si>
  <si>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</si>
  <si>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</si>
  <si>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</si>
  <si>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</si>
  <si>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</si>
  <si>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</si>
  <si>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</si>
  <si>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</si>
  <si>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</si>
  <si>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</si>
  <si>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</si>
  <si>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</si>
  <si>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</si>
  <si>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</si>
  <si>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</si>
  <si>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</si>
  <si>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</si>
  <si>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</si>
  <si>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</si>
  <si>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</si>
  <si>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</si>
  <si>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</si>
  <si>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</si>
  <si>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</si>
  <si>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</si>
  <si>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</si>
  <si>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</si>
  <si>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</si>
  <si>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</si>
  <si>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</si>
  <si>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</si>
  <si>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</si>
  <si>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</si>
  <si>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</si>
  <si>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</si>
  <si>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</si>
  <si>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</si>
  <si>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</si>
  <si>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</si>
  <si>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</si>
  <si>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</si>
  <si>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</si>
  <si>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</si>
  <si>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</si>
  <si>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</si>
  <si>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</si>
  <si>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</si>
  <si>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</si>
  <si>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</si>
  <si>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</si>
  <si>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</si>
  <si>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</si>
  <si>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</si>
  <si>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</si>
  <si>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</si>
  <si>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</si>
  <si>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</si>
  <si>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</si>
  <si>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</si>
  <si>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</si>
  <si>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</si>
  <si>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</si>
  <si>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</si>
  <si>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</si>
  <si>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</si>
  <si>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</si>
  <si>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</si>
  <si>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</si>
  <si>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</si>
  <si>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</si>
  <si>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</si>
  <si>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</si>
  <si>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</si>
  <si>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</si>
  <si>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</si>
  <si>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</si>
  <si>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</si>
  <si>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</si>
  <si>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</si>
  <si>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</si>
  <si>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</si>
  <si>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</si>
  <si>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</si>
  <si>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</si>
  <si>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</si>
  <si>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</si>
  <si>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</si>
  <si>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</si>
  <si>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</si>
  <si>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</si>
  <si>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</si>
  <si>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</si>
  <si>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</si>
  <si>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</si>
  <si>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</si>
  <si>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</si>
  <si>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</si>
  <si>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</si>
  <si>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</si>
  <si>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</si>
  <si>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</si>
  <si>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</si>
  <si>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</si>
  <si>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</si>
  <si>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</si>
  <si>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</si>
  <si>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</si>
  <si>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</si>
  <si>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</si>
  <si>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</si>
  <si>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</si>
  <si>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</si>
  <si>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</si>
  <si>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</si>
  <si>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</si>
  <si>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</si>
  <si>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</si>
  <si>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</si>
  <si>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</si>
  <si>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</si>
  <si>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</si>
  <si>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</si>
  <si>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</si>
  <si>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</si>
  <si>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</si>
  <si>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</si>
  <si>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</si>
  <si>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</si>
  <si>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</si>
  <si>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</si>
  <si>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</si>
  <si>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</si>
  <si>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</si>
  <si>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</si>
  <si>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</si>
  <si>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</si>
  <si>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</si>
  <si>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</si>
  <si>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</si>
  <si>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</si>
  <si>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</si>
  <si>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</si>
  <si>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</si>
  <si>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</si>
  <si>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</si>
  <si>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</si>
  <si>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</si>
  <si>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</si>
  <si>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</si>
  <si>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</si>
  <si>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</si>
  <si>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</si>
  <si>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</si>
  <si>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</si>
  <si>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</si>
  <si>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</si>
  <si>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</si>
  <si>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</si>
  <si>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</si>
  <si>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</si>
  <si>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</si>
  <si>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</si>
  <si>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</si>
  <si>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</si>
  <si>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</si>
  <si>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</si>
  <si>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</si>
  <si>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</si>
  <si>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</si>
  <si>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</si>
  <si>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</si>
  <si>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</si>
  <si>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</si>
  <si>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</si>
  <si>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</si>
  <si>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</si>
  <si>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</si>
  <si>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</si>
  <si>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</si>
  <si>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</si>
  <si>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</si>
  <si>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</si>
  <si>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</si>
  <si>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</si>
  <si>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</si>
  <si>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</si>
  <si>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</si>
  <si>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</si>
  <si>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</si>
  <si>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</si>
  <si>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</si>
  <si>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</si>
  <si>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</si>
  <si>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</si>
  <si>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</si>
  <si>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</si>
  <si>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</si>
  <si>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</si>
  <si>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</si>
  <si>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</si>
  <si>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</si>
  <si>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</si>
  <si>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</si>
  <si>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</si>
  <si>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</si>
  <si>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</si>
  <si>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</si>
  <si>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</si>
  <si>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</si>
  <si>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</si>
  <si>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</si>
  <si>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</si>
  <si>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</si>
  <si>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</si>
  <si>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</si>
  <si>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</si>
  <si>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</si>
  <si>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</si>
  <si>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</si>
  <si>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</si>
  <si>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</si>
  <si>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</si>
  <si>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</si>
  <si>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</si>
  <si>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</si>
  <si>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</si>
  <si>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</si>
  <si>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</si>
  <si>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</si>
  <si>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</si>
  <si>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</si>
  <si>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</si>
  <si>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</si>
  <si>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</si>
  <si>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</si>
  <si>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</si>
  <si>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</si>
  <si>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</si>
  <si>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</si>
  <si>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</si>
  <si>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</si>
  <si>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</si>
  <si>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</si>
  <si>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</si>
  <si>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</si>
  <si>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</si>
  <si>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</si>
  <si>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</si>
  <si>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</si>
  <si>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</si>
  <si>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</si>
  <si>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</si>
  <si>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</si>
  <si>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</si>
  <si>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</si>
  <si>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</si>
  <si>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</si>
  <si>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</si>
  <si>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</si>
  <si>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</si>
  <si>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</si>
  <si>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</si>
  <si>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</si>
  <si>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</si>
  <si>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</si>
  <si>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</si>
  <si>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</si>
  <si>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</si>
  <si>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</si>
  <si>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</si>
  <si>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</si>
  <si>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</si>
  <si>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</si>
  <si>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</si>
  <si>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</si>
  <si>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</si>
  <si>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</si>
  <si>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</si>
  <si>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</si>
  <si>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</si>
  <si>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</si>
  <si>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</si>
  <si>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</si>
  <si>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</si>
  <si>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</si>
  <si>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</si>
  <si>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</si>
  <si>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</si>
  <si>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</si>
  <si>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</si>
  <si>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</si>
  <si>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</si>
  <si>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</si>
  <si>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</si>
  <si>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</si>
  <si>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</si>
  <si>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</si>
  <si>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</si>
  <si>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</si>
  <si>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</si>
  <si>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</si>
  <si>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</si>
  <si>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</si>
  <si>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</si>
  <si>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</si>
  <si>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</si>
  <si>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</si>
  <si>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</si>
  <si>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</si>
  <si>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</si>
  <si>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</si>
  <si>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</si>
  <si>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</si>
  <si>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</si>
  <si>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</si>
  <si>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</si>
  <si>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</si>
  <si>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</si>
  <si>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</si>
  <si>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</si>
  <si>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</si>
  <si>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</si>
  <si>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</si>
  <si>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</si>
  <si>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</si>
  <si>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</si>
  <si>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</si>
  <si>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</si>
  <si>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</si>
  <si>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</si>
  <si>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</si>
  <si>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</si>
  <si>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</si>
  <si>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</si>
  <si>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</si>
  <si>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</si>
  <si>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</si>
  <si>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</si>
  <si>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</si>
  <si>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</si>
  <si>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</si>
  <si>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</si>
  <si>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</si>
  <si>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</si>
  <si>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</si>
  <si>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</si>
  <si>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</si>
  <si>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</si>
  <si>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</si>
  <si>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</si>
  <si>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</si>
  <si>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</si>
  <si>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</si>
  <si>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</si>
  <si>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</si>
  <si>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</si>
  <si>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</si>
  <si>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</si>
  <si>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</si>
  <si>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</si>
  <si>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</si>
  <si>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</si>
  <si>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</si>
  <si>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</si>
  <si>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</si>
  <si>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</si>
  <si>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</si>
  <si>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</si>
  <si>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</si>
  <si>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</si>
  <si>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</si>
  <si>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</si>
  <si>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</si>
  <si>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</si>
  <si>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</si>
  <si>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</si>
  <si>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</si>
  <si>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</si>
  <si>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</si>
  <si>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</si>
  <si>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</si>
  <si>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</si>
  <si>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</si>
  <si>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</si>
  <si>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</si>
  <si>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</si>
  <si>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</si>
  <si>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</si>
  <si>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</si>
  <si>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</si>
  <si>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</si>
  <si>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</si>
  <si>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</si>
  <si>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</si>
  <si>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</si>
  <si>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</si>
  <si>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</si>
  <si>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</si>
  <si>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</si>
  <si>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</si>
  <si>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</si>
  <si>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</si>
  <si>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</si>
  <si>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</si>
  <si>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</si>
  <si>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</si>
  <si>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</si>
  <si>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</si>
  <si>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</si>
  <si>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</si>
  <si>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</si>
  <si>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</si>
  <si>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</si>
  <si>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</si>
  <si>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</si>
  <si>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</si>
  <si>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</si>
  <si>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</si>
  <si>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</si>
  <si>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</si>
  <si>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</si>
  <si>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</si>
  <si>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</si>
  <si>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</si>
  <si>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</si>
  <si>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</si>
  <si>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</si>
  <si>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</si>
  <si>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</si>
  <si>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</si>
  <si>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</si>
  <si>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</si>
  <si>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</si>
  <si>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</si>
  <si>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</si>
  <si>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</si>
  <si>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</si>
  <si>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</si>
  <si>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</si>
  <si>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</si>
  <si>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</si>
  <si>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</si>
  <si>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</si>
  <si>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</si>
  <si>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</si>
  <si>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</si>
  <si>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</si>
  <si>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</si>
  <si>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</si>
  <si>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</si>
  <si>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</si>
  <si>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</si>
  <si>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</si>
  <si>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</si>
  <si>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</si>
  <si>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</si>
  <si>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</si>
  <si>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</si>
  <si>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</si>
  <si>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</si>
  <si>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</si>
  <si>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</si>
  <si>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</si>
  <si>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</si>
  <si>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</si>
  <si>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</si>
  <si>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</si>
  <si>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</si>
  <si>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</si>
  <si>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</si>
  <si>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</si>
  <si>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</si>
  <si>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</si>
  <si>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</si>
  <si>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</si>
  <si>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</si>
  <si>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</si>
  <si>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</si>
  <si>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</si>
  <si>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</si>
  <si>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</si>
  <si>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</si>
  <si>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</si>
  <si>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</si>
  <si>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</si>
  <si>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</si>
  <si>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</si>
  <si>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</si>
  <si>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</si>
  <si>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</si>
  <si>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</si>
  <si>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</si>
  <si>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</si>
  <si>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</si>
  <si>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</si>
  <si>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</si>
  <si>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</si>
  <si>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</si>
  <si>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</si>
  <si>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</si>
  <si>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</si>
  <si>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</si>
  <si>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</si>
  <si>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</si>
  <si>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</si>
  <si>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</si>
  <si>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</si>
  <si>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</si>
  <si>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</si>
  <si>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</si>
  <si>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</si>
  <si>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</si>
  <si>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</si>
  <si>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</si>
  <si>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</si>
  <si>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</si>
  <si>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</si>
  <si>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</si>
  <si>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</si>
  <si>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</si>
  <si>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</si>
  <si>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</si>
  <si>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</si>
  <si>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</si>
  <si>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</si>
  <si>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</si>
  <si>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</si>
  <si>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</si>
  <si>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</si>
  <si>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</si>
  <si>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</si>
  <si>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</si>
  <si>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</si>
  <si>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</si>
  <si>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</si>
  <si>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</si>
  <si>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</si>
  <si>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</si>
  <si>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</si>
  <si>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</si>
  <si>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</si>
  <si>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</si>
  <si>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</si>
  <si>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</si>
  <si>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</si>
  <si>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</si>
  <si>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</si>
  <si>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</si>
  <si>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</si>
  <si>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</si>
  <si>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</si>
  <si>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</si>
  <si>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</si>
  <si>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</si>
  <si>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</si>
  <si>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</si>
  <si>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</si>
  <si>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</si>
  <si>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</si>
  <si>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</si>
  <si>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</si>
  <si>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</si>
  <si>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</si>
  <si>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</si>
  <si>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</si>
  <si>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</si>
  <si>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</si>
  <si>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</si>
  <si>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</si>
  <si>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</si>
  <si>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</si>
  <si>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</si>
  <si>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</si>
  <si>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</si>
  <si>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</si>
  <si>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</si>
  <si>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</si>
  <si>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</si>
  <si>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</si>
  <si>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</si>
  <si>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</si>
  <si>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</si>
  <si>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</si>
  <si>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</si>
  <si>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</si>
  <si>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</si>
  <si>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</si>
  <si>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</si>
  <si>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</si>
  <si>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</si>
  <si>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</si>
  <si>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</si>
  <si>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</si>
  <si>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</si>
  <si>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</si>
  <si>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</si>
  <si>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</si>
  <si>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</si>
  <si>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</si>
  <si>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</si>
  <si>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</si>
  <si>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</si>
  <si>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</si>
  <si>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</si>
  <si>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</si>
  <si>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</si>
  <si>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</si>
  <si>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</si>
  <si>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</si>
  <si>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</si>
  <si>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</si>
  <si>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</si>
  <si>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</si>
  <si>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</si>
  <si>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</si>
  <si>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</si>
  <si>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</si>
  <si>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</si>
  <si>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</si>
  <si>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</si>
  <si>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</si>
  <si>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</si>
  <si>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</si>
  <si>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</si>
  <si>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</si>
  <si>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</si>
  <si>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</si>
  <si>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</si>
  <si>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</si>
  <si>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</si>
  <si>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</si>
  <si>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</si>
  <si>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</si>
  <si>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</si>
  <si>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</si>
  <si>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</si>
  <si>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</si>
  <si>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</si>
  <si>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</si>
  <si>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</si>
  <si>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</si>
  <si>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</si>
  <si>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</si>
  <si>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</si>
  <si>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</si>
  <si>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</si>
  <si>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</si>
  <si>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</si>
  <si>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</si>
  <si>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</si>
  <si>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</si>
  <si>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</si>
  <si>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</si>
  <si>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</si>
  <si>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</si>
  <si>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</si>
  <si>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</si>
  <si>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</si>
  <si>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</si>
  <si>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</si>
  <si>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</si>
  <si>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</si>
  <si>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</si>
  <si>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</si>
  <si>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</si>
  <si>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</si>
  <si>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</si>
  <si>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</si>
  <si>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</si>
  <si>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</si>
  <si>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</si>
  <si>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</si>
  <si>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</si>
  <si>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</si>
  <si>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</si>
  <si>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</si>
  <si>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</si>
  <si>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</si>
  <si>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</si>
  <si>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</si>
  <si>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</si>
  <si>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</si>
  <si>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</si>
  <si>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</si>
  <si>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</si>
  <si>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</si>
  <si>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</si>
  <si>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</si>
  <si>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</si>
  <si>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</si>
  <si>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</si>
  <si>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</si>
  <si>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</si>
  <si>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</si>
  <si>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</si>
  <si>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</si>
  <si>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</si>
  <si>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</si>
  <si>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</si>
  <si>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</si>
  <si>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</si>
  <si>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</si>
  <si>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</si>
  <si>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</si>
  <si>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</si>
  <si>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</si>
  <si>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</si>
  <si>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</si>
  <si>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</si>
  <si>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</si>
  <si>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</si>
  <si>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</si>
  <si>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</si>
  <si>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</si>
  <si>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</si>
  <si>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</si>
  <si>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</si>
  <si>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</si>
  <si>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</si>
  <si>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</si>
  <si>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</si>
  <si>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</si>
  <si>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</si>
  <si>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</si>
  <si>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</si>
  <si>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</si>
  <si>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</si>
  <si>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</si>
  <si>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</si>
  <si>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</si>
  <si>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</si>
  <si>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</si>
  <si>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</si>
  <si>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</si>
  <si>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</si>
  <si>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</si>
  <si>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</si>
  <si>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</si>
  <si>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</si>
  <si>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</si>
  <si>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</si>
  <si>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</si>
  <si>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</si>
  <si>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</si>
  <si>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</si>
  <si>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</si>
  <si>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</si>
  <si>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</si>
  <si>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</si>
  <si>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</si>
  <si>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</si>
  <si>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</si>
  <si>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</si>
  <si>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</si>
  <si>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</si>
  <si>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</si>
  <si>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</si>
  <si>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</si>
  <si>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</si>
  <si>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</si>
  <si>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</si>
  <si>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</si>
  <si>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</si>
  <si>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</si>
  <si>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</si>
  <si>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</si>
  <si>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</si>
  <si>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</si>
  <si>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</si>
  <si>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</si>
  <si>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</si>
  <si>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</si>
  <si>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</si>
  <si>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</si>
  <si>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</si>
  <si>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</si>
  <si>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</si>
  <si>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</si>
  <si>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</si>
  <si>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</si>
  <si>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</si>
  <si>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</si>
  <si>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</si>
  <si>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</si>
  <si>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</si>
  <si>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</si>
  <si>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</si>
  <si>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</si>
  <si>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</si>
  <si>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</si>
  <si>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</si>
  <si>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</si>
  <si>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</si>
  <si>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</si>
  <si>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</si>
  <si>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</si>
  <si>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</si>
  <si>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</si>
  <si>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</si>
  <si>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</si>
  <si>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</si>
  <si>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</si>
  <si>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</si>
  <si>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</si>
  <si>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</si>
  <si>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</si>
  <si>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</si>
  <si>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</si>
  <si>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</si>
  <si>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</si>
  <si>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</si>
  <si>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</si>
  <si>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</si>
  <si>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</si>
  <si>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</si>
  <si>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</si>
  <si>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</si>
  <si>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</si>
  <si>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</si>
  <si>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</si>
  <si>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</si>
  <si>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</si>
  <si>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</si>
  <si>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</si>
  <si>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</si>
  <si>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</si>
  <si>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</si>
  <si>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</si>
  <si>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</si>
  <si>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</si>
  <si>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</si>
  <si>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</si>
  <si>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</si>
  <si>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</si>
  <si>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</si>
  <si>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</si>
  <si>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</si>
  <si>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</si>
  <si>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</si>
  <si>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</si>
  <si>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</si>
  <si>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</si>
  <si>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</si>
  <si>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</si>
  <si>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</si>
  <si>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</si>
  <si>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</si>
  <si>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</si>
  <si>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</si>
  <si>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</si>
  <si>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</si>
  <si>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</si>
  <si>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</si>
  <si>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</si>
  <si>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</si>
  <si>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</si>
  <si>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</si>
  <si>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</si>
  <si>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</si>
  <si>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</si>
  <si>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</si>
  <si>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</si>
  <si>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</si>
  <si>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</si>
  <si>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</si>
  <si>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</si>
  <si>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</si>
  <si>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</si>
  <si>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</si>
  <si>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</si>
  <si>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</si>
  <si>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</si>
  <si>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</si>
  <si>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</si>
  <si>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</si>
  <si>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</si>
  <si>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</si>
  <si>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</si>
  <si>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</si>
  <si>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</si>
  <si>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</si>
  <si>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</si>
  <si>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</si>
  <si>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</si>
  <si>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</si>
  <si>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</si>
  <si>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</si>
  <si>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</si>
  <si>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</si>
  <si>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</si>
  <si>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</si>
  <si>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</si>
  <si>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</si>
  <si>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</si>
  <si>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</si>
  <si>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</si>
  <si>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</si>
  <si>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</si>
  <si>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</si>
  <si>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</si>
  <si>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</si>
  <si>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</si>
  <si>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</si>
  <si>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</si>
  <si>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</si>
  <si>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</si>
  <si>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</si>
  <si>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</si>
  <si>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</si>
  <si>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</si>
  <si>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</si>
  <si>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</si>
  <si>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</si>
  <si>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</si>
  <si>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</si>
  <si>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</si>
  <si>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</si>
  <si>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</si>
  <si>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</si>
  <si>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</si>
  <si>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</si>
  <si>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</si>
  <si>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</si>
  <si>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</si>
  <si>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</si>
  <si>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</si>
  <si>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</si>
  <si>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</si>
  <si>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</si>
  <si>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</si>
  <si>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</si>
  <si>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</si>
  <si>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</si>
  <si>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</si>
  <si>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</si>
  <si>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</si>
  <si>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</si>
  <si>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</si>
  <si>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</si>
  <si>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</si>
  <si>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</si>
  <si>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</si>
  <si>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</si>
  <si>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</si>
  <si>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</si>
  <si>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</si>
  <si>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</si>
  <si>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</si>
  <si>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</si>
  <si>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</si>
  <si>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</si>
  <si>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</si>
  <si>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</si>
  <si>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</si>
  <si>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</si>
  <si>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</si>
  <si>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</si>
  <si>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</si>
  <si>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</si>
  <si>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</si>
  <si>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</si>
  <si>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</si>
  <si>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</si>
  <si>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</si>
  <si>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</si>
  <si>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</si>
  <si>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</si>
  <si>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</si>
  <si>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</si>
  <si>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</si>
  <si>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</si>
  <si>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</si>
  <si>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</si>
  <si>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</si>
  <si>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</si>
  <si>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</si>
  <si>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</si>
  <si>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</si>
  <si>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</si>
  <si>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</si>
  <si>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</si>
  <si>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</si>
  <si>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</si>
  <si>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</si>
  <si>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</si>
  <si>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</si>
  <si>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</si>
  <si>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</si>
  <si>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</si>
  <si>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</si>
  <si>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</si>
  <si>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</si>
  <si>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</si>
  <si>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</si>
  <si>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</si>
  <si>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</si>
  <si>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</si>
  <si>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</si>
  <si>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</si>
  <si>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</si>
  <si>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</si>
  <si>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</si>
  <si>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</si>
  <si>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</si>
  <si>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</si>
  <si>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</si>
  <si>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</si>
  <si>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</si>
  <si>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</si>
  <si>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</si>
  <si>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</si>
  <si>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</si>
  <si>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</si>
  <si>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</si>
  <si>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</si>
  <si>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</si>
  <si>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</si>
  <si>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</si>
  <si>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</si>
  <si>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</si>
  <si>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</si>
  <si>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</si>
  <si>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</si>
  <si>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</si>
  <si>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</si>
  <si>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</si>
  <si>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</si>
  <si>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</si>
  <si>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</si>
  <si>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</si>
  <si>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</si>
  <si>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</si>
  <si>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</si>
  <si>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</si>
  <si>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</si>
  <si>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</si>
  <si>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</si>
  <si>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</si>
  <si>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</si>
  <si>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</si>
  <si>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</si>
  <si>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</si>
  <si>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</si>
  <si>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</si>
  <si>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</si>
  <si>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</si>
  <si>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</si>
  <si>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</si>
  <si>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</si>
  <si>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</si>
  <si>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</si>
  <si>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</si>
  <si>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</si>
  <si>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</si>
  <si>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</si>
  <si>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</si>
  <si>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</si>
  <si>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</si>
  <si>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</si>
  <si>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</si>
  <si>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</si>
  <si>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</si>
  <si>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</si>
  <si>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</si>
  <si>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</si>
  <si>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</si>
  <si>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</si>
  <si>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</si>
  <si>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</si>
  <si>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</si>
  <si>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</si>
  <si>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</si>
  <si>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</si>
  <si>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</si>
  <si>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</si>
  <si>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</si>
  <si>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</si>
  <si>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</si>
  <si>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</si>
  <si>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</si>
  <si>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</si>
  <si>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</si>
  <si>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</si>
  <si>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</si>
  <si>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</si>
  <si>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</si>
  <si>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</si>
  <si>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</si>
  <si>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</si>
  <si>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</si>
  <si>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</si>
  <si>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</si>
  <si>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</si>
  <si>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</si>
  <si>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</si>
  <si>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</si>
  <si>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</si>
  <si>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</si>
  <si>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</si>
  <si>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</si>
  <si>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</si>
  <si>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</si>
  <si>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</si>
  <si>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</si>
  <si>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</si>
  <si>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</si>
  <si>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</si>
  <si>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</si>
  <si>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</si>
  <si>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</si>
  <si>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</si>
  <si>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</si>
  <si>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</si>
  <si>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</si>
  <si>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</si>
  <si>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</si>
  <si>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</si>
  <si>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</si>
  <si>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</si>
  <si>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</si>
  <si>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</si>
  <si>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</si>
  <si>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</si>
  <si>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</si>
  <si>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</si>
  <si>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</si>
  <si>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</si>
  <si>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</si>
  <si>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</si>
  <si>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</si>
  <si>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</si>
  <si>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</si>
  <si>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</si>
  <si>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</si>
  <si>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</si>
  <si>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</si>
  <si>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</si>
  <si>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</si>
  <si>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</si>
  <si>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</si>
  <si>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</si>
  <si>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</si>
  <si>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</si>
  <si>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</si>
  <si>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</si>
  <si>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</si>
  <si>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</si>
  <si>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</si>
  <si>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</si>
  <si>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</si>
  <si>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</si>
  <si>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</si>
  <si>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</si>
  <si>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</si>
  <si>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</si>
  <si>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</si>
  <si>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</si>
  <si>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</si>
  <si>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</si>
  <si>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</si>
  <si>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</si>
  <si>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</si>
  <si>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</si>
  <si>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</si>
  <si>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</si>
  <si>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</si>
  <si>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</si>
  <si>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</si>
  <si>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</si>
  <si>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</si>
  <si>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</si>
  <si>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</si>
  <si>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</si>
  <si>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</si>
  <si>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</si>
  <si>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</si>
  <si>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</si>
  <si>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</si>
  <si>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</si>
  <si>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</si>
  <si>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</si>
  <si>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</si>
  <si>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</si>
  <si>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</si>
  <si>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</si>
  <si>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</si>
  <si>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</si>
  <si>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</si>
  <si>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</si>
  <si>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</si>
  <si>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</si>
  <si>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</si>
  <si>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</si>
  <si>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</si>
  <si>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</si>
  <si>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</si>
  <si>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</si>
  <si>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</si>
  <si>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</si>
  <si>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</si>
  <si>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</si>
  <si>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</si>
  <si>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</si>
  <si>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</si>
  <si>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</si>
  <si>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</si>
  <si>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</si>
  <si>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</si>
  <si>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</si>
  <si>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</si>
  <si>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</si>
  <si>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</si>
  <si>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</si>
  <si>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</si>
  <si>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</si>
  <si>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</si>
  <si>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</si>
  <si>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</si>
  <si>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</si>
  <si>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</si>
  <si>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</si>
  <si>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</si>
  <si>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</si>
  <si>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</si>
  <si>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</si>
  <si>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</si>
  <si>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</si>
  <si>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</si>
  <si>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</si>
  <si>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</si>
  <si>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</si>
  <si>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</si>
  <si>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</si>
  <si>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</si>
  <si>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</si>
  <si>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</si>
  <si>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</si>
  <si>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</si>
  <si>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</si>
  <si>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</si>
  <si>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</si>
  <si>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</si>
  <si>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</si>
  <si>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</si>
  <si>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</si>
  <si>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</si>
  <si>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</si>
  <si>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</si>
  <si>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</si>
  <si>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</si>
  <si>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</si>
  <si>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</si>
  <si>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</si>
  <si>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</si>
  <si>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</si>
  <si>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</si>
  <si>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</si>
  <si>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</si>
  <si>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</si>
  <si>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</si>
  <si>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</si>
  <si>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</si>
  <si>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</si>
  <si>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</si>
  <si>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</si>
  <si>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</si>
  <si>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</si>
  <si>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</si>
  <si>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</si>
  <si>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</si>
  <si>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</si>
  <si>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</si>
  <si>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</si>
  <si>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</si>
  <si>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</si>
  <si>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</si>
  <si>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</si>
  <si>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</si>
  <si>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</si>
  <si>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</si>
  <si>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</si>
  <si>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</si>
  <si>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</si>
  <si>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</si>
  <si>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</si>
  <si>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</si>
  <si>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</si>
  <si>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</si>
  <si>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</si>
  <si>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</si>
  <si>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</si>
  <si>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</si>
  <si>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</si>
  <si>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</si>
  <si>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</si>
  <si>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</si>
  <si>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</si>
  <si>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</si>
  <si>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</si>
  <si>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</si>
  <si>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</si>
  <si>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</si>
  <si>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</si>
  <si>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</si>
  <si>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</si>
  <si>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</si>
  <si>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</si>
  <si>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</si>
  <si>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</si>
  <si>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</si>
  <si>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</si>
  <si>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</si>
  <si>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</si>
  <si>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</si>
  <si>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</si>
  <si>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</si>
  <si>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</si>
  <si>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</si>
  <si>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</si>
  <si>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</si>
  <si>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</si>
  <si>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</si>
  <si>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</si>
  <si>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</si>
  <si>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</si>
  <si>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</si>
  <si>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</si>
  <si>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</si>
  <si>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</si>
  <si>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</si>
  <si>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</si>
  <si>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</si>
  <si>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</si>
  <si>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</si>
  <si>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</si>
  <si>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</si>
  <si>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</si>
  <si>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</si>
  <si>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</si>
  <si>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</si>
  <si>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</si>
  <si>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</si>
  <si>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</si>
  <si>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</si>
  <si>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</si>
  <si>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</si>
  <si>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</si>
  <si>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</si>
  <si>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</si>
  <si>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</si>
  <si>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</si>
  <si>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</si>
  <si>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</si>
  <si>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</si>
  <si>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</si>
  <si>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</si>
  <si>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</si>
  <si>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</si>
  <si>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</si>
  <si>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</si>
  <si>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</si>
  <si>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</si>
  <si>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</si>
  <si>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</si>
  <si>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</si>
  <si>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</si>
  <si>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</si>
  <si>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</si>
  <si>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</si>
  <si>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</si>
  <si>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</si>
  <si>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</si>
  <si>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</si>
  <si>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</si>
  <si>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</si>
  <si>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</si>
  <si>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</si>
  <si>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</si>
  <si>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</si>
  <si>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</si>
  <si>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</si>
  <si>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</si>
  <si>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</si>
  <si>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</si>
  <si>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</si>
  <si>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</si>
  <si>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</si>
  <si>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</si>
  <si>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</si>
  <si>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</si>
  <si>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</si>
  <si>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</si>
  <si>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</si>
  <si>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</si>
  <si>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</si>
  <si>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</si>
  <si>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</si>
  <si>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</si>
  <si>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</si>
  <si>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</si>
  <si>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</si>
  <si>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</si>
  <si>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</si>
  <si>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</si>
  <si>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</si>
  <si>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</si>
  <si>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</si>
  <si>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</si>
  <si>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</si>
  <si>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</si>
  <si>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</si>
  <si>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</si>
  <si>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</si>
  <si>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</si>
  <si>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</si>
  <si>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</si>
  <si>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</si>
  <si>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</si>
  <si>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</si>
  <si>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</si>
  <si>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</si>
  <si>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</si>
  <si>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</si>
  <si>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</si>
  <si>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</si>
  <si>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</si>
  <si>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</si>
  <si>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</si>
  <si>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</si>
  <si>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</si>
  <si>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</si>
  <si>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</si>
  <si>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</si>
  <si>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</si>
  <si>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</si>
  <si>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</si>
  <si>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</si>
  <si>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</si>
  <si>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</si>
  <si>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</si>
  <si>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</si>
  <si>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</si>
  <si>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</si>
  <si>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</si>
  <si>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</si>
  <si>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</si>
  <si>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</si>
  <si>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</si>
  <si>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</si>
  <si>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</si>
  <si>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</si>
  <si>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</si>
  <si>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</si>
  <si>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</si>
  <si>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</si>
  <si>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</si>
  <si>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</si>
  <si>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</si>
  <si>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</si>
  <si>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</si>
  <si>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</si>
  <si>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</si>
  <si>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</si>
  <si>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</si>
  <si>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</si>
  <si>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</si>
  <si>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</si>
  <si>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</si>
  <si>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</si>
  <si>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</si>
  <si>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</si>
  <si>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</si>
  <si>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</si>
  <si>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</si>
  <si>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</si>
  <si>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</si>
  <si>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</si>
  <si>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</si>
  <si>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</si>
  <si>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</si>
  <si>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</si>
  <si>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</si>
  <si>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</si>
  <si>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</si>
  <si>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</si>
  <si>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</si>
  <si>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</si>
  <si>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</si>
  <si>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</si>
  <si>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</si>
  <si>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</si>
  <si>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</si>
  <si>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</si>
  <si>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</si>
  <si>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</si>
  <si>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</si>
  <si>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</si>
  <si>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</si>
  <si>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</si>
  <si>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</si>
  <si>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</si>
  <si>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</si>
  <si>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</si>
  <si>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</si>
  <si>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</si>
  <si>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</si>
  <si>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</si>
  <si>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</si>
  <si>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</si>
  <si>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</si>
  <si>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</si>
  <si>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</si>
  <si>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</si>
  <si>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</si>
  <si>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</si>
  <si>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</si>
  <si>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</si>
  <si>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</si>
  <si>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</si>
  <si>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</si>
  <si>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</si>
  <si>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</si>
  <si>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</si>
  <si>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</si>
  <si>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</si>
  <si>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</si>
  <si>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</si>
  <si>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</si>
  <si>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</si>
  <si>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</si>
  <si>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</si>
  <si>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</si>
  <si>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</si>
  <si>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</si>
  <si>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</si>
  <si>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</si>
  <si>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</si>
  <si>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</si>
  <si>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</si>
  <si>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</si>
  <si>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</si>
  <si>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</si>
  <si>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</si>
  <si>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</si>
  <si>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</si>
  <si>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</si>
  <si>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</si>
  <si>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</si>
  <si>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</si>
  <si>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</si>
  <si>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</si>
  <si>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</si>
  <si>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</si>
  <si>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</si>
  <si>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</si>
  <si>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</si>
  <si>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</si>
  <si>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</si>
  <si>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</si>
  <si>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</si>
  <si>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</si>
  <si>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</si>
  <si>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</si>
  <si>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</si>
  <si>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</si>
  <si>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</si>
  <si>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</si>
  <si>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</si>
  <si>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</si>
  <si>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</si>
  <si>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</si>
  <si>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</si>
  <si>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</si>
  <si>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</si>
  <si>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</si>
  <si>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</si>
  <si>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</si>
  <si>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</si>
  <si>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</si>
  <si>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</si>
  <si>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</si>
  <si>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</si>
  <si>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</si>
  <si>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</si>
  <si>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</si>
  <si>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</si>
  <si>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</si>
  <si>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</si>
  <si>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</si>
  <si>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</si>
  <si>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</si>
  <si>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</si>
  <si>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</si>
  <si>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</si>
  <si>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</si>
  <si>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</si>
  <si>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</si>
  <si>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</si>
  <si>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</si>
  <si>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</si>
  <si>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</si>
  <si>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</si>
  <si>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</si>
  <si>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</si>
  <si>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</si>
  <si>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</si>
  <si>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</si>
  <si>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</si>
  <si>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</si>
  <si>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</si>
  <si>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</si>
  <si>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</si>
  <si>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</si>
  <si>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</si>
  <si>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Yes</t>
  </si>
  <si>
    <t>No</t>
  </si>
  <si>
    <t>State Investor LOC @ 2%</t>
  </si>
  <si>
    <t>Preserving Affordable Housing, Inc.</t>
  </si>
  <si>
    <t>Capital Funds</t>
  </si>
  <si>
    <t>Prepaid Project Costs</t>
  </si>
  <si>
    <t>HUD</t>
  </si>
  <si>
    <t>HUD Cap Funds &amp; RHFF</t>
  </si>
  <si>
    <t>Competitive Round</t>
  </si>
  <si>
    <t>Douglas S. Faust</t>
  </si>
  <si>
    <t>Executive Director</t>
  </si>
  <si>
    <t>750 Commerce Drive, Suite 110</t>
  </si>
  <si>
    <t>dsf@decaturha.org</t>
  </si>
  <si>
    <t>Allen Wilson - Phase III</t>
  </si>
  <si>
    <t>Yes- w/Master Plan</t>
  </si>
  <si>
    <t>1450 Commerce Drive</t>
  </si>
  <si>
    <t>City of Decatur</t>
  </si>
  <si>
    <t>William F. Floyd</t>
  </si>
  <si>
    <t>Mayor</t>
  </si>
  <si>
    <t>P.O. Box 220</t>
  </si>
  <si>
    <t>3+ Story</t>
  </si>
  <si>
    <t>Family</t>
  </si>
  <si>
    <t>Decatur Housing Authority</t>
  </si>
  <si>
    <t>Allen Wilson - Phase 1</t>
  </si>
  <si>
    <t>Allen Wilson - Phase 2</t>
  </si>
  <si>
    <t>Housing Authority of the City of Decatur</t>
  </si>
  <si>
    <t xml:space="preserve">750 Comerce Dr, Suite 110      
</t>
  </si>
  <si>
    <t>Geogia Power</t>
  </si>
  <si>
    <t>Electric Heat Pump</t>
  </si>
  <si>
    <t>MF</t>
  </si>
  <si>
    <t>Allen Wilson III, L.P.</t>
  </si>
  <si>
    <t>750 Commerce Dr, Suite 110</t>
  </si>
  <si>
    <t>General Partner</t>
  </si>
  <si>
    <t>Secretary/Treasurer</t>
  </si>
  <si>
    <t>Decatur Housing Authority - Management Division</t>
  </si>
  <si>
    <t>750 Commerce Dr. Suite 110</t>
  </si>
  <si>
    <t>LiBranden Irving</t>
  </si>
  <si>
    <t>Property Management Director</t>
  </si>
  <si>
    <t>lib@decaturha.org</t>
  </si>
  <si>
    <t>Arnall, Golden &amp; Gregory</t>
  </si>
  <si>
    <t>171 17th Street NW, Suite 2100</t>
  </si>
  <si>
    <t>James T. Rauschenberger</t>
  </si>
  <si>
    <t>Attorney at Law</t>
  </si>
  <si>
    <t>james.rauschenberger@agg.com</t>
  </si>
  <si>
    <t>Reznick Group, P.C.</t>
  </si>
  <si>
    <t>3560 Lenox Road, NE, Suite 2800</t>
  </si>
  <si>
    <t>timothy.kemper@reznickgroup.com</t>
  </si>
  <si>
    <t>Timothy Kemper, CPA</t>
  </si>
  <si>
    <t>Managing Principal</t>
  </si>
  <si>
    <t>HADP Architecture, Inc.</t>
  </si>
  <si>
    <t>2722 Piedmont Rd., NE</t>
  </si>
  <si>
    <t>saiken@hadpmail.com</t>
  </si>
  <si>
    <t>Stewart Aiken</t>
  </si>
  <si>
    <t>For Profit</t>
  </si>
  <si>
    <t>630 Fifth Ave - 28th Floor</t>
  </si>
  <si>
    <t>750 Commerce Dr., Suite 110</t>
  </si>
  <si>
    <t>Hudson Housing Capital</t>
  </si>
  <si>
    <t>Sam Ganeshan</t>
  </si>
  <si>
    <t>Managing Partner</t>
  </si>
  <si>
    <t>New York</t>
  </si>
  <si>
    <t>sam.ganeshan@hudsonhousing.com</t>
  </si>
  <si>
    <t>Sugar Creek Realty, LLC</t>
  </si>
  <si>
    <t>Chris Hite</t>
  </si>
  <si>
    <t>17 West Lockwood Ave.</t>
  </si>
  <si>
    <t>St. Loius</t>
  </si>
  <si>
    <t>Vice President</t>
  </si>
  <si>
    <t>chite@sugarcreekrealtyllc.com</t>
  </si>
  <si>
    <t>Agree</t>
  </si>
  <si>
    <t>see comments below</t>
  </si>
  <si>
    <t>1 to 2 months</t>
  </si>
  <si>
    <t>zero</t>
  </si>
  <si>
    <t>Novogradac &amp; Company</t>
  </si>
  <si>
    <t>ECS Southeast, LLC</t>
  </si>
  <si>
    <t>The DNL (day-night average level) for for the CSX locomotives and railway cars was calculated to be 61.25 dB and the DNL form the MARTA system train was calculated to be 47 dB (decibles), resulting in a combined total DNL for railways of 61.5 dB, which is below the DCA and HUD standards.</t>
  </si>
  <si>
    <t>none</t>
  </si>
  <si>
    <t>Contract/Option</t>
  </si>
  <si>
    <t>Allen Wilson III, LP</t>
  </si>
  <si>
    <t>DeKalb County Department of Watershed Manangement</t>
  </si>
  <si>
    <t>Public water, sanitary sewer and storm sewer are currently available on the property. See the confirmation letter in tab #12.</t>
  </si>
  <si>
    <t>Other (explain in comments)</t>
  </si>
  <si>
    <t>On-site laundry</t>
  </si>
  <si>
    <t xml:space="preserve">A combined mail kiosk and community gathering area located next to the Tot Lot to provide a comfortable seating for parents watching while their children are at play. </t>
  </si>
  <si>
    <t>Equipped play ground</t>
  </si>
  <si>
    <t>Fenced Community Garden (450 SF)</t>
  </si>
  <si>
    <t>20' x 25' fenced Tot Lot</t>
  </si>
  <si>
    <t>Fiber cement siding, hard stucco and/or wood siding will be installed on all exterior wall surfaces not already required to be brick</t>
  </si>
  <si>
    <t>Qualified with Conditions</t>
  </si>
  <si>
    <t>Decatur Housing General Partner III, Inc.</t>
  </si>
  <si>
    <t>Racially mixed</t>
  </si>
  <si>
    <t>223, 224, 226 and 227</t>
  </si>
  <si>
    <t>NONPROFIT FEDERAL TAX EXEMPT STATUS
It is the opinion of Arrnall Golden Gregory LLP (AGG) that Decatur Housing General Partner III, Inc. is a qualified nonprofit organization within the meaning of Section 42(h)(5) of the Internal Revenue Code of 1986, as amended. See the AGG legal opinion in Tab #2.</t>
  </si>
  <si>
    <t>Pierce Court, LLC</t>
  </si>
  <si>
    <t>The Applicant agrees to restrict 11 units (15.5%) to households at or below 50% of AMI. Such units will be evenly distributed by unit type, size and location within the project.</t>
  </si>
  <si>
    <t>This location has the benefit of every category of desirable neighborhood characteristic and no undesirable ones. The site enjoys an exceptional location near downtown Decatur with easy access to public transportation and proximity to shopping, restaurants, complete medical facilities, banks, and numerous churches, as well as parks, recreation and cultural facilities. The property is within two blocks of Decatur’s thriving downtown business and shopping district, which includes the Decatur MARTA rail station, a public library, the Decatur police headquarters, four blocks from Decatur Fire Station #1 and borders on Ebster Park and Recreation Center, the City’s largest and most complete community center, providing an indoor gymnasium, an outdoor swimming pool, soccer fields, basketball courts, a large playground and a large covered picnic area. The property is within walking distance of the middle school and high school and is less than a mile from the elementary school.</t>
  </si>
  <si>
    <t>NOT APPLICABLE</t>
  </si>
  <si>
    <t>Earth Craft Communities</t>
  </si>
  <si>
    <t>On February 17, 2010, the Decatur Housing Authority signed a Memorandum of Participation with EarthCraft House to participate in the EarthCraft Communities program. In addition, the Phase III buildings are designed to meet EarthCraft Multifamily sustainability standards.</t>
  </si>
  <si>
    <t>Stable Communities &lt; 20%</t>
  </si>
  <si>
    <t>Allen Wilson - Phase 2 (aka Oliver House)</t>
  </si>
  <si>
    <t>The 2011 FFIEC reports show that census tract 225, in which Allen Wilson is located, is Middle Income with a poverty rate of 19.95%.</t>
  </si>
  <si>
    <t>NONPROFIT STATUS
Decatur Housing General Partner III, Inc (DHGPIII) is single-purpose, a Georgia domestic nonprofit corporation, recently organized as and designated a subsidiary corporation of the Housing Authority of the City of Decatur, Georgia and has been determined to be a qualified nonprofit organization within the meaning of Section 42(h)(5) of the Internal Revenue Code of 1986, as amended.  Decatur Housing General Partner III, Inc., is the sole member of Pierce Court LLC, a Georgia limited liability company, which is the sole general partner of Allen Wilson III, LP. Every aspect of this project is owned and/or controlled by not-for-profit entities; including development and property management.</t>
  </si>
  <si>
    <t>Pass</t>
  </si>
  <si>
    <t>2010-071</t>
  </si>
  <si>
    <t>2009-501</t>
  </si>
  <si>
    <t xml:space="preserve">Community Changing Effect – Allen Wilson Terrace was a 200 unit public housing development originally built and occupied in 1941 on 7.68 acres in downtown Decatur.  Due to the serious deficiencies in original 1941 design, obsolescence of the utility systems and other factors, the DHA determined that the project required demolition and redevelopment.  DHA and its strategic partners undertook a design that would transform the former row housing into a community of change and hope.  
Unique Concept and Design – Allen Wilson is a unique multiphase project.  Phase I is a family development of 40 units in an apartment setting.  Phase II is a four story senior building with both internal and external amenities.  Phase III will be a family development of 71 units in both an apartment and cluster home format.  Finally, Phase IV will be market rate housing of apartment or ownership units.  The master plan integrates affordable housing into a downtown area that has seen a tremendous growth of residential opportunities; however, very few are affordable.  The redevelopment of Allen Wilson enhances the other developments in downtown Decatur, provides an income mix to the area, and strengthens the supportive services, including stores, restaurants, medical facilities, etc.  Allen Wilson combines the best of residential and commercial, affordable and market rate housing, sales and rentals and brings together an unbeatable combination of forces to guarantee the success of a community.  DHA has created a unique open and green campus that serves families of all incomes and ages in a continuum of housing for all ages located right in the middle of the thriving downtown Decatur community.  
Meets Overriding DCA Policy Objectives – The Allen Wilson revitalization accomplishes three key Overriding DCA Policy Objectives.  First, the project accomplishes a substantial Inner City Revitalization by replacing deteriorated and obsolete housing with new amenity and services-rich housing.  Secondly, Allen Wilson allows for the Preservation of Affordable Housing by replacing 191 of the original 200 units on site at the same rental rates for families as the original public housing.  Thirdly, the revitalization of Allen Wilson provides Exceptional Access to quality education, employment, services, recreation, and health services with its central location in Decatur, Georgia, a walkable and transit-oriented community.  Allen Wilson is less than one-quarter mile to the Decatur MARTA station and a bus stop immediately adjoins the site.  Families and seniors can easily access programs and services that will enhance their lives.  It should be noted that Decatur public schools spend about $7,198 per student, while the average school expenditure in the U.S. is $5,678 and the student teacher ratio is 13.1 students per teacher.  (http://www.bestplaces.net/city/georgia/decatur)
Superior Level of Sustainability – Allen Wilson is participating in Southface Energy Institute’s EarthCraft Communities™ and EarthCraft House Multifamily™ programs.  Some of the Earthcraft energy features in the overall Allen Wilson community include; a 50 kWh photovoltaic (PV) solar power generation system; geo-thermal heating and cooling systems in the common areas coupled with geo-thermal water heating; rainwater harvesting for toilet flushing and landscape irrigation, spray foam insulation in all walls and attic spaces.  Water usage will be minimized through use of rainwater for irrigation and low-flow fixtures inside units in Phase II.  Energy costs will be reduced by incorporating green building practices such as maximizing natural day lighting with thermally-efficient windows, and ENERGY STAR appliances throughout.  Bio swales are being incorporated into the design of the site to minimize storm water runoff.  The overall campus includes a one-half mile paved walking trail to provide a place for residents to walk for exercise and to socialize outdoors.  
Unique and Urgent Need – As a community of 18,000 with a cost of living 15.40% higher than the U.S. average (http://www.bestplaces.net/city/georgia/decatur), Decatur has a unique need to both preserve and develop affordable housing low income persons to continue the mixture of incomes in the community and preserve workforce housing.  
Substantial Community Support and Involvement – Decatur has a 70 year history of supporting affordable housing.  Rather than abandoning that historical support and forcing families and seniors out of assisted housing and forcing them out of the City itself, Decatur changed the current nationwide model and embraced public housing - the truly affordable housing model.  In the words of a Decatur City Commissioner, the recent adoption of the resolution of support was approved “enthusiastically”.  Not only does the Commission’s support reflect the development goal of the City, it embodies the desires of Decatur residents to continue to support affordable housing for all citizens. 
Unique Financing – DHA believes that it is uniquely positioned to take advantage of the full 9% value of low income housing tax credits and has requested a waiver from DCA to utilize this exceptional tax benefit.  DHA can put the units into service by December 30, 2013, before the expiration of the current HERA provisions.  DHA is a financially stable entity with demonstrated success in development and implementation of tax credits.  As the third phase of the well-performing affordable housing revitalization project, this project is positioned for success.  DHA has completed full architectural drawings and has begun the bidding process for a qualified General Contractor.  Allen Wilson Phase III is an urban site with full availability of utilities and services since the site is currently a part of the City’s storm water, sewer, and water lines.  DHA has full site control as it owns the Allen Wilson Phase III site, and DHA has within its control the permanent funding to complete the Allen Wilson III project.  DHA has attached a realistic project schedule that demonstrates the completion of the units by November 1, 2013, allowing 60 days for occupancy by qualified applicants.  DHA has already prequalified from its waiting list over 100 families required to occupy the 80 Allen Wilson Phase II units that will be available on September 1, 2012.  DHA will utilize the same system of prequalification of eligible applicants for Allen Wilson Phase III to assure occupancy rapidly.  
Summary - Allen Wilson is a superior project in many ways.  It is replacing public housing in a location accessible to a myriad of needed services for families while allowing them to remain within the small-town community of Decatur that is attractive to so many.  Allen Wilson is sustaining truly affordable housing and incorporates the principles of smart growth, new urbanism, green building, and unique financing.
</t>
  </si>
  <si>
    <t xml:space="preserve">WAIVER OF CANCELLATION OPTION
It is the expectation and intent that 100% of the units at Allen Wilson will remain public housing in perpetuity; therefore the Applicant agrees to forego the cancellation option for at least  5 years after the close of the Compliance Period.
</t>
  </si>
  <si>
    <t>State Boost</t>
  </si>
  <si>
    <t>RHF Funds</t>
  </si>
  <si>
    <t>STATUS OF DESIGN, PLANS AND CONSTRUCTION DOCUMENTS
At this time the project architect has completed the design of the project and prepared an 100% set of the design and construction documents. A thumb drive containing the plans is included with this submission.
NUMBER OF PARKING SPACES
When the project is completed, there will be a total of 171 (combined on-site and on-street) parking spaces.  Sixty (60) spaces were built in Phase 1, Twenty two (22) more spaces are being added in Phase 2 and 89 spaces will be added in Phase 3. The number of parking space is considered adequate because 42% of the units are for seniors, the immediate access to MARTA rail and bus service, and public housing residents have fewer cars than typical households. The Housing Authority also provides shuttle service for its residents for grocery shopping and other transportation needs.</t>
  </si>
  <si>
    <t>STATUS OF SUSTAINABLE BUILDINGS DESIGNATION
The Phase 3 buildings are designed to meet or exceed DCA standard for energy efficency and sustainable building practices as set forth in the QAP and other DCA manuals. Allen Wilson Phase III is registered under the EarthCraft Multifamily as evidenced by the documentation provided in Tab #23.</t>
  </si>
  <si>
    <t xml:space="preserve">APPRAISAL
An appraisal is not required by the financial parties to this transaction nor is one required by HUD or any other approving authority.
REZONING
On September 17, 2007, the Decatur City Commission adopted Ordinance O-07-Z-06 amending the Comprehensive Land Use Plan for the property to change the land use classification to I-Institutional and C-Commercial/High Density Residential. The City Commission also adopted Ordinance O-07-Z-07 amending the Zoning Map to I-Institutional and C-2-C General Commercial and approving the Housing Authority’s site plan for the redevelopment of Allen Wilson Terrace. The I-Institutional land use and zoning classification apply to the 3 phases of Allen Wilson. 
</t>
  </si>
  <si>
    <t>OPTION TO LEASE 
The Applicant has a twelve (12) month Option to Lease with the Decatur Housing Authority to lease the property for 45 years. A copy of the option agreement is included in Tab #9 - Site Control</t>
  </si>
  <si>
    <t>Backup for HUD Operating Subsidy</t>
  </si>
  <si>
    <t>PA 12-16</t>
  </si>
  <si>
    <t>RHF Funds - Construction</t>
  </si>
  <si>
    <t>Capital Fund - Pre-Development Costs, A&amp;E</t>
  </si>
  <si>
    <t>Sugar Creek Realty</t>
  </si>
  <si>
    <t>Hudson Housing Capital - 25%</t>
  </si>
  <si>
    <t>Sugar Creek Realty - 25%</t>
  </si>
  <si>
    <t>Bank of America - Construction Lender</t>
  </si>
  <si>
    <t>PHA Oper Sub</t>
  </si>
  <si>
    <t>Ancillary Income - laundry, late fees, app fees, etc.</t>
  </si>
  <si>
    <t>750 Commerce Dr., Suite 750</t>
  </si>
  <si>
    <t>Loan from DHA Unrestricted/Non-HUD Reserves</t>
  </si>
  <si>
    <t>HUD (FY 2011, 2012)</t>
  </si>
  <si>
    <t>Amortizing</t>
  </si>
  <si>
    <t xml:space="preserve">The project is the third phase of the redevelopment of Allen Wilson Terrace. The first phase (DCA #2009-501) was completed in March 2011 and the second phase (DCA #2010-073) is on schedule to complete construction on September 1, 2012. </t>
  </si>
  <si>
    <t>STATUS OF CITY APPROVALS
On September 17, 2007 the City Commission adopted Ordinance O-07-Z-06 amending the Comprehensive Land Use Plan for the property at 1450 Commerce Drive to change the land use classification to I-Institutional and C- Commercial/High Density Residential. The City Commission also adopted Ordinance O-07-Z-07 amending the Zoning Map to I-Institutional and C-2-C General Commercial and approving the Housing Authority’s site plan for the redevelopment of Allen Wilson Terrace. On November 19, 2007 the City Commission adopted Ordinance R-07-28 approving abandonment of the 0.476 acre ROW along sections of Commerce Drive and Electric Avenue to allow for the Housing Authority’s use of the right-of-way. The I-Institutional land use and zoning classification apply to the 3 phases of Allen Wilson. The site plan for the redevelopment meets the City’s land use classifications and conditions of zoning.  No further City approvals are required except for permitting of the individual phases. Copies of such ordinances and minutes from the council meeting when they were passed are included in Tab #11 - Site Zoning.</t>
  </si>
  <si>
    <t>The Housing Authority uses Georgia Housing Search in its Section 8 program as the primary search tool. If selected for funding, the Authority agrees to lists all of its properties on Georgia Housing Search.</t>
  </si>
  <si>
    <t>.</t>
  </si>
  <si>
    <t xml:space="preserve">4th </t>
  </si>
  <si>
    <t>4th</t>
  </si>
  <si>
    <t>TBD by competitive bid</t>
  </si>
  <si>
    <t>HUD (FY 2011 &amp; 2012)</t>
  </si>
  <si>
    <t>Application Instructions page 24 of 29  - If the application will have an operating subsidy provided through a public housing authority, please select “PHA Oper Sub” from the dropdown menu. If “PHA Oper Sub” is selected, then applicants must also enter a zero “0” for Proposed Gross Rent AND enter the operating subsidy amount in the Non-Occupancy Based income part of the Other Income Sources section.</t>
  </si>
  <si>
    <t>DHA wiill adhere to policies and procedures which demonstrate an intent by the owner and manager to provide housing for low income families.</t>
  </si>
  <si>
    <t>FEDERAL ENVIRONMENTAL REVIEW
On November 14, 2008, the project completed a federal environmental review and received a clearance from Brenda Shavers, Director, Atlanta FHEO Center, Region IV, Office of Fair Housing and Equal Opportunity, 4APH. A copy of the approval letter is included as an exhibit to the HOME and HUD Environmental Questionnaire, which can be found in Tab #33 of this application package.
HARZARDOUS MATERIAL IN EXISTING BUILDINGS
Hazardous material inspections of the buildings to be demolished conducted by ECS Southeast, LLC on April 17, 2012 ( see Tab #33) found asbestos in some floor tiles and mastics, duct tape, and exterior window caulking (ACM). After the buildings are vacated, all ACM will be removed and properly disposed  by a contractor licensed by the state for such work. 
PCB IN TRANSFORMERS
The phase 1 Environmental Report dated May 6, 2012 (see Tab #33), found six utility-owned, pad-mounted electrical transformers on the property. According to the report, the PCB status of the transformers was not indicated on the transformers; however, no staining was observed on the pads or surrounding ground. These transformers will be removed by Georgia Power during the demolition phase.</t>
  </si>
  <si>
    <t>DHA successfully planned and implemented an inclusive and collaborative outreach and involvement approach with the affected residents, local government, private service providers, financing entities, and other members of the surrounding community using a variety of tools and strategies in order to assure a full and complete understanding of the planned Allen Wilson Revitalization. See Tab #13 for evidence of DHA Resident Meetings, DHA Resident Advisory Board, community planning meetings, as well as outreach meetings with area stakeholders, an Internet-based information system on the DHA Website, and briefings with the Decatur City Commission. The City of Decatur is in support of Allen Wilson Phase III.  At the City Council meeting on May 7, 2012, the council adopted a supportive resolution by a unanimous vote. In addition, the mayor, William Floyd, provided a strong letter of support. Both documents are located in Tab #13.</t>
  </si>
  <si>
    <t>Construction Management and Inspection</t>
  </si>
  <si>
    <t>ACC Reserve</t>
  </si>
  <si>
    <t xml:space="preserve">Th applicant agrees to defer a percentage of developer fee equal to the percentage of State Designated Boost awarded to the project. </t>
  </si>
  <si>
    <t xml:space="preserve">PROJECT NARRATIVE AND CONCEPT OUTLINE
INTRODUCTION
The Housing Authority of the City of Decatur, Georgia (“DHA”), acting through Preserving Affordable Housing, Inc. (“PAH”), is redeveloping Allen Wilson Terrace - its obsolete and oldest public housing property - in order to meet its continuing mission of preserving affordable housing within the City of Decatur.  PAH is a Georgia non-profit corporation established by DHA as an instrumentality for the preservation and redevelopment of Allen Wilson Terrace. DHA has 100% control of PAH by virtue of the Board of Directors being all DHA commissioners and by virtue of its control over amendments to the Articles of Incorporation and Bylaws. 
Higher housing and transportation costs are creating an economic burden for low-to-moderate-income households. The burden is found consistently in large metropolitan areas, such as metro Atlanta, which includes the City of Decatur.  Left unchecked, the burden will grow and rising housing costs will push working families further from job centers and transportation.
Located just minutes east of downtown Atlanta and minutes west of Stone Mountain, the City of Decatur, Georgia comprises only 4.18 square miles.  Opportunities to create or preserve affordable housing within this fully developed city are virtually non-existent.
Building housing that is affordable to low-to-moderate-income workers is difficult under most circumstances.  The high land and development costs, the greater burden of constructing high-density buildings and infrastructure, and the urban building requirements, such as fire district regulations, often adds tens of thousands of dollars to the cost of each apartment.
EXISTING CONDITIONS
At almost 70 years old, the current units are functionally obsolete and do not allow for any accessible units due to the configuration of the buildings.  Rooms and closets are small, ceilings are low, and the units are not designed to accommodate today’s modern appliances.  The existing storm sewer is overburdened, plumbing is limited in capacity and there is no off street parking. Also, the current layout co-mingles seniors and families.
RELOCATION AND DEMOLITION
The redevelopment of Allen Wilson Terrace is being implemented in three (3) phases to minimize disruption and displacement of current residents during the construction.  During demolition and construction, the current residents are being accommodated in other DHA apartments or provided with Section 8 vouchers under a carefully-monitored relocation plan.  
REDEVELOPMENT PLAN
The overall redevelopment plan calls for the replacement of the existing 200 public housing units with 191 public housing units on approximately 4.67 acres of the existing site.  Approximately 3.0 acres will remain and is planned to be sold for the development of for-sale condominiums, market rate rental units, or other primarily residential uses.  Sale proceeds will be used to pay for a portion of the cost of the redevelopment of the public housing portion of the property.
Allen Wilson Phase I consists of two (2) three-story garden apartment style buildings each having twenty (20) one, two and three bedroom apartments for a total of 40 units. 
Allen Wilson Phase I was completed and then fully occupied in March 2010 in less than 30 days.  
Allen Wilson Phase II (Oliver House) is under construction at 80% complete and will be ready for occupancy on September 1, 2012.  DHA has prequalified over 100 eligible elderly families to occupy the mid-rise, “U” shaped building having a total of eighty (80) one and two bedroom seniors apartments built on 1.676 acres.  The four-story building is elevator equipped, has laundry rooms and recreational areas on each of the upper floors, and other features suitable for seniors.  The seventy two (72) one-bedroom apartments and eight (8) two-bedroom apartments will be available exclusively to elderly households aged 62 and up.  Phase II is 80% complete at the time of the submission of this application.
Allen Wilson Phase III will consist of the construction of seven (7) buildings containing seventy-one (71) one, two, and three-bedroom family apartments.  Two (2) buildings will be garden style similar to the Allen Wilson Phase 1 buildings completed in March 2010, while the remaining five (5) buildings will be “cluster home” style with two and three townhomes.  Phase 3 includes a laundry facility, tot lot play area, covered gathering area, and enclosed garden area. 
Residents living in remaining nine (9) existing buildings on the Allen Wilson site will be relocated during the third phase of redevelopment.  Phase III residents in Buildings 13, 14, 15, and 16 will be relocated into other DHA housing, and those buildings will be demolished to make way for Allen Wilson Phase III construction.  Seniors will be relocated into AW II (Oliver House), and families relocated into other DHA Public Housing.  Demolition will begin after the relocation process is completed in September.  The financial closing will be in December 2012, and construction begin January 2013.  Phase 3 is expected to be completed and fully occupied in November 2013.  When construction of Allen Wilson Phase III is completed, residents in Buildings 4, 11, 12, 20, and 21 will be relocated into the new units, and those buildings will be demolished to clear the remaining site.  However, this demolition has no impact on the Phase III development.  
PROJECT FINANCING
The Mixed-Finance funding sources for the Allen Wilson Phase I (Family) included:
• Equity from the sale of 4% Low Income Housing Tax Credits (LIHTC), 
• Capital Fund Financing Program (CFFP) tax exempt bonds purchased by Fannie Mae through the Modernization Express program, 
• Tax exempt bridge loan provided by Fannie Mae’s Community Express program, 
• Affordable Housing Program (AHP) grant from the Federal Home Loan Bank,
• HUD Capital Funds and ARRA grants, and
• GP Capital Contributions
Mixed-Finance funding sources for Allen Wilson Phase II (Oliver House) included:
• Equity from the sale of 9% tax credits,
• HUD Capital Funds
• DHA Operating Reserves
• GP Capital Contributions  
Mixed-Finance funding sources for Allen Wilson Phase III (Family) will include:
• Equity from the sale of 9% tax credits,
• HUD Capital Funds, including Replacement Housing Factor Funds
• GP Capital Contributions4
For all three phases, certain preconstruction activities, including project design and tenant relocation will be completed by DHA prior to turning the sites over to the respective tax credit partnership.  These costs will be paid from HUD Capital Funds or other DHA sources.
CURRENT STATUS
On March 3, 2009, DHA received approval from HUD for the demolition of the entire existing property.  Allen Wilson Phase I (40 units) was completed in March 2010 and is fully occupied.  Allen Wilson Phase II (Oliver House - 80 units) is well underway at 80% completion and will be fully completed by September 2012.  DHA is preparing for the relocation of the families located in Phase IIIA of the demolition area that will support the development of Phase III of Allen Wilson.     
Allen Wilson Phase III (71 units) is the final affordable housing phase for the revitalization of the Allen Wilson community.  The completion of these units would allow DHA to replace the aged and obsolete public housing stock with new and viable housing.  DHA is pleased to have designed a master-planned community and housing that is sustainable and meets the needs of families and seniors in the 21st century.  
In our Preapplication, DHA requested that DCA consider a waiver request related to the DCA underwriting criteria requiring the use of the Applicable Credit Percentage for the level of the low income housing tax credits that will be awarded to the Allen Wilson III Project.  Unfortunately, DCA was not able to grant the waiver request to allow DHA to utilize the full credit value of 9% for credits awarded to the Allen Wilson Phase III project.  
DHA is requesting that DCA award a “State Designated Basis Boost” to the Allen Wilson Phase III project.  DHA can put the units into service by December 30, 2013, before the expiration of the current HERA provisions.  We understand that this is a unique situation and request, but DHA believes that it is uniquely positioned to utilize this boost in accordance with DCA’s tax credit and affordable housing guidelines.  The following represents a summary of the reasons to award DHA this basis boost:
1. DHA is a financially stable and solid quasi-public entity with demonstrated success in real estate development and the implementation of the low income housing tax credit program.  
2. Allen Wilson Phase III is the third phase of the successful Allen Wilson revitalization project being undertaken by DHA.  
3. DHA and its architect, Stewart Aiken of HADP Architecture, have completed the architectural drawings for Allen Wilson Phase III.  Full plans are available for review by DCA in Tab #15, as DHA undertook this effort using its own resources prior to LIHTC award.
4. As Allen Wilson Phase III is an urban site, there is no question about the availability of utilities and services since the site is currently a part of the City and County’s storm water, sewer, and water lines as documented by the required utility verification in Tab #12.
5. DHA has full site control as it has owned the Allen Wilson Phase III site since 1941.  
6. DHA has within its control the permanent funding to complete the Allen Wilson III project, except for a short term construction loan that will be secured during the summer of 2012.  DHA is making a substantial investment of equity in this phase.
7. DHA will have bid and secured a DCA qualified General Contractor, by September 1, 2012, prior to the planned award of low income housing tax credits by DCA.  DHA will submit the General Contractor to DCA for approval.  
8. DHA has attached a realistic project schedule that demonstrates the completion of the units by November 1, 2013, allowing 60 days for occupancy by qualified applicants.  
9. DHA has already prequalified from its waiting list 100+ families required to occupy the 80 Allen Wilson Phase II units that will be available on September 1, 2012.  DHA will undertake and utilize the same system of prequalification of eligible applicants for Allen Wilson Phase III to assure immediate occupancy of all the low income housing tax credit units.  (Please note that a number of families from the former Allen Wilson community have return rights, so there are many families just waiting for the phase III units to be completed in order to move into the site.)  
DHA hopes that DCA will favorably consider this basis boost for the Allen Wilson Phase III project.  DHA has provided more justification and documentation for the basis boost in Tab #8 of this application.
</t>
  </si>
  <si>
    <t>Other (storm water maint.)</t>
  </si>
  <si>
    <t>Optimum Utilization of Recourses</t>
  </si>
  <si>
    <t>Individual Unit Floor Plans</t>
  </si>
  <si>
    <t>Part  VI Revenues and Expenses</t>
  </si>
  <si>
    <t>Tab 15 Development Plan</t>
  </si>
  <si>
    <t>Construction Period Interest Calculation</t>
  </si>
  <si>
    <t>Part IV  Uses of Funds</t>
  </si>
  <si>
    <t>Backup Documentation for Management Fee</t>
  </si>
  <si>
    <t>HUD Demolition Approval Letter</t>
  </si>
  <si>
    <t>Tab 1 Project Narrative</t>
  </si>
  <si>
    <t xml:space="preserve">REPLACEMENT HOUSING FACTOR FUNDS
Being a PHA mixed finance redevelopment project, the Allen Wilson Terrace redevelopment project is eligible for Replacement Housing Factor Funds (RHFF). RHFF becomes available in the year following demolition of PH units. RHFF are Capital Fund Grants awarded to PHAs starting in the year after the first units are demolished and removed from inventory. RHFF can only be used for developing new public housing units. The Capital Fund formula rule, 24 CFR 905.10(i), provides that a PHA may receive RHFF grants for public housing units demolished or sold for a period of up to five years.  To date $174,007 in RHFF for FY 2010 and 2011 as accrued in DHA’s account with HUD that will be drawn and applied at closing. Based on the number and type of units being demolished, an additional $1,090,000 in RHFF grants is projected to be available during FY 2012 thru 2019. All RHF funds must be applied to develop additional PHA replacement units.
</t>
  </si>
  <si>
    <t>Tenants living in buildings to be demolished in Phase 3A will be relocated into other suitable DHA units including the units in the new Phase III building. No tenants will be temporaily relocated or displaced during the redevelopment of Allen Wilson - Phase III. Two units are temporarily being used for maintenance storage until Phase II is finished. One unit is used as the temporary laundry until Phase III is completed. These three units are marked as "down".</t>
  </si>
  <si>
    <t xml:space="preserve">PROJECT OVERVIEW
Allen Wilson - Phase III is the third phase of the Decatur Housing Authority's mixed finance replacement housing program of Allen Wilson Terrace. 100% of the units will be public housing. The project developer is Preserving Affordable Housing, Inc., which is a non-profit subsidiary of DHA. Allen Wilson - Phase I, is a 100% public housing 40 unit family property. Phase 1 received a Letter of Determination for tax exempt bonds and 4% tax credits from DCA on February 22, 2010. The initial closing was March 15, 2010. The development was completed, placed in service in March 2011 and 8609s were received on April 15, 2012.  
The second phase of redevelopment, Allen Wilson - Phase II (AKA Oliver House), received an allocation of 9% tax credits in the 2010 round and the initial closing was on July 19, 2011.  Construction is on schedule to be completed on September 1, 2012 with lease up and move-in expected to be finished within 30-days. Seniors living in the building being demolished in Phase III will relocate into the new building immediately as it is ready. 100% of the units in the second phase are reserved for public housing seniors (62+). In order to get an early start, regardless of the timing of the 2012 LIHTC awards, demolition of the buildings that are located on the Phase III site will start immediate after being vacated.
The subject of this application is the third and final phase of the Allen Wilson redevelopment. Depending on the date that tax credit awards are announced, the applicant is prepared to begin to begin construction of this 71 unit public housing development before December 30, 2012. Our plan is to keep the entire development team together for Phase III (except the general contractor that must be competitively bid according to Federal regulations). And, we plan to keep the same financing team in place as well. A full set of plans and specifications are being submitted with this application. DHA with begin advertising for bids in June and will have made a contractor selection within 45-days. At the same time, the plans will be submitted to the appropriate authorities for permitting (The project engineer has already had numerious meetings on drainage and other site design issues) The applicant's objection is to be prepared to immediately mobilize our development, financial and construction teams as soon as the 2012 tax credit awards are announced. From the date of mobilization, construction  is expected to take 8 months  with another 30-days for punchout and to received COs.   Like the first two phases, the majority of families to occupy Phase 3 are currently living in other DHA properties. In addition, DHA has an active waiting list of 2,500 qualified families to fill units not taken by a DHA resident. Lease up is expected to be finished in less than 30 days. With this schedule, Phase III will be finished and placed-in-service before 12/30/2013 and to qualify for the HERA temporarily fixed floor rate of 9 percent for 9% LIHTC Credits.
Because this is the third phase and most of the Phase III predevelopment and closing process is the same as earlier, with the predevelopment process nearly completed at the time of application, and because of the advantage that the same buildings were built in Phase I, Allen Wilson – Phase III represents an extraordinary opportunity for be placed in service before December 30, 2013 and to qualify to meet the HERA deadline for the temporarily fixed floor rate of 9 percent for 9% LIHTC Credits and to be able to return to DCA approximately 17% to 18% of its tax credit award once the cost certification is finished.
</t>
  </si>
  <si>
    <t xml:space="preserve">DEVELOPMENT TEAM
The Applicant's objective is to keep as much of the development team in place as possible that developed the first two phases (except the contract, which must be competitively bid) and to be in position to be able quickly to “roll into” Phase III. The same financing team - federal and state tax credit syndicators and construction lender – is expected to do Phase III as well.  
A full set of plans and specifications have been completed by the project architect, HADP Architecture, Inc., and are being submitted with this application. Advertisements for construction bids will be released in early July with the selection of a qualified contractor within 45-days afterward, mid August. During this same time, the plans and specifications will be formally submitted to the appropriate authorities for review and permitting. (Many of the plans for site work are currently in preliminary review and zoning and site plan approval for the entire project were approved in 2007 prior to the start of Phase I.) The applicant's objective is to have everything in place and to be prepared to mobilize the development, financial and construction teams as soon as the 2012 tax credit awards are announced. 
The Managing General Partner, Developer and Property Management agent are affiliates of the Decatur Housing Authority.  The Managing General Partner of Allen Wilson III, LP is Pierce Court, LLC., a Georgia limited liability company, whose sole member is Decatur Housing General Partner, Inc., a Georgia non-profit corporation which is 100% owned and controlled by the Decatur Housing Authority. The Developer is Preserving Affordable Housing, Inc., a Georgia nonprofit corporation which is 100% owned and controlled by the Decatur Housing Authority. The Property Management Division of the Decatur Housing Authority will provide on-site management upon completion of construction and thereafter.  
</t>
  </si>
  <si>
    <t>Loan from Sponsor</t>
  </si>
  <si>
    <t xml:space="preserve">EXPLANATIONS OF CONSTRUCTION COSTS
Unit/ Building Construction Costs - Based on an estimate prepared by the Project Architect. Costs were compared to cost from Phase I, as well as to recent similar properties to verify the accuracy of the building costs. In addition, two general contractors building similiar projects provided preliminary cost take off. The Project Architect used all of this data in preparing the budget used in this application. See accompanying details of building costs in Tab #8. 
EXPLANATIONS OF SITE ACQUISITION COSTS
The acquisition cost to the Applicant is zero. The site is owned by the Decatur Housing Authority, which has entered into a 12 month Option to Lease with the Applicant. Upon final approval by HUD and completion of Phase II, the parties will enter into a long-term ground lease for $10 per year. 
EXPLANATION OF RELOCATION APPROVAL AND COSTS
On March 23, 2009, the Authority received HUD approval to relocate the tenants and demolish the existing structures (see TAB #30 for a copy of HUD's approval letter) to make way for redevelopment of the site. HUD's demolition and relocation approval applies to the entire site with the understanding that the project will be completed in three phases. To expedite the start of demolition, relocation of non-senior tenants in existing buildings located on the construction site for Phase III (buildings #13, 14, 15 and 16 - see site plan map in Tab 18) will be started as vacancies are available in other suitable DHA units.  The senior residents living in those buildings will be relocated immediately into Phase II (Oliver House) as soon the building is completed and ready for occupancy. The costs shown for relocation are based on the actual costs from Phase I and II adjusted to fit the situation for this phase. The residents living the remaining five old buildings (#4, 11, 12, 20 and 21) will be relocated upon the completion of Phase III and relocation of residents into the new units.
EXPLANATIONS OF LEGAL, ACCOUNTING AND OTHER PROFESSIONAL FEES
Due to the complex nature of this project and the involvement of HUD and their extensive legal requirements most third-party professional fees are higher than the norm. This is particularly true when those costs are taken on a percentage basis and on a per unit basis.
</t>
  </si>
  <si>
    <t>Utility allowances from Decatur Housing Authority Section 8 Existing Housing Allowance for Tenant Furnished Utiltiy and Other Services for Decatur &amp; DeKalb County for Energy Efficient Multifamily, updated Feb. 1, 2012, included in Tab #7.</t>
  </si>
  <si>
    <t xml:space="preserve">EXPLANATION OF REAL ESTATE TAXES
By Federal law, Public Housing properties pay PILOT (Payment In Lieu of Taxes) instead of property taxes. PILOT is calculated according to a formula based on 10% of tenant rents paid less utilities for the preceding 12 month period. Because rents for this 100% public housing project will be based on 30% of the tenant's income, it is not possible to determine an exact amount of PILOT until the income of the tenants and cost of utilities are known. The amount shown in this Annual Operating Budget is based on applying the PILOT formula to the Applicant's best estimate of tenant rents and utilities during the first stabilized year of operation. A copy of the Cooperation Agreement between the Decatur Housing Authority and the City of Decatur is included in TAB # 5.
EXPLANATION OF INSURANCE COSTS
Insurance expense is based on a quote by The Pope Agency LLC agent for Holyoke Mutual Insurance Company. The amount shown in the Operating Expense Budget does not include Directors' &amp; Officials' Liability coverage, which will be paid separately by the Management Company. A copy of the quote for owner's insurance is included in TAB #8.
EXPLANATION OF MANAGEMENT FEE
HUD's Financial Management Division (FMD) establishes the management fees for PHAs. FMD management fees are based on the 80th percentile management fee for public housing for each HUD Field Office.  The amount of management fee shown in the table above is based on Table 1: 2012 Schedule of 80th Percentile of Property Management Fee, which is included in TAB #30.
EXPLANATION OF PROPOSED GROSS RENTS AND UTILITY ALLOWANCE
All units will be LIHTC/PHA units and receive a HUD Operating Subsidy (see explanation below). Per the directions on page 24 of 29 of the 2012 Core Application Instructions, the Proposed Gross Rent and Utility Allowance for the LIHTC/PHA units are entered as zero.
EXPLANATION OF OPERATING SUBSIDY
Amount entered as operating subsidy in the Non-Occupancy Based income part of Other Income Sources is an amount projected to be paid to the Applicant by the Decatur Housing Authority under the Housing Authority Agreement included in TAB #5. Subsidy to pay for the operation of Public Housing is established by Section 9 of the Housing Act of 1937, as amended and is implemented by Title 24 CFR Part 990. 
EXPLANATION OF ANCILLARY INCOME
The amounts of Other Income shown in Section III above are based on 2% of total project gross income (tenant paid rent, plus operating subsidy) for each year of the projection per the 2012 Georgia QAP underwriting guidelines.
</t>
  </si>
  <si>
    <t>Part VIII Threshold Criteria</t>
  </si>
  <si>
    <t xml:space="preserve">EXPLANATION OF OTHER INCOME
According to the directions on page 24 of 29 of the 2012 Core Application Instructions, the amount shown as Other Income (OI) is the operating subsidy Decatur Housing Authority is projected to pay to Allen Wilson III, LP under the Housing Authority Agreement included in TAB #5 - Operating Subsidy Agreements. Also, see Tab #30 for backup documentation explaining the projected amount of HUD Operating Subidy (PEL/UEL) that will be paid to DHA once Allen Wilson Phase III is completed and operating.
EXPLANATION OF DEBT COVERAGE RATIO
Debt Service Coverage Ratio (DCR) is not an appropriate underwriting standard for this project because there will be no debt service. PHA properties are expected to operate at a breakeven basis. Cash flow indicated in these projections is to satisfy DCA's underwriting standards.
EXPLANATION OF MANAGEMENT FEE
HUD has established a management fee system for use in public housing unts and publishes that fee by area. The fee as established by HUD considers costs unique to public housing, HUD required systems, operating policies, etc. The fees shown reflect the HUD established managment fee schedule for the Atlanta area. For a more detailed explanation of  calculation of management fee for public housing properties, see Tab #30 - Backup Documentation for Management Fee.
</t>
  </si>
  <si>
    <t xml:space="preserve">DHA owns and operates a 7,200 sq ft Community Resource Facility, immediately adjacent to Phase III of Allen Wilson.  The activities for children and teens include after school programs, homework assistance, tutoring, computer instruction, arts and crafts, Boy Scouts, Cub Scouts, Girl Scouts, drug education, charm and discovery classes and entrepreneur programs for teens. Programs for adults include nutrition education, parenting training and employment education such as job fairs, resume writing and job interview skills. Senior’s activities include a walking club, inspiration classes, weekly shopping trips, exercise classes and field trips. Additionally, a number of outside groups use the facility to provide a variety of community activities and programs designed for the residents, including health fairs and screening, clothing distribution and seasonal food and gift distributions. The Authority currently employs a Resident Services Director and two resident services specialists who provide an extensive array of services to all Authority residents. Services include:
• Nutrition Class – once a week
• STAR (After-school) Program – during the school year.
• Summer Academic Camp – during the summer months from June to July
• Little Scholars –  during the summer months from June to July.
• Youth Literacy Program – twice a week.
• Teens In Action – once a week.
• Young Ladies of Distinction – once a week.
• Youth of Distinction – once a week.
</t>
  </si>
  <si>
    <t>Allen Wilson Phase I</t>
  </si>
  <si>
    <t>Allen Wilson Phase II</t>
  </si>
  <si>
    <t xml:space="preserve">PROJECT ABSORPTION AND STABILIZATION
The market analyst projects a 1 to 2 month stabilization period, which is conservative since 62 LIHTC pre-qualified families are living in other DHA units that will transfer to Allen Wilson Phase III upon completion. There are more than 1.098 families on the DHA public housing waiting list from which residents for Allen Wilson Phase III will be drawn for units not filled by existing residents. Existing tenants will be given first priority. Phase I lease up of 40 units was completed in less than 30 days. DHA has prequalified in excess of 100 families to occupy the 80 units in Phase II. Phase III is expected to take less than 30 days from completion of construction (September 1, 2012) to full occupancy and placed in service.
</t>
  </si>
  <si>
    <t xml:space="preserve">COMMENTS ON FINANCING - THRESHOLD
See the commitment letters in Tab #5 from Hudson Housing Capital and Sugar Creek Realty for the purchase of the federal and state tax credits. In addition in Tab #5, see the commitment letter from Bank of America for a construction loan in the amount of $5,262,420. It is important to note that these are the same entities that provided financing for Allen Wilson - Phase II, currently being successfully completed at this time.  All parties have agreed to use the same attorneys as Phase II, which will significantly reduce the expense to create partnership and loan documents, as well as and shorten the time needed to close and start construction.
The Applicant recently completed Phase I and will complete Phase II of this redevelopment project by September 1, 2012. Our objective is to keep as much of the development team in place as possible that developed the first two phases (except the construction contract, which must be competitively bid) and to be in position to be able quickly to “roll into” Phase III. The same financing team - federal and state tax credit syndicators and construction lender – is expected to do Phase III as well.  
A full set of plans and specifications have been completed by the project architect, HADP Architecture, Inc., and are being submitted with this application. Advertisements for construction bids will be released in early July with the selection of a qualified contractor within 45-days afterward, mid-August. During this same time, the plans and specifications will be formally submitted to the appropriate authorities for review and permitting. (Many of the plans for site work are currently in preliminary review and zoning and site plan approval for the entire project were approved in 2007 prior to the start of Phase I.) 
DHA's commitments to provide financing (debt and/or equity) are included in Tab #5.
The applicant's objective is to have everything in place and to be prepared to mobilize the development, financial and construction teams as soon as the 2012 tax credit awards are announced.
</t>
  </si>
  <si>
    <t>ACCESS TO PUBLIC ROADS
The property has access via  paved drives at the main entrance on Commerce Drive and a secondary entrance from Electric Avenue. Both roads are public right-of-ways.</t>
  </si>
  <si>
    <t>A full set of plans are being submitted with this application and DCA plan review is requested to begin at this time.</t>
  </si>
  <si>
    <t>TRANSPORTATION OPTIONS
There is a MARTA bus stop ajacent to the  Allen Wilson site. Also, the location is within one quarter mile walking distance from the Decatur MARTA rail station. New bicycle lanes are being added by the City of Decatur along Trinity Drive on the north side the property and a existing PATH bicycle trail is one half mile to the south. There are existing public sidewalks along both sides of all streets surrounding the site connecting it to all areas of the surrounding neighborhood, to the thriving Decatur CBD and city and county government offices. The Housing Authority also provides shuttle service for its residents for grocery shopping and other transportation needs. The property is being developed with bicycle racks and other features to encourage alternative transportation options.</t>
  </si>
  <si>
    <t xml:space="preserve">The market study provided by Novogratic and Company deterimined a need to affordable housing units. in the Decatur market </t>
  </si>
  <si>
    <t>Allen Wilson is an all-electric property. See confirmation letter in Tab #12. Natural gas will not be used.</t>
  </si>
  <si>
    <t xml:space="preserve">QUALIFICATIONS WITH CONDITIONS
A notice of approval of the proposed development for Qualified with Conditions is included in Tab #3. The conditions are:
1.)  Limit to 1 deal to be funded during 2012 round - Applicant agrees that Allen Wilson Phase III is the only application being submitted in the 2012 round.
2.)  Allen Wilson II must have made significant progress by the time of the 2012 tax credit award toward construction completion by 12/31/2012 - as of the date of this application; Allen Wilson Phase II is on track to be completed on or before September 1, 2012. Further,  all the residents living in the four buildings set for pre-construction demolition are being notified that they are set for relocation to the AWII building (seniors) or to other DHA public housing units (families) so that demolition of those buildings can proceed. We expect to have all those tenants moved out by October 1, 2012 at which time removal of ACM can proceed followed by demolition of the four buildings in order to expedite the start of site work and to meet the December 30, 2013 HERA deadline for the 9% credit factor for the project.
3.)  Third party construction manager - Mary Beth Hemenway, Hemenway, Inc., has been the third-party Construction Manager since the project started and will continue in that capacity for Phase III.
</t>
  </si>
  <si>
    <t>NONPROFIT STATUS
Decatur Housing General Partner III, Inc., a Georgia non-profit corporation, is organized as and designated a susidiary corporation of the Housing Authority of the City of Decatur, Georgia and has been determined to be a qualified nonprofit organization within the meaning of Section 42(h)(5) of the Internal Revenue Code of 1986, as amended.  Decatur Housing General Partner III, Inc., is the sole member of Pierce Court, LLC, a Georgia limited liability company, which is the sole general partner of Allen Wilson III, LP.  Preserving Affordable Housing, Inc., a Georgia domestic nonprofit corporation is the Developer and is organized as and designated a susidiary corporation of the Housing Authority of the City of Decatur, Georgia. 
JOINT VENTURE AGREEMENT
Because the project is being developed without a for-profit partner, there is no need for a joint venture agreement.</t>
  </si>
  <si>
    <t>The site is entirely within Census Tract 225, which has a 30.38% minority population and therefore qualifies as Racially Mixed.
Allen Wilson Phase III is not a HOME funded project, therefore a contract addendum is not applicable. Likewise, DCA's MBE/WBE requirements do not apply; however DHA is obligated to follow applicable laws, regulations and other requirements pursuant to procurement, which ensure that small and minority-owned businesses, women's business enterprises and other individuals or firms located in or owned by persons residing in the area of a DHA development are used when possible. See the application section from DHA’s Procurement Policy, which is included in Tab #16.</t>
  </si>
  <si>
    <t xml:space="preserve">OPTIMAL UTILIZATION OF RESOURCES 
DHA is proposing the development of Allen Wilson Phase III.  This is a family development that will complete the master planned community and enable the replacement of 71 more public housing units in Decatur, Georgia.  We have addressed below the factors cited in the DCA application as it relates to the Optimal Utilization of Resources.  
A. Property acquisition and rehabilitation cost versus the cost to demolish and build 
Under its State Charter, the Decatur Housing Authority DHA is required to operate its Public Housing Programs within the City Limits of Decatur, Georgia.  Decatur is only four square miles and with limited availability of multifamily property or vacant land, DHA has proceeded on the most viable course of action to rebuild replacement public housing on the same site.  
B. Ratio of acquisition costs versus rehab hard costs 
As previously stated, there was no viable opportunity to acquire and rehabilitate multifamily rental housing in this very tight market location.  
C. Insufficient work scope for rehabs 
Not applicable to this project as this is new construction.  
D. DCA resources allocated to develop each unit 
Allen Wilson Phase III units are moderate multifamily rental units being developed well within the DCA cost limits.  The development costs for Phase III are at 92% of DCA’s TDC Limits.  
E. Effectiveness and aesthetics versus the cost of a mitigation plan 
 No mitigation plan is required.  
F. Efficient and marketable use of the site, considering size and lay-out, to accommodate the number and type of units and amenities proposed 
DHA has undertaken a master plan for the Allen Wilson community that while increasing the density of housing, also increases the amount of usable green space and amenities on-site.  
G. Undue enrichment of any development team member or contractor particularly where there are identities of interest 
There is no undue enrichment of any development team member or contractor.  DHA, through its wholly controlled nonprofit developer Preserving Affordable Housing (PAH), is developing the Allen Wilson Phase III project.  DHA is engaging a third-party contractor through a competitively bid process.  There will be no identity of interest.  DHA, as the property manager, will be compensated within the DCA and HUD limits of 6%.   
H. Impact on affordable housing stock 
DHA is replacing 191 of the 200 former obsolete public housing units on the Allen Wilson site.  Phase III of this project brings in the final 71 units of the project.  With this development and the subdividing of larger units (four bedroom units) in the nearby Swanton Heights property over the next few years, DHA hopes to return a full 200 units of housing so that there would be no net loss of affordable housing units in the Decatur market.  
I. Other uses proximate to the site 
DHA is replacing housing on a site that has been housing-oriented in Decatur for over 100 years.  Over the past 60 years, this has been a public housing community.  This is an urban property located adjacent to other forms and types of market rate housing as well as other compatible uses such as governmental office space, a high school, and recreational amenities.  
J. Market information generated by or available to DCA 
The Market Study by Novogradac shows an extreme need for affordable housing in this market.  Further demonstration of this need is the manner in which Phase I of Allen Wilson (family housing) was fully leased within 30 days of completion.  Please note that DHA has over 2,800 persons on its Affordable Housing Program waiting lists, and over 1695 persons on its Section 8 Waiting List.  
K. Property is already affordable and not a priority for receipt of resources 
The property is obsolete and required replacement.  
L. Transaction appears to be primarily driven by the transfer of the property 
 There is no transfer of title or property.  
M. Insufficient Rehabilitation proposed 
Not applicable to this project.  
N. Per unit costs not reasonable
The development costs for Phase III are at 92% of DCA’s TDC Limits.  
O. Excessive soft costs 
The soft costs are based on the actual estimated costs for mixed finance transaction under HUD’s guidelines.  
P. Oversized units 
There are no oversized units in this proposal.  The units are moderately-sized in accordance with DCA’s policies.  
Q. Number of bedrooms high for proposed market 
DHA’s market study supports the reasonableness of the unit sizes (by bedroom) for this phase of development.  
R. High acreage 
DHA is developing Phase III on a moderately sized parcel of land.  There is no excess property in this phase.  
</t>
  </si>
  <si>
    <t>Included in Tab #3 is the notice of conditional approval of the Request for a Pre-Determination for the proposed development team, as well as the Performance Workbooks for the Owner, Developer and Manager. The Applicant agrees to comply with the three qualification limitations in the approval letter. 
1.)  Limit to 1 deal to be funded during 2012 round 
2.)  Allen Wilson II must have made significant progress by the time of the 2012 tax credit award toward construction completion by 12/31/2012 
3.)  Third party construction manager</t>
  </si>
  <si>
    <t>The seven buildings being replaced by this phase of the Allen Wilson Terrace redevelopment have had an average occupancy of 97% for the 3 months period March 2011 through May 2012 as verified by the rent monthly rent rolls included with this application.</t>
  </si>
  <si>
    <t xml:space="preserve">To be eligible for points under section A or B below, the following criteria must be met:
1. Funding or assistance provided above must be binding and unconditional except as set forth in this section.
2. Resources must be utilized if the project is selected for funding by DCA.
3. Only loans that are for both construction and permanent financing phases will be considered for points in this section.
4. Loans must be for a minimum period of ten years and reflect interest rates at or below AFR.
5. Commitment or award documentation must meet the terms and conditions as applicable specified in Appendix I, Threshold Criteria, Section I. (I) (Permanent financing, limited partnership equity, deferred developer fee and other financing Commitment).
GRANTS/LOANS
Qualifying Sources
Replacement Housing Factor Funds            $174,004
Capital Funds                                                       $354,650
Funding Commitment from DHA                $1,083,723
                                  TOTAL                                  $1,612,380
LONG TERM GROUND LEASE
The Decatur Housing Authority is the owner of the land on which the project is being redeveloped. The Applicant has a 12 month Option to Lease the project site for a minimum of 45 years to the partnership for a nominal amount ($10 per year). See the Option to Lease in Tab #9.
</t>
  </si>
  <si>
    <t>2012-059</t>
  </si>
</sst>
</file>

<file path=xl/styles.xml><?xml version="1.0" encoding="utf-8"?>
<styleSheet xmlns="http://schemas.openxmlformats.org/spreadsheetml/2006/main">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409]mmm\-yy;@"/>
    <numFmt numFmtId="179" formatCode="#,##0.000000_);[Red]\(#,##0.000000\)"/>
  </numFmts>
  <fonts count="132">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
      <u/>
      <sz val="10"/>
      <color theme="11"/>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style="thin">
        <color auto="1"/>
      </left>
      <right style="thin">
        <color auto="1"/>
      </right>
      <top style="thin">
        <color auto="1"/>
      </top>
      <bottom style="double">
        <color auto="1"/>
      </bottom>
      <diagonal/>
    </border>
    <border>
      <left style="hair">
        <color auto="1"/>
      </left>
      <right/>
      <top style="hair">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auto="1"/>
      </left>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79">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88">
      <alignment horizontal="left" vertical="center"/>
    </xf>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 fillId="0" borderId="0"/>
    <xf numFmtId="178" fontId="1" fillId="0" borderId="0"/>
  </cellStyleXfs>
  <cellXfs count="171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31" xfId="0" applyFont="1" applyFill="1" applyBorder="1" applyAlignment="1" applyProtection="1">
      <alignment horizontal="left" vertical="center"/>
    </xf>
    <xf numFmtId="0" fontId="53" fillId="5" borderId="22" xfId="0" applyFont="1" applyFill="1" applyBorder="1" applyAlignment="1" applyProtection="1">
      <alignment horizontal="left" vertical="center"/>
    </xf>
    <xf numFmtId="0" fontId="53" fillId="5" borderId="80"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0" fontId="53" fillId="5" borderId="32"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37" xfId="0" applyFont="1" applyFill="1" applyBorder="1" applyAlignment="1" applyProtection="1">
      <alignment horizontal="left" vertical="center" wrapText="1"/>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3" fontId="53" fillId="13" borderId="45" xfId="0" applyNumberFormat="1" applyFont="1" applyFill="1" applyBorder="1" applyAlignment="1" applyProtection="1">
      <alignment horizontal="left" vertical="top" wrapText="1"/>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9" fontId="57" fillId="5" borderId="37" xfId="0" applyNumberFormat="1" applyFont="1" applyFill="1" applyBorder="1" applyAlignment="1" applyProtection="1">
      <alignment horizontal="lef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84" xfId="0" applyNumberFormat="1" applyFont="1" applyFill="1" applyBorder="1" applyAlignment="1" applyProtection="1">
      <alignment horizontal="right" vertical="center"/>
    </xf>
    <xf numFmtId="38" fontId="57" fillId="5" borderId="85" xfId="0" applyNumberFormat="1" applyFont="1" applyFill="1" applyBorder="1" applyAlignment="1" applyProtection="1">
      <alignment horizontal="right" vertical="center"/>
    </xf>
    <xf numFmtId="38" fontId="57" fillId="5" borderId="38" xfId="0" applyNumberFormat="1" applyFont="1" applyFill="1" applyBorder="1" applyAlignment="1" applyProtection="1">
      <alignment horizontal="right" vertical="center"/>
    </xf>
    <xf numFmtId="3" fontId="53" fillId="13" borderId="41" xfId="0" applyNumberFormat="1" applyFont="1" applyFill="1" applyBorder="1" applyAlignment="1" applyProtection="1">
      <alignment horizontal="left" vertical="top" wrapText="1"/>
    </xf>
    <xf numFmtId="0" fontId="57" fillId="5" borderId="37"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64" fontId="1" fillId="13" borderId="45" xfId="0" applyNumberFormat="1" applyFont="1" applyFill="1" applyBorder="1" applyAlignment="1" applyProtection="1">
      <alignment horizontal="left" vertical="top" wrapText="1"/>
    </xf>
    <xf numFmtId="43" fontId="57" fillId="5" borderId="14" xfId="0" applyNumberFormat="1" applyFont="1" applyFill="1" applyBorder="1" applyAlignment="1" applyProtection="1">
      <alignment horizontal="left"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179" fontId="53" fillId="4" borderId="37" xfId="0" applyNumberFormat="1" applyFont="1" applyFill="1" applyBorder="1" applyAlignment="1" applyProtection="1">
      <alignmen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 fillId="5" borderId="37" xfId="0" applyFont="1"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 fontId="10" fillId="5" borderId="17" xfId="10" applyNumberFormat="1" applyFont="1" applyFill="1" applyBorder="1" applyProtection="1"/>
    <xf numFmtId="38" fontId="1"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43" fontId="1" fillId="13" borderId="45" xfId="0" applyNumberFormat="1" applyFont="1" applyFill="1" applyBorder="1" applyAlignment="1" applyProtection="1">
      <alignment horizontal="left" vertical="top" wrapText="1"/>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79">
    <cellStyle name="Comma" xfId="1" builtinId="3"/>
    <cellStyle name="Currency" xfId="2" builtinId="4"/>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13"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Grey" xfId="3"/>
    <cellStyle name="Header1" xfId="4"/>
    <cellStyle name="Header2" xfId="5"/>
    <cellStyle name="Header2 2" xfId="12"/>
    <cellStyle name="Hyperlink" xfId="6" builtinId="8"/>
    <cellStyle name="Input [yellow]" xfId="7"/>
    <cellStyle name="Normal" xfId="0" builtinId="0"/>
    <cellStyle name="Normal - Style1" xfId="8"/>
    <cellStyle name="Normal 2" xfId="77"/>
    <cellStyle name="Normal 2 2" xfId="78"/>
    <cellStyle name="Normal_'96-'97 Rent Tables" xfId="9"/>
    <cellStyle name="Percent" xfId="10" builtinId="5"/>
    <cellStyle name="Percent [2]" xfId="11"/>
  </cellStyles>
  <dxfs count="10">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123824</xdr:rowOff>
    </xdr:from>
    <xdr:to>
      <xdr:col>0</xdr:col>
      <xdr:colOff>7239001</xdr:colOff>
      <xdr:row>46</xdr:row>
      <xdr:rowOff>95250</xdr:rowOff>
    </xdr:to>
    <xdr:sp macro="" textlink="">
      <xdr:nvSpPr>
        <xdr:cNvPr id="2" name="TextBox 1"/>
        <xdr:cNvSpPr txBox="1"/>
      </xdr:nvSpPr>
      <xdr:spPr>
        <a:xfrm>
          <a:off x="38101" y="123824"/>
          <a:ext cx="7200900" cy="7419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PROJECT OVERVIEW</a:t>
          </a:r>
        </a:p>
        <a:p>
          <a:endParaRPr lang="en-US" sz="1100"/>
        </a:p>
        <a:p>
          <a:r>
            <a:rPr lang="en-US" sz="1100"/>
            <a:t>Allen Wilson - Phase III is the third phase of the Decatur Housing Authority's mixed finance replacement housing program of Allen Wilson Terrace. 100% of the units will be public housing. The project developer is Preserving Affordable Housing, Inc., which is a non-profit subsidiary of DHA. Allen Wilson - Phase I, is a 100% public housing 40 unit family property. Phase 1 received a Letter of Determination for tax exempt bonds and 4% tax credits from DCA on February 22, 2010. The initial closing was March 15, 2010. The development was completed, placed in service in March 2011 and 86092 were received on April 15, 2012.  The second phase of redevelopment, Allen Wilson - Phase II (AKA Oliver House), received an allocation of 9% tax credits in the 2010 round and the initial closing was on July 19, 2011.  Construction is on schedule to be completed on September 1, 2012 with lease up and move-in expected to be finished with 30-days. Seniors living in the building being demolished on Phase III will relocate into the new building as soon as it is ready. 100% of the units in the second phase are reserved for public housing seniors (62+). In order to get an early start, regardless of the timing of the 2012 LIHTC awards, demolition of these buildings that are located on the Phase III site will start immediate after being vacated.</a:t>
          </a:r>
        </a:p>
        <a:p>
          <a:endParaRPr lang="en-US" sz="1100"/>
        </a:p>
        <a:p>
          <a:r>
            <a:rPr lang="en-US" sz="1100"/>
            <a:t>The subject of this application is the third and final phase of the Allen Wilson redevelopment. Depending on the date that tax credit awards are announced, the applicant is prepared to begin to begin construction of this 71 unit public housing development before the end of the year. The plan is to keep the entire development team for Phase III (expect the contract, which must be competitively bid). And, we plan to keep the same financing team in place as well. A full set of plan and specification are completed and being submitted with this application. DHA with begin advertising for bids in July and will have made a contractor selection with 45-days. At the same time, the plans will be submitted to the appropriate authorities for review and permitting. The applicant's objection is to be prepared to be able to immediately mobilize the development, financial and construction teams as soon as the 2012 tax credit awards are announced. Construction time is expected to take 8-months from mobilization, will completion and punch out done with 30-days. Like the first two phases, the majority of families to occupy Phase 3 are currently living in the remaining buildings are Allen Wilson and other DHA properties. In addition, DHA has an active waiting list of 2,500 qualified families to fill units not taken by a DHA resident. </a:t>
          </a:r>
        </a:p>
        <a:p>
          <a:endParaRPr lang="en-US" sz="1100"/>
        </a:p>
        <a:p>
          <a:r>
            <a:rPr lang="en-US" sz="1100"/>
            <a:t>Because this is the third phase and most of the Phase III predevelopment and closing process is the same as earlier, with most of the predevelopment process nearly completed at the time of application, and because of the advantage that the same buildings were built in Phase I, Allen Wilson – Phase III is in an extraordinary position for be placed in service before the December 30, 2013 HERA deadline to take advantage of the 9% applicable credit percentage and be able to return to DCA approximately 17% to 18% of its tax credit award once the cost certification is finished.</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n776/Downloads/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GEN"/>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4"/>
  <sheetViews>
    <sheetView workbookViewId="0">
      <selection sqref="A1:XFD1048576"/>
    </sheetView>
  </sheetViews>
  <sheetFormatPr defaultColWidth="8.85546875" defaultRowHeight="12.75"/>
  <cols>
    <col min="1" max="1" width="3.42578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8.8554687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2012-059, Allen Wilson - Phase III, DeKalb County</v>
      </c>
      <c r="B1" s="869"/>
      <c r="C1" s="869"/>
      <c r="D1" s="869"/>
      <c r="E1" s="869"/>
      <c r="F1" s="869"/>
      <c r="G1" s="869"/>
    </row>
    <row r="2" spans="1:9" s="40" customFormat="1" ht="11.45" customHeight="1">
      <c r="A2" s="870" t="s">
        <v>669</v>
      </c>
      <c r="B2" s="871"/>
      <c r="C2" s="871"/>
      <c r="D2" s="871"/>
      <c r="E2" s="871"/>
      <c r="F2" s="871"/>
      <c r="G2" s="871"/>
    </row>
    <row r="3" spans="1:9" s="40" customFormat="1" ht="25.35" customHeight="1">
      <c r="A3" s="883" t="s">
        <v>3553</v>
      </c>
      <c r="B3" s="883"/>
      <c r="C3" s="883"/>
      <c r="D3" s="883"/>
      <c r="E3" s="883"/>
      <c r="F3" s="883"/>
      <c r="G3" s="883"/>
    </row>
    <row r="4" spans="1:9" s="40" customFormat="1" ht="8.25" customHeight="1">
      <c r="A4" s="95"/>
      <c r="B4" s="872" t="s">
        <v>1243</v>
      </c>
      <c r="C4" s="873"/>
      <c r="D4" s="873"/>
      <c r="E4" s="873" t="s">
        <v>3618</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3974</v>
      </c>
      <c r="I8" s="1235"/>
    </row>
    <row r="9" spans="1:9" s="40" customFormat="1" ht="12.6" customHeight="1" thickBot="1">
      <c r="A9" s="101"/>
      <c r="B9" s="789"/>
      <c r="C9" s="390"/>
      <c r="D9" s="390"/>
      <c r="E9" s="391" t="s">
        <v>3941</v>
      </c>
      <c r="F9" s="391"/>
      <c r="G9" s="1234" t="s">
        <v>3974</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3974</v>
      </c>
    </row>
    <row r="12" spans="1:9" s="40" customFormat="1" ht="12.6" customHeight="1">
      <c r="A12" s="386"/>
      <c r="B12" s="1237"/>
      <c r="C12" s="1237"/>
      <c r="D12" s="1237"/>
      <c r="E12" s="1236" t="s">
        <v>3942</v>
      </c>
      <c r="F12" s="395"/>
      <c r="G12" s="1234" t="s">
        <v>3974</v>
      </c>
    </row>
    <row r="13" spans="1:9" s="40" customFormat="1" ht="12.6" customHeight="1">
      <c r="A13" s="386"/>
      <c r="B13" s="1237"/>
      <c r="C13" s="1237"/>
      <c r="D13" s="1237"/>
      <c r="E13" s="1236" t="s">
        <v>3938</v>
      </c>
      <c r="F13" s="395"/>
      <c r="G13" s="1234" t="s">
        <v>3974</v>
      </c>
    </row>
    <row r="14" spans="1:9" s="40" customFormat="1" ht="12" customHeight="1">
      <c r="A14" s="101"/>
      <c r="B14" s="391"/>
      <c r="C14" s="391"/>
      <c r="D14" s="391"/>
      <c r="E14" s="392" t="s">
        <v>749</v>
      </c>
      <c r="F14" s="391"/>
      <c r="G14" s="1234" t="s">
        <v>3974</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3974</v>
      </c>
    </row>
    <row r="17" spans="1:7" s="40" customFormat="1" ht="12" customHeight="1">
      <c r="A17" s="101"/>
      <c r="B17" s="239"/>
      <c r="C17" s="789"/>
      <c r="D17" s="391"/>
      <c r="E17" s="391" t="s">
        <v>3929</v>
      </c>
      <c r="F17" s="391"/>
      <c r="G17" s="1234" t="s">
        <v>3974</v>
      </c>
    </row>
    <row r="18" spans="1:7" s="40" customFormat="1" ht="12" customHeight="1">
      <c r="A18" s="101"/>
      <c r="B18" s="239"/>
      <c r="C18" s="789"/>
      <c r="D18" s="391"/>
      <c r="E18" s="391" t="s">
        <v>3968</v>
      </c>
      <c r="F18" s="391"/>
      <c r="G18" s="1234" t="s">
        <v>3974</v>
      </c>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t="s">
        <v>3975</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t="s">
        <v>3975</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t="s">
        <v>3975</v>
      </c>
    </row>
    <row r="26" spans="1:7" s="40" customFormat="1" ht="12" customHeight="1">
      <c r="A26" s="101"/>
      <c r="B26" s="391"/>
      <c r="C26" s="391"/>
      <c r="D26" s="391"/>
      <c r="E26" s="1236" t="s">
        <v>3278</v>
      </c>
      <c r="F26" s="391"/>
      <c r="G26" s="1234" t="s">
        <v>3975</v>
      </c>
    </row>
    <row r="27" spans="1:7" s="40" customFormat="1" ht="12" customHeight="1">
      <c r="A27" s="101"/>
      <c r="B27" s="391"/>
      <c r="C27" s="416"/>
      <c r="D27" s="391"/>
      <c r="E27" s="1236" t="s">
        <v>2003</v>
      </c>
      <c r="F27" s="391"/>
      <c r="G27" s="1234" t="s">
        <v>3974</v>
      </c>
    </row>
    <row r="28" spans="1:7" s="40" customFormat="1" ht="12" customHeight="1">
      <c r="A28" s="101"/>
      <c r="B28" s="391"/>
      <c r="C28" s="391"/>
      <c r="D28" s="391"/>
      <c r="E28" s="1236" t="s">
        <v>2679</v>
      </c>
      <c r="F28" s="391"/>
      <c r="G28" s="1234" t="s">
        <v>3975</v>
      </c>
    </row>
    <row r="29" spans="1:7" s="40" customFormat="1" ht="12" customHeight="1">
      <c r="A29" s="101"/>
      <c r="B29" s="391"/>
      <c r="C29" s="391"/>
      <c r="D29" s="391"/>
      <c r="E29" s="1236" t="s">
        <v>2680</v>
      </c>
      <c r="F29" s="391"/>
      <c r="G29" s="1234" t="s">
        <v>3975</v>
      </c>
    </row>
    <row r="30" spans="1:7" s="40" customFormat="1" ht="12" customHeight="1">
      <c r="A30" s="101"/>
      <c r="B30" s="391"/>
      <c r="C30" s="391"/>
      <c r="D30" s="391"/>
      <c r="E30" s="1236" t="s">
        <v>3957</v>
      </c>
      <c r="F30" s="391"/>
      <c r="G30" s="1234" t="s">
        <v>3975</v>
      </c>
    </row>
    <row r="31" spans="1:7" s="40" customFormat="1" ht="12" customHeight="1">
      <c r="A31" s="101"/>
      <c r="B31" s="239"/>
      <c r="D31" s="1236" t="s">
        <v>3649</v>
      </c>
      <c r="E31" s="1236" t="s">
        <v>166</v>
      </c>
      <c r="F31" s="395"/>
      <c r="G31" s="1234" t="s">
        <v>3975</v>
      </c>
    </row>
    <row r="32" spans="1:7" s="40" customFormat="1" ht="12" customHeight="1">
      <c r="A32" s="101"/>
      <c r="B32" s="1236"/>
      <c r="D32" s="789" t="s">
        <v>2507</v>
      </c>
      <c r="E32" s="1236" t="s">
        <v>167</v>
      </c>
      <c r="F32" s="395"/>
      <c r="G32" s="1234" t="s">
        <v>3975</v>
      </c>
    </row>
    <row r="33" spans="1:7" s="40" customFormat="1" ht="12" customHeight="1">
      <c r="A33" s="101"/>
      <c r="B33" s="391"/>
      <c r="C33" s="391"/>
      <c r="D33" s="391"/>
      <c r="E33" s="1236" t="s">
        <v>3901</v>
      </c>
      <c r="F33" s="391"/>
      <c r="G33" s="1234" t="s">
        <v>3975</v>
      </c>
    </row>
    <row r="34" spans="1:7" s="40" customFormat="1" ht="3" customHeight="1">
      <c r="A34" s="101"/>
      <c r="B34" s="391"/>
      <c r="C34" s="391"/>
      <c r="D34" s="391"/>
      <c r="E34" s="1236"/>
      <c r="F34" s="391"/>
      <c r="G34" s="102"/>
    </row>
    <row r="35" spans="1:7" s="40" customFormat="1" ht="12" customHeight="1">
      <c r="A35" s="97"/>
      <c r="B35" s="393"/>
      <c r="C35" s="393" t="s">
        <v>3915</v>
      </c>
      <c r="D35" s="393"/>
      <c r="E35" s="395" t="s">
        <v>3335</v>
      </c>
      <c r="F35" s="394"/>
      <c r="G35" s="1234" t="s">
        <v>2104</v>
      </c>
    </row>
    <row r="36" spans="1:7" s="40" customFormat="1" ht="12" customHeight="1">
      <c r="A36" s="97"/>
      <c r="B36" s="393"/>
      <c r="C36" s="393"/>
      <c r="D36" s="393"/>
      <c r="E36" s="395" t="s">
        <v>3336</v>
      </c>
      <c r="F36" s="394"/>
      <c r="G36" s="1234" t="s">
        <v>3974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3696</v>
      </c>
      <c r="F38" s="866"/>
      <c r="G38" s="1234" t="s">
        <v>3974</v>
      </c>
    </row>
    <row r="39" spans="1:7" s="40" customFormat="1" ht="12" customHeight="1">
      <c r="A39" s="101"/>
      <c r="B39" s="239"/>
      <c r="C39" s="391"/>
      <c r="D39" s="391"/>
      <c r="E39" s="395" t="s">
        <v>3275</v>
      </c>
      <c r="F39" s="391"/>
      <c r="G39" s="1234" t="s">
        <v>3974</v>
      </c>
    </row>
    <row r="40" spans="1:7" s="40" customFormat="1" ht="12" customHeight="1">
      <c r="A40" s="101"/>
      <c r="B40" s="239"/>
      <c r="C40" s="391"/>
      <c r="D40" s="391"/>
      <c r="E40" s="395" t="s">
        <v>3634</v>
      </c>
      <c r="F40" s="391"/>
      <c r="G40" s="1234" t="s">
        <v>3974</v>
      </c>
    </row>
    <row r="41" spans="1:7" s="40" customFormat="1" ht="12" customHeight="1">
      <c r="A41" s="97"/>
      <c r="B41" s="393"/>
      <c r="C41" s="393"/>
      <c r="D41" s="393"/>
      <c r="E41" s="395" t="s">
        <v>1782</v>
      </c>
      <c r="F41" s="394"/>
      <c r="G41" s="1234" t="s">
        <v>3974</v>
      </c>
    </row>
    <row r="42" spans="1:7" s="40" customFormat="1" ht="12" customHeight="1">
      <c r="A42" s="97"/>
      <c r="B42" s="393"/>
      <c r="C42" s="393"/>
      <c r="D42" s="393"/>
      <c r="E42" s="395" t="s">
        <v>1781</v>
      </c>
      <c r="F42" s="394"/>
      <c r="G42" s="1234" t="s">
        <v>3974</v>
      </c>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t="s">
        <v>2104</v>
      </c>
    </row>
    <row r="45" spans="1:7" s="40" customFormat="1" ht="11.25" customHeight="1">
      <c r="A45" s="101"/>
      <c r="B45" s="1242"/>
      <c r="C45" s="143"/>
      <c r="D45" s="143"/>
      <c r="E45" s="1236" t="s">
        <v>3677</v>
      </c>
      <c r="F45" s="391"/>
      <c r="G45" s="1234" t="s">
        <v>2104</v>
      </c>
    </row>
    <row r="46" spans="1:7" s="40" customFormat="1" ht="12" customHeight="1">
      <c r="A46" s="101"/>
      <c r="B46" s="1243"/>
      <c r="C46" s="1244"/>
      <c r="D46" s="1244"/>
      <c r="E46" s="1236" t="s">
        <v>3678</v>
      </c>
      <c r="F46" s="391"/>
      <c r="G46" s="1234" t="s">
        <v>2104</v>
      </c>
    </row>
    <row r="47" spans="1:7" s="40" customFormat="1" ht="26.25" customHeight="1">
      <c r="A47" s="99"/>
      <c r="B47" s="393"/>
      <c r="C47" s="393"/>
      <c r="D47" s="393"/>
      <c r="E47" s="865" t="s">
        <v>3697</v>
      </c>
      <c r="F47" s="866"/>
      <c r="G47" s="1234" t="s">
        <v>2104</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t="s">
        <v>3974</v>
      </c>
    </row>
    <row r="50" spans="1:7" s="40" customFormat="1" ht="13.5">
      <c r="A50" s="386"/>
      <c r="B50" s="406"/>
      <c r="C50" s="1245" t="s">
        <v>3930</v>
      </c>
      <c r="D50" s="391"/>
      <c r="E50" s="865" t="s">
        <v>3967</v>
      </c>
      <c r="F50" s="866"/>
      <c r="G50" s="1234" t="s">
        <v>3975</v>
      </c>
    </row>
    <row r="51" spans="1:7" s="40" customFormat="1" ht="12" customHeight="1">
      <c r="A51" s="101"/>
      <c r="B51" s="239"/>
      <c r="C51" s="789"/>
      <c r="D51" s="391"/>
      <c r="E51" s="391" t="s">
        <v>3260</v>
      </c>
      <c r="F51" s="391"/>
      <c r="G51" s="1234" t="s">
        <v>3974</v>
      </c>
    </row>
    <row r="52" spans="1:7" s="40" customFormat="1" ht="12" customHeight="1">
      <c r="A52" s="101"/>
      <c r="B52" s="239"/>
      <c r="C52" s="789"/>
      <c r="D52" s="391"/>
      <c r="E52" s="391" t="s">
        <v>3917</v>
      </c>
      <c r="F52" s="391"/>
      <c r="G52" s="1234" t="s">
        <v>3974</v>
      </c>
    </row>
    <row r="53" spans="1:7" s="40" customFormat="1" ht="12" customHeight="1">
      <c r="A53" s="101"/>
      <c r="B53" s="239"/>
      <c r="C53" s="391"/>
      <c r="D53" s="391"/>
      <c r="E53" s="395" t="s">
        <v>3201</v>
      </c>
      <c r="F53" s="395"/>
      <c r="G53" s="1234" t="s">
        <v>3974</v>
      </c>
    </row>
    <row r="54" spans="1:7" s="40" customFormat="1" ht="12" customHeight="1">
      <c r="A54" s="101"/>
      <c r="B54" s="239"/>
      <c r="C54" s="391"/>
      <c r="D54" s="391"/>
      <c r="E54" s="865" t="s">
        <v>3919</v>
      </c>
      <c r="F54" s="866"/>
      <c r="G54" s="1234" t="s">
        <v>2104</v>
      </c>
    </row>
    <row r="55" spans="1:7" s="40" customFormat="1" ht="3" customHeight="1">
      <c r="A55" s="97"/>
      <c r="B55" s="393"/>
      <c r="C55" s="393"/>
      <c r="D55" s="393"/>
      <c r="E55" s="393"/>
      <c r="F55" s="394"/>
      <c r="G55" s="311"/>
    </row>
    <row r="56" spans="1:7" s="40" customFormat="1" ht="12" customHeight="1">
      <c r="A56" s="101"/>
      <c r="B56" s="395"/>
      <c r="C56" s="868" t="s">
        <v>3922</v>
      </c>
      <c r="D56" s="868"/>
      <c r="E56" s="395" t="s">
        <v>3288</v>
      </c>
      <c r="F56" s="395"/>
      <c r="G56" s="1234" t="s">
        <v>2104</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t="s">
        <v>2104</v>
      </c>
    </row>
    <row r="61" spans="1:7" s="40" customFormat="1" ht="12" customHeight="1">
      <c r="A61" s="101"/>
      <c r="B61" s="395"/>
      <c r="C61" s="390"/>
      <c r="D61" s="395"/>
      <c r="E61" s="865" t="s">
        <v>3689</v>
      </c>
      <c r="F61" s="866"/>
      <c r="G61" s="1234" t="s">
        <v>2104</v>
      </c>
    </row>
    <row r="62" spans="1:7" s="40" customFormat="1" ht="12" customHeight="1">
      <c r="A62" s="101"/>
      <c r="B62" s="395"/>
      <c r="C62" s="413"/>
      <c r="D62" s="395"/>
      <c r="E62" s="395" t="s">
        <v>3904</v>
      </c>
      <c r="G62" s="1234" t="s">
        <v>2104</v>
      </c>
    </row>
    <row r="63" spans="1:7" s="40" customFormat="1" ht="12" customHeight="1">
      <c r="A63" s="101"/>
      <c r="B63" s="395"/>
      <c r="C63" s="395"/>
      <c r="D63" s="414"/>
      <c r="E63" s="395" t="s">
        <v>3690</v>
      </c>
      <c r="G63" s="1234" t="s">
        <v>2104</v>
      </c>
    </row>
    <row r="64" spans="1:7" s="40" customFormat="1" ht="12" customHeight="1">
      <c r="A64" s="101"/>
      <c r="B64" s="395"/>
      <c r="C64" s="395"/>
      <c r="D64" s="414"/>
      <c r="E64" s="395" t="s">
        <v>3691</v>
      </c>
      <c r="G64" s="1234" t="s">
        <v>2104</v>
      </c>
    </row>
    <row r="65" spans="1:7" s="1246" customFormat="1" ht="12" customHeight="1">
      <c r="A65" s="101"/>
      <c r="B65" s="395"/>
      <c r="C65" s="395"/>
      <c r="D65" s="414"/>
      <c r="E65" s="865" t="s">
        <v>3692</v>
      </c>
      <c r="F65" s="866"/>
      <c r="G65" s="1234" t="s">
        <v>2104</v>
      </c>
    </row>
    <row r="66" spans="1:7" s="40" customFormat="1" ht="12" customHeight="1">
      <c r="A66" s="101"/>
      <c r="D66" s="391"/>
      <c r="E66" s="867" t="s">
        <v>3693</v>
      </c>
      <c r="F66" s="866"/>
      <c r="G66" s="1234" t="s">
        <v>2104</v>
      </c>
    </row>
    <row r="67" spans="1:7" s="40" customFormat="1" ht="12" customHeight="1">
      <c r="A67" s="101"/>
      <c r="B67" s="395"/>
      <c r="C67" s="390"/>
      <c r="D67" s="395"/>
      <c r="E67" s="395" t="s">
        <v>3694</v>
      </c>
      <c r="G67" s="1234" t="s">
        <v>2104</v>
      </c>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t="s">
        <v>3974</v>
      </c>
    </row>
    <row r="71" spans="1:7" s="40" customFormat="1" ht="12" customHeight="1">
      <c r="A71" s="101"/>
      <c r="B71" s="391"/>
      <c r="C71" s="391"/>
      <c r="D71" s="1236"/>
      <c r="E71" s="396" t="s">
        <v>3310</v>
      </c>
      <c r="F71" s="395"/>
      <c r="G71" s="1234" t="s">
        <v>3974</v>
      </c>
    </row>
    <row r="72" spans="1:7" s="40" customFormat="1" ht="12" customHeight="1">
      <c r="A72" s="386"/>
      <c r="B72" s="1237"/>
      <c r="C72" s="391"/>
      <c r="D72" s="391"/>
      <c r="E72" s="1236" t="s">
        <v>3923</v>
      </c>
      <c r="F72" s="391"/>
      <c r="G72" s="1234" t="s">
        <v>3974</v>
      </c>
    </row>
    <row r="73" spans="1:7" s="40" customFormat="1" ht="12" customHeight="1">
      <c r="A73" s="386"/>
      <c r="B73" s="1237"/>
      <c r="C73" s="391"/>
      <c r="D73" s="391"/>
      <c r="E73" s="1236" t="s">
        <v>3953</v>
      </c>
      <c r="F73" s="391"/>
      <c r="G73" s="1234" t="s">
        <v>2104</v>
      </c>
    </row>
    <row r="74" spans="1:7" s="40" customFormat="1" ht="12" customHeight="1">
      <c r="A74" s="386"/>
      <c r="B74" s="1237"/>
      <c r="C74" s="391"/>
      <c r="D74" s="391"/>
      <c r="E74" s="1236" t="s">
        <v>3659</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3925</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3954</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3974</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3974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3974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3974</v>
      </c>
    </row>
    <row r="94" spans="1:7" s="40" customFormat="1" ht="12" customHeight="1">
      <c r="A94" s="101"/>
      <c r="B94" s="391"/>
      <c r="C94" s="391"/>
      <c r="D94" s="391"/>
      <c r="E94" s="397" t="s">
        <v>3905</v>
      </c>
      <c r="F94" s="397"/>
      <c r="G94" s="1234" t="s">
        <v>2104</v>
      </c>
    </row>
    <row r="95" spans="1:7" s="40" customFormat="1" ht="12" customHeight="1">
      <c r="A95" s="101"/>
      <c r="B95" s="391"/>
      <c r="C95" s="391"/>
      <c r="D95" s="391"/>
      <c r="E95" s="397" t="s">
        <v>601</v>
      </c>
      <c r="F95" s="397"/>
      <c r="G95" s="1234" t="s">
        <v>3974</v>
      </c>
    </row>
    <row r="96" spans="1:7" s="40" customFormat="1" ht="13.5">
      <c r="A96" s="101"/>
      <c r="C96" s="1247" t="s">
        <v>3679</v>
      </c>
      <c r="D96" s="391"/>
      <c r="E96" s="1236"/>
      <c r="F96" s="397"/>
      <c r="G96" s="149"/>
    </row>
    <row r="97" spans="1:7" s="40" customFormat="1" ht="12.75" customHeight="1">
      <c r="A97" s="387"/>
      <c r="D97" s="1248" t="s">
        <v>3680</v>
      </c>
      <c r="E97" s="1236" t="s">
        <v>3926</v>
      </c>
      <c r="F97" s="396"/>
      <c r="G97" s="1249" t="s">
        <v>3975</v>
      </c>
    </row>
    <row r="98" spans="1:7" s="40" customFormat="1" ht="12.75" customHeight="1">
      <c r="A98" s="796"/>
      <c r="B98" s="1236"/>
      <c r="D98" s="1248"/>
      <c r="E98" s="1236" t="s">
        <v>34</v>
      </c>
      <c r="F98" s="396"/>
      <c r="G98" s="1249" t="s">
        <v>3975</v>
      </c>
    </row>
    <row r="99" spans="1:7" s="40" customFormat="1" ht="12.75" customHeight="1">
      <c r="A99" s="796"/>
      <c r="B99" s="400"/>
      <c r="D99" s="1248"/>
      <c r="E99" s="1250" t="s">
        <v>35</v>
      </c>
      <c r="F99" s="396"/>
      <c r="G99" s="1249" t="s">
        <v>3975</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3975</v>
      </c>
    </row>
    <row r="102" spans="1:7" s="40" customFormat="1" ht="12" customHeight="1">
      <c r="A102" s="101"/>
      <c r="B102" s="391"/>
      <c r="C102" s="411"/>
      <c r="D102" s="411"/>
      <c r="E102" s="395" t="s">
        <v>3584</v>
      </c>
      <c r="F102" s="399"/>
      <c r="G102" s="1234" t="s">
        <v>3975</v>
      </c>
    </row>
    <row r="103" spans="1:7" s="40" customFormat="1" ht="12" customHeight="1">
      <c r="A103" s="101"/>
      <c r="B103" s="391"/>
      <c r="C103" s="411"/>
      <c r="D103" s="411"/>
      <c r="E103" s="395" t="s">
        <v>3585</v>
      </c>
      <c r="F103" s="399"/>
      <c r="G103" s="1234" t="s">
        <v>3975</v>
      </c>
    </row>
    <row r="104" spans="1:7" s="40" customFormat="1" ht="12" customHeight="1">
      <c r="A104" s="101"/>
      <c r="B104" s="391"/>
      <c r="C104" s="391"/>
      <c r="D104" s="391"/>
      <c r="E104" s="391" t="s">
        <v>3586</v>
      </c>
      <c r="F104" s="391"/>
      <c r="G104" s="1234" t="s">
        <v>3975</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3974</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3974</v>
      </c>
    </row>
    <row r="109" spans="1:7" s="40" customFormat="1" ht="12" customHeight="1">
      <c r="A109" s="101"/>
      <c r="B109" s="239"/>
      <c r="C109" s="789"/>
      <c r="D109" s="391"/>
      <c r="E109" s="397" t="s">
        <v>3916</v>
      </c>
      <c r="F109" s="397"/>
      <c r="G109" s="1234" t="s">
        <v>3974</v>
      </c>
    </row>
    <row r="110" spans="1:7" s="40" customFormat="1" ht="12" customHeight="1">
      <c r="A110" s="101"/>
      <c r="B110" s="239"/>
      <c r="C110" s="789"/>
      <c r="D110" s="391"/>
      <c r="E110" s="397" t="s">
        <v>3908</v>
      </c>
      <c r="F110" s="397"/>
      <c r="G110" s="1234" t="s">
        <v>3974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3683</v>
      </c>
      <c r="F112" s="866"/>
      <c r="G112" s="1234" t="s">
        <v>3974</v>
      </c>
    </row>
    <row r="113" spans="1:7" s="40" customFormat="1" ht="12" customHeight="1">
      <c r="A113" s="101"/>
      <c r="B113" s="395"/>
      <c r="C113" s="239"/>
      <c r="D113" s="395"/>
      <c r="E113" s="395" t="s">
        <v>680</v>
      </c>
      <c r="F113" s="401"/>
      <c r="G113" s="1234" t="s">
        <v>3974</v>
      </c>
    </row>
    <row r="114" spans="1:7" s="40" customFormat="1" ht="12" customHeight="1">
      <c r="A114" s="101"/>
      <c r="B114" s="391"/>
      <c r="C114" s="239"/>
      <c r="D114" s="391"/>
      <c r="E114" s="395" t="s">
        <v>3606</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t="s">
        <v>3974</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3684</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3686</v>
      </c>
      <c r="F121" s="865"/>
      <c r="G121" s="1234" t="s">
        <v>3974</v>
      </c>
    </row>
    <row r="122" spans="1:7" s="40" customFormat="1" ht="12" customHeight="1">
      <c r="A122" s="104"/>
      <c r="B122" s="390"/>
      <c r="C122" s="239"/>
      <c r="D122" s="395"/>
      <c r="E122" s="865" t="s">
        <v>3685</v>
      </c>
      <c r="F122" s="866"/>
      <c r="G122" s="1234" t="s">
        <v>3974</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3494</v>
      </c>
      <c r="F126" s="391"/>
      <c r="G126" s="1234" t="s">
        <v>2104</v>
      </c>
    </row>
    <row r="127" spans="1:7" s="40" customFormat="1" ht="12" customHeight="1">
      <c r="A127" s="101"/>
      <c r="B127" s="391"/>
      <c r="C127" s="239"/>
      <c r="D127" s="1236"/>
      <c r="E127" s="391" t="s">
        <v>3282</v>
      </c>
      <c r="F127" s="391"/>
      <c r="G127" s="1234" t="s">
        <v>3974</v>
      </c>
    </row>
    <row r="128" spans="1:7" s="40" customFormat="1" ht="12" customHeight="1">
      <c r="A128" s="101"/>
      <c r="B128" s="390"/>
      <c r="C128" s="239"/>
      <c r="D128" s="391"/>
      <c r="E128" s="391" t="s">
        <v>1537</v>
      </c>
      <c r="F128" s="391"/>
      <c r="G128" s="1234" t="s">
        <v>3974</v>
      </c>
    </row>
    <row r="129" spans="1:7" s="40" customFormat="1" ht="12" customHeight="1">
      <c r="A129" s="101"/>
      <c r="B129" s="391"/>
      <c r="C129" s="239"/>
      <c r="D129" s="391"/>
      <c r="E129" s="395" t="s">
        <v>1538</v>
      </c>
      <c r="F129" s="401"/>
      <c r="G129" s="1234" t="s">
        <v>3974</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3974</v>
      </c>
    </row>
    <row r="133" spans="1:7" s="40" customFormat="1" ht="12" customHeight="1">
      <c r="A133" s="101"/>
      <c r="B133" s="884"/>
      <c r="C133" s="885"/>
      <c r="D133" s="885"/>
      <c r="E133" s="395" t="s">
        <v>1785</v>
      </c>
      <c r="F133" s="395"/>
      <c r="G133" s="1234" t="s">
        <v>3974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3975</v>
      </c>
    </row>
    <row r="137" spans="1:7" s="40" customFormat="1" ht="12" customHeight="1">
      <c r="A137" s="101"/>
      <c r="B137" s="587" t="s">
        <v>2883</v>
      </c>
      <c r="C137" s="239"/>
      <c r="D137" s="1251"/>
      <c r="E137" s="867" t="s">
        <v>3934</v>
      </c>
      <c r="F137" s="866"/>
      <c r="G137" s="1234" t="s">
        <v>3975</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3974</v>
      </c>
    </row>
    <row r="140" spans="1:7" s="40" customFormat="1" ht="12" customHeight="1">
      <c r="A140" s="386"/>
      <c r="B140" s="587" t="s">
        <v>3178</v>
      </c>
      <c r="C140" s="404"/>
      <c r="D140" s="391"/>
      <c r="E140" s="392" t="s">
        <v>2373</v>
      </c>
      <c r="F140" s="391"/>
      <c r="G140" s="1234" t="s">
        <v>3974</v>
      </c>
    </row>
    <row r="141" spans="1:7" s="40" customFormat="1" ht="12" customHeight="1">
      <c r="A141" s="101"/>
      <c r="B141" s="239"/>
      <c r="C141" s="391"/>
      <c r="D141" s="391"/>
      <c r="E141" s="391" t="s">
        <v>3092</v>
      </c>
      <c r="F141" s="391"/>
      <c r="G141" s="1234" t="s">
        <v>3974</v>
      </c>
    </row>
    <row r="142" spans="1:7" s="40" customFormat="1" ht="12" customHeight="1">
      <c r="A142" s="101"/>
      <c r="B142" s="391"/>
      <c r="C142" s="391"/>
      <c r="D142" s="391"/>
      <c r="E142" s="391" t="s">
        <v>3607</v>
      </c>
      <c r="F142" s="391"/>
      <c r="G142" s="1234" t="s">
        <v>3974</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3974</v>
      </c>
    </row>
    <row r="145" spans="1:7" s="40" customFormat="1" ht="12" customHeight="1">
      <c r="A145" s="101"/>
      <c r="B145" s="395"/>
      <c r="C145" s="390"/>
      <c r="D145" s="395"/>
      <c r="E145" s="395" t="s">
        <v>3400</v>
      </c>
      <c r="F145" s="395"/>
      <c r="G145" s="1234" t="s">
        <v>3974</v>
      </c>
    </row>
    <row r="146" spans="1:7" s="40" customFormat="1" ht="12" customHeight="1">
      <c r="A146" s="101"/>
      <c r="B146" s="395"/>
      <c r="C146" s="413"/>
      <c r="D146" s="395"/>
      <c r="E146" s="395" t="s">
        <v>678</v>
      </c>
      <c r="F146" s="395"/>
      <c r="G146" s="1234" t="s">
        <v>3974</v>
      </c>
    </row>
    <row r="147" spans="1:7" s="40" customFormat="1" ht="12" customHeight="1">
      <c r="A147" s="101"/>
      <c r="B147" s="395"/>
      <c r="C147" s="395"/>
      <c r="D147" s="414"/>
      <c r="E147" s="395" t="s">
        <v>679</v>
      </c>
      <c r="F147" s="395"/>
      <c r="G147" s="1234" t="s">
        <v>3974</v>
      </c>
    </row>
    <row r="148" spans="1:7" s="40" customFormat="1" ht="12" customHeight="1">
      <c r="A148" s="101"/>
      <c r="B148" s="395"/>
      <c r="C148" s="395"/>
      <c r="D148" s="414"/>
      <c r="E148" s="395" t="s">
        <v>911</v>
      </c>
      <c r="F148" s="395"/>
      <c r="G148" s="1234" t="s">
        <v>3974</v>
      </c>
    </row>
    <row r="149" spans="1:7" s="1246" customFormat="1" ht="12" customHeight="1">
      <c r="A149" s="101"/>
      <c r="B149" s="395"/>
      <c r="C149" s="395"/>
      <c r="D149" s="414"/>
      <c r="E149" s="395" t="s">
        <v>2142</v>
      </c>
      <c r="F149" s="395"/>
      <c r="G149" s="1234" t="s">
        <v>3974</v>
      </c>
    </row>
    <row r="150" spans="1:7" s="40" customFormat="1" ht="12" customHeight="1">
      <c r="A150" s="101"/>
      <c r="B150" s="395"/>
      <c r="C150" s="395"/>
      <c r="D150" s="395"/>
      <c r="E150" s="789" t="s">
        <v>3334</v>
      </c>
      <c r="F150" s="401"/>
      <c r="G150" s="1234" t="s">
        <v>3974</v>
      </c>
    </row>
    <row r="151" spans="1:7" s="40" customFormat="1" ht="12" customHeight="1">
      <c r="A151" s="101"/>
      <c r="B151" s="395"/>
      <c r="C151" s="395"/>
      <c r="D151" s="395"/>
      <c r="E151" s="789" t="s">
        <v>3698</v>
      </c>
      <c r="F151" s="401"/>
      <c r="G151" s="1234" t="s">
        <v>3975</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3974</v>
      </c>
    </row>
    <row r="159" spans="1:7" s="40" customFormat="1" ht="12" customHeight="1">
      <c r="A159" s="101"/>
      <c r="B159" s="239"/>
      <c r="C159" s="239"/>
      <c r="D159" s="239"/>
      <c r="E159" s="395" t="s">
        <v>3097</v>
      </c>
      <c r="F159" s="391"/>
      <c r="G159" s="1234" t="s">
        <v>3974</v>
      </c>
    </row>
    <row r="160" spans="1:7" s="40" customFormat="1" ht="12" customHeight="1">
      <c r="A160" s="101"/>
      <c r="B160" s="239"/>
      <c r="C160" s="239"/>
      <c r="D160" s="239"/>
      <c r="E160" s="395" t="s">
        <v>3127</v>
      </c>
      <c r="F160" s="391"/>
      <c r="G160" s="1234" t="s">
        <v>3974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3974</v>
      </c>
    </row>
    <row r="163" spans="1:7" s="40" customFormat="1" ht="12" customHeight="1">
      <c r="A163" s="101"/>
      <c r="B163" s="395"/>
      <c r="C163" s="395"/>
      <c r="D163" s="395"/>
      <c r="E163" s="395" t="s">
        <v>3123</v>
      </c>
      <c r="F163" s="391"/>
      <c r="G163" s="1234" t="s">
        <v>3974</v>
      </c>
    </row>
    <row r="164" spans="1:7" s="40" customFormat="1" ht="12" customHeight="1">
      <c r="A164" s="101"/>
      <c r="B164" s="395"/>
      <c r="C164" s="395"/>
      <c r="D164" s="395"/>
      <c r="E164" s="395" t="s">
        <v>3124</v>
      </c>
      <c r="F164" s="391"/>
      <c r="G164" s="1234" t="s">
        <v>3974</v>
      </c>
    </row>
    <row r="165" spans="1:7" s="40" customFormat="1" ht="12" customHeight="1">
      <c r="A165" s="101"/>
      <c r="B165" s="395"/>
      <c r="C165" s="395"/>
      <c r="D165" s="395"/>
      <c r="E165" s="395" t="s">
        <v>2054</v>
      </c>
      <c r="F165" s="391"/>
      <c r="G165" s="1234" t="s">
        <v>3974</v>
      </c>
    </row>
    <row r="166" spans="1:7" s="40" customFormat="1" ht="12" customHeight="1">
      <c r="A166" s="101"/>
      <c r="B166" s="789"/>
      <c r="C166" s="413"/>
      <c r="D166" s="395"/>
      <c r="E166" s="396" t="s">
        <v>2681</v>
      </c>
      <c r="F166" s="391"/>
      <c r="G166" s="1234" t="s">
        <v>3974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3974</v>
      </c>
    </row>
    <row r="170" spans="1:7" s="40" customFormat="1" ht="12" customHeight="1">
      <c r="A170" s="101"/>
      <c r="B170" s="239"/>
      <c r="C170" s="789"/>
      <c r="D170" s="1236"/>
      <c r="E170" s="867" t="s">
        <v>807</v>
      </c>
      <c r="F170" s="866"/>
      <c r="G170" s="1234" t="s">
        <v>3974</v>
      </c>
    </row>
    <row r="171" spans="1:7" s="40" customFormat="1" ht="12" customHeight="1">
      <c r="A171" s="101"/>
      <c r="B171" s="400"/>
      <c r="C171" s="1236"/>
      <c r="D171" s="1236"/>
      <c r="E171" s="397" t="s">
        <v>36</v>
      </c>
      <c r="F171" s="391"/>
      <c r="G171" s="1234" t="s">
        <v>3974</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3699</v>
      </c>
      <c r="F173" s="882"/>
      <c r="G173" s="1234" t="s">
        <v>3974</v>
      </c>
    </row>
    <row r="174" spans="1:7" s="40" customFormat="1" ht="5.45" customHeight="1">
      <c r="A174" s="101"/>
      <c r="B174" s="400"/>
      <c r="C174" s="1236"/>
      <c r="D174" s="1236"/>
      <c r="E174" s="823"/>
      <c r="F174" s="823"/>
      <c r="G174" s="1256"/>
    </row>
    <row r="175" spans="1:7" s="40" customFormat="1" ht="14.1" customHeight="1">
      <c r="A175" s="386">
        <v>20</v>
      </c>
      <c r="B175" s="1257" t="s">
        <v>589</v>
      </c>
      <c r="C175" s="239"/>
      <c r="D175" s="1237"/>
      <c r="E175" s="867" t="s">
        <v>3909</v>
      </c>
      <c r="F175" s="866"/>
      <c r="G175" s="1234" t="s">
        <v>3974</v>
      </c>
    </row>
    <row r="176" spans="1:7" s="40" customFormat="1" ht="11.25" customHeight="1">
      <c r="A176" s="386"/>
      <c r="B176" s="1257"/>
      <c r="C176" s="239"/>
      <c r="D176" s="1237"/>
      <c r="E176" s="867" t="s">
        <v>590</v>
      </c>
      <c r="F176" s="866"/>
      <c r="G176" s="1234" t="s">
        <v>3974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3660</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3674</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3911</v>
      </c>
      <c r="F189" s="866"/>
      <c r="G189" s="1234" t="s">
        <v>3974</v>
      </c>
    </row>
    <row r="190" spans="1:7" s="40" customFormat="1" ht="12" customHeight="1">
      <c r="A190" s="101"/>
      <c r="B190" s="1237"/>
      <c r="C190" s="239"/>
      <c r="D190" s="1237"/>
      <c r="E190" s="1236" t="s">
        <v>3675</v>
      </c>
      <c r="G190" s="1234" t="s">
        <v>2104</v>
      </c>
    </row>
    <row r="191" spans="1:7" s="40" customFormat="1" ht="12" customHeight="1">
      <c r="A191" s="386"/>
      <c r="B191" s="1258"/>
      <c r="C191" s="1237"/>
      <c r="D191" s="1237"/>
      <c r="E191" s="867" t="s">
        <v>3912</v>
      </c>
      <c r="F191" s="1167"/>
      <c r="G191" s="1234" t="s">
        <v>3974</v>
      </c>
    </row>
    <row r="192" spans="1:7" s="40" customFormat="1" ht="12" customHeight="1">
      <c r="A192" s="388"/>
      <c r="B192" s="1258"/>
      <c r="C192" s="1237"/>
      <c r="D192" s="1237"/>
      <c r="E192" s="867" t="s">
        <v>3676</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3974</v>
      </c>
    </row>
    <row r="195" spans="1:7" s="40" customFormat="1" ht="26.25" customHeight="1">
      <c r="A195" s="101"/>
      <c r="B195" s="1237"/>
      <c r="C195" s="239"/>
      <c r="D195" s="1237"/>
      <c r="E195" s="1260" t="s">
        <v>3910</v>
      </c>
      <c r="F195" s="1261"/>
      <c r="G195" s="1234" t="s">
        <v>3974</v>
      </c>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t="s">
        <v>3974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3608</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3681</v>
      </c>
      <c r="F227" s="824"/>
      <c r="G227" s="1234" t="s">
        <v>2104</v>
      </c>
    </row>
    <row r="228" spans="1:7" s="40" customFormat="1" ht="26.25" customHeight="1">
      <c r="A228" s="388"/>
      <c r="B228" s="239"/>
      <c r="C228" s="239"/>
      <c r="D228" s="1237"/>
      <c r="E228" s="867" t="s">
        <v>3682</v>
      </c>
      <c r="F228" s="866"/>
      <c r="G228" s="1234" t="s">
        <v>2104</v>
      </c>
    </row>
    <row r="229" spans="1:7" s="40" customFormat="1" ht="6" customHeight="1">
      <c r="A229" s="101"/>
      <c r="B229" s="789"/>
      <c r="C229" s="1237"/>
      <c r="D229" s="1237"/>
      <c r="E229" s="1236"/>
      <c r="F229" s="395"/>
      <c r="G229" s="103"/>
    </row>
    <row r="230" spans="1:7" s="40" customFormat="1" ht="13.35" customHeight="1">
      <c r="A230" s="386">
        <v>30</v>
      </c>
      <c r="B230" s="1237" t="s">
        <v>2210</v>
      </c>
      <c r="E230" s="1271" t="s">
        <v>4086</v>
      </c>
      <c r="F230" s="1271" t="s">
        <v>4119</v>
      </c>
      <c r="G230" s="1234" t="s">
        <v>3974</v>
      </c>
    </row>
    <row r="231" spans="1:7" s="40" customFormat="1" ht="12.6" customHeight="1">
      <c r="A231" s="101"/>
      <c r="C231" s="1272" t="s">
        <v>946</v>
      </c>
      <c r="D231" s="1167"/>
      <c r="E231" s="1273" t="s">
        <v>4117</v>
      </c>
      <c r="F231" s="1273" t="s">
        <v>4134</v>
      </c>
      <c r="G231" s="1274" t="s">
        <v>3974</v>
      </c>
    </row>
    <row r="232" spans="1:7" s="40" customFormat="1" ht="12.6" customHeight="1">
      <c r="A232" s="101"/>
      <c r="C232" s="1272"/>
      <c r="D232" s="1167"/>
      <c r="E232" s="1273" t="s">
        <v>4118</v>
      </c>
      <c r="F232" s="1273" t="s">
        <v>4120</v>
      </c>
      <c r="G232" s="1274" t="s">
        <v>3974</v>
      </c>
    </row>
    <row r="233" spans="1:7" s="40" customFormat="1" ht="12.6" customHeight="1">
      <c r="A233" s="101"/>
      <c r="C233" s="1272"/>
      <c r="D233" s="1167"/>
      <c r="E233" s="1273" t="s">
        <v>4121</v>
      </c>
      <c r="F233" s="1273" t="s">
        <v>4122</v>
      </c>
      <c r="G233" s="1274" t="s">
        <v>3974</v>
      </c>
    </row>
    <row r="234" spans="1:7" s="40" customFormat="1" ht="12.6" customHeight="1">
      <c r="A234" s="101"/>
      <c r="C234" s="1272"/>
      <c r="D234" s="1167"/>
      <c r="E234" s="1273" t="s">
        <v>4123</v>
      </c>
      <c r="F234" s="1273" t="s">
        <v>4119</v>
      </c>
      <c r="G234" s="1274" t="s">
        <v>3974</v>
      </c>
    </row>
    <row r="235" spans="1:7" s="40" customFormat="1" ht="12.6" customHeight="1">
      <c r="A235" s="101"/>
      <c r="C235" s="1166"/>
      <c r="D235" s="1167"/>
      <c r="E235" s="1275" t="s">
        <v>4124</v>
      </c>
      <c r="F235" s="1275" t="s">
        <v>4125</v>
      </c>
      <c r="G235" s="1274" t="s">
        <v>3974</v>
      </c>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t="s">
        <v>3974</v>
      </c>
    </row>
    <row r="238" spans="1:7" s="40" customFormat="1" ht="6" customHeight="1">
      <c r="A238" s="97"/>
      <c r="B238" s="393"/>
      <c r="C238" s="239"/>
      <c r="D238" s="393"/>
      <c r="E238" s="393"/>
      <c r="F238" s="394"/>
      <c r="G238" s="312"/>
    </row>
    <row r="239" spans="1:7" s="40" customFormat="1" ht="14.1" customHeight="1">
      <c r="A239" s="386">
        <v>32</v>
      </c>
      <c r="B239" s="404" t="s">
        <v>686</v>
      </c>
      <c r="C239" s="239"/>
      <c r="D239" s="391"/>
      <c r="E239" s="391" t="s">
        <v>292</v>
      </c>
      <c r="F239" s="391"/>
      <c r="G239" s="1234" t="s">
        <v>3975</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3610</v>
      </c>
      <c r="F241" s="991"/>
      <c r="G241" s="1234" t="s">
        <v>3974</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9" enableFormatConditionsCalculation="0">
    <pageSetUpPr fitToPage="1"/>
  </sheetPr>
  <dimension ref="A1:T39"/>
  <sheetViews>
    <sheetView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4.1" customHeight="1">
      <c r="A1" s="1077" t="str">
        <f>CONCATENATE("PART FIVE - UTILITY ALLOWANCES","  -  ",'Part I-Project Information'!$O$4," ",'Part I-Project Information'!$F$22,", ",'Part I-Project Information'!F24,", ",'Part I-Project Information'!J25," County")</f>
        <v>PART FIVE - UTILITY ALLOWANCES  -  2012-059 Allen Wilson - Phase III, Decatur, DeKalb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3136</v>
      </c>
      <c r="F5" s="9" t="s">
        <v>3531</v>
      </c>
      <c r="I5" s="1509" t="s">
        <v>3996</v>
      </c>
      <c r="J5" s="1510"/>
      <c r="K5" s="1510"/>
      <c r="L5" s="1510"/>
      <c r="M5" s="1511"/>
    </row>
    <row r="6" spans="1:20" s="9" customFormat="1" ht="13.35" customHeight="1">
      <c r="A6" s="16"/>
      <c r="F6" s="9" t="s">
        <v>895</v>
      </c>
      <c r="H6" s="31"/>
      <c r="I6" s="1512">
        <v>40940</v>
      </c>
      <c r="J6" s="1513"/>
      <c r="K6" s="74" t="s">
        <v>776</v>
      </c>
      <c r="L6" s="1509" t="s">
        <v>4003</v>
      </c>
      <c r="M6" s="1511"/>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514" t="s">
        <v>4002</v>
      </c>
      <c r="E10" s="1515"/>
      <c r="F10" s="1516" t="s">
        <v>612</v>
      </c>
      <c r="G10" s="1516"/>
      <c r="H10" s="343"/>
      <c r="I10" s="1517"/>
      <c r="J10" s="1517">
        <v>8</v>
      </c>
      <c r="K10" s="1517">
        <v>10</v>
      </c>
      <c r="L10" s="1517">
        <f>11</f>
        <v>11</v>
      </c>
      <c r="M10" s="1517"/>
    </row>
    <row r="11" spans="1:20" s="9" customFormat="1">
      <c r="B11" s="344" t="s">
        <v>644</v>
      </c>
      <c r="C11" s="345"/>
      <c r="D11" s="344" t="s">
        <v>2204</v>
      </c>
      <c r="E11" s="345"/>
      <c r="F11" s="1518" t="s">
        <v>612</v>
      </c>
      <c r="G11" s="1518"/>
      <c r="H11" s="346"/>
      <c r="I11" s="1519"/>
      <c r="J11" s="1519">
        <v>14</v>
      </c>
      <c r="K11" s="1519">
        <v>18</v>
      </c>
      <c r="L11" s="1520" t="s">
        <v>4103</v>
      </c>
      <c r="M11" s="1520"/>
    </row>
    <row r="12" spans="1:20" s="9" customFormat="1">
      <c r="B12" s="344" t="s">
        <v>2205</v>
      </c>
      <c r="C12" s="345"/>
      <c r="D12" s="1521" t="s">
        <v>2204</v>
      </c>
      <c r="E12" s="1522"/>
      <c r="F12" s="1518" t="s">
        <v>612</v>
      </c>
      <c r="G12" s="1518"/>
      <c r="H12" s="346"/>
      <c r="I12" s="1519"/>
      <c r="J12" s="1519">
        <v>5</v>
      </c>
      <c r="K12" s="1519">
        <v>6</v>
      </c>
      <c r="L12" s="1520">
        <v>8</v>
      </c>
      <c r="M12" s="1520"/>
    </row>
    <row r="13" spans="1:20" s="9" customFormat="1">
      <c r="B13" s="344" t="s">
        <v>2206</v>
      </c>
      <c r="C13" s="345"/>
      <c r="D13" s="1521" t="s">
        <v>2204</v>
      </c>
      <c r="E13" s="1522"/>
      <c r="F13" s="1518" t="s">
        <v>612</v>
      </c>
      <c r="G13" s="1518"/>
      <c r="H13" s="346"/>
      <c r="I13" s="1519"/>
      <c r="J13" s="1519">
        <v>13</v>
      </c>
      <c r="K13" s="1519">
        <v>17</v>
      </c>
      <c r="L13" s="1520">
        <v>21</v>
      </c>
      <c r="M13" s="1520"/>
    </row>
    <row r="14" spans="1:20" s="9" customFormat="1">
      <c r="B14" s="344" t="s">
        <v>2207</v>
      </c>
      <c r="C14" s="345"/>
      <c r="D14" s="344" t="s">
        <v>2204</v>
      </c>
      <c r="E14" s="347"/>
      <c r="F14" s="1518" t="s">
        <v>612</v>
      </c>
      <c r="G14" s="1518"/>
      <c r="H14" s="346"/>
      <c r="I14" s="1519"/>
      <c r="J14" s="1519">
        <v>10</v>
      </c>
      <c r="K14" s="1519">
        <v>13</v>
      </c>
      <c r="L14" s="1520">
        <v>15</v>
      </c>
      <c r="M14" s="1520"/>
    </row>
    <row r="15" spans="1:20" s="9" customFormat="1">
      <c r="B15" s="344" t="s">
        <v>1938</v>
      </c>
      <c r="C15" s="345"/>
      <c r="D15" s="344" t="s">
        <v>3135</v>
      </c>
      <c r="E15" s="1523" t="s">
        <v>3974</v>
      </c>
      <c r="F15" s="1518" t="s">
        <v>612</v>
      </c>
      <c r="G15" s="1518"/>
      <c r="H15" s="346"/>
      <c r="I15" s="1519"/>
      <c r="J15" s="1519">
        <v>3</v>
      </c>
      <c r="K15" s="1519">
        <v>4</v>
      </c>
      <c r="L15" s="1520">
        <v>6</v>
      </c>
      <c r="M15" s="1520"/>
    </row>
    <row r="16" spans="1:20" s="9" customFormat="1">
      <c r="B16" s="348" t="s">
        <v>2723</v>
      </c>
      <c r="C16" s="349"/>
      <c r="D16" s="348"/>
      <c r="E16" s="315"/>
      <c r="F16" s="1524"/>
      <c r="G16" s="1524" t="s">
        <v>612</v>
      </c>
      <c r="H16" s="350"/>
      <c r="I16" s="1525"/>
      <c r="J16" s="1525"/>
      <c r="K16" s="1525"/>
      <c r="L16" s="1526"/>
      <c r="M16" s="1526"/>
    </row>
    <row r="17" spans="1:19" s="9" customFormat="1">
      <c r="B17" s="338" t="s">
        <v>1526</v>
      </c>
      <c r="D17" s="31"/>
      <c r="E17" s="31"/>
      <c r="F17" s="108"/>
      <c r="G17" s="108"/>
      <c r="I17" s="847">
        <f>SUM(I10:I16)</f>
        <v>0</v>
      </c>
      <c r="J17" s="847">
        <f>SUM(J10:J16)</f>
        <v>53</v>
      </c>
      <c r="K17" s="847">
        <f>SUM(K10:K16)</f>
        <v>68</v>
      </c>
      <c r="L17" s="847">
        <f>SUM(L10:L16)</f>
        <v>61</v>
      </c>
      <c r="M17" s="847">
        <f>SUM(M10:M16)</f>
        <v>0</v>
      </c>
    </row>
    <row r="18" spans="1:19" s="9" customFormat="1" ht="11.25" customHeight="1">
      <c r="M18" s="31"/>
      <c r="N18" s="31"/>
      <c r="O18" s="31"/>
      <c r="P18" s="31"/>
      <c r="Q18" s="31"/>
      <c r="R18" s="31"/>
      <c r="S18" s="31"/>
    </row>
    <row r="19" spans="1:19" s="9" customFormat="1">
      <c r="A19" s="16" t="s">
        <v>1136</v>
      </c>
      <c r="B19" s="16" t="s">
        <v>3137</v>
      </c>
      <c r="F19" s="9" t="s">
        <v>3531</v>
      </c>
      <c r="I19" s="1527"/>
      <c r="J19" s="1510"/>
      <c r="K19" s="1510"/>
      <c r="L19" s="1510"/>
      <c r="M19" s="1511"/>
    </row>
    <row r="20" spans="1:19" s="9" customFormat="1" ht="13.35" customHeight="1">
      <c r="A20" s="16"/>
      <c r="B20" s="16"/>
      <c r="F20" s="9" t="s">
        <v>895</v>
      </c>
      <c r="H20" s="31"/>
      <c r="I20" s="1512"/>
      <c r="J20" s="1513"/>
      <c r="K20" s="74" t="s">
        <v>776</v>
      </c>
      <c r="L20" s="1509"/>
      <c r="M20" s="1511"/>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514" t="s">
        <v>2684</v>
      </c>
      <c r="E24" s="1515"/>
      <c r="F24" s="1516"/>
      <c r="G24" s="1516"/>
      <c r="H24" s="343"/>
      <c r="I24" s="1517"/>
      <c r="J24" s="1517"/>
      <c r="K24" s="1517"/>
      <c r="L24" s="1517"/>
      <c r="M24" s="1517"/>
    </row>
    <row r="25" spans="1:19" s="9" customFormat="1">
      <c r="B25" s="344" t="s">
        <v>644</v>
      </c>
      <c r="C25" s="345"/>
      <c r="D25" s="344" t="s">
        <v>2204</v>
      </c>
      <c r="E25" s="345"/>
      <c r="F25" s="1518"/>
      <c r="G25" s="1518"/>
      <c r="H25" s="346"/>
      <c r="I25" s="1519"/>
      <c r="J25" s="1519"/>
      <c r="K25" s="1519"/>
      <c r="L25" s="1520"/>
      <c r="M25" s="1520"/>
    </row>
    <row r="26" spans="1:19" s="9" customFormat="1">
      <c r="B26" s="344" t="s">
        <v>2205</v>
      </c>
      <c r="C26" s="345"/>
      <c r="D26" s="1521" t="s">
        <v>2684</v>
      </c>
      <c r="E26" s="1522"/>
      <c r="F26" s="1518"/>
      <c r="G26" s="1518"/>
      <c r="H26" s="346"/>
      <c r="I26" s="1519"/>
      <c r="J26" s="1519"/>
      <c r="K26" s="1519"/>
      <c r="L26" s="1520"/>
      <c r="M26" s="1520"/>
    </row>
    <row r="27" spans="1:19" s="9" customFormat="1">
      <c r="B27" s="344" t="s">
        <v>2206</v>
      </c>
      <c r="C27" s="345"/>
      <c r="D27" s="1521" t="s">
        <v>2684</v>
      </c>
      <c r="E27" s="1522"/>
      <c r="F27" s="1518"/>
      <c r="G27" s="1518"/>
      <c r="H27" s="346"/>
      <c r="I27" s="1519"/>
      <c r="J27" s="1519"/>
      <c r="K27" s="1519"/>
      <c r="L27" s="1520"/>
      <c r="M27" s="1520"/>
    </row>
    <row r="28" spans="1:19" s="9" customFormat="1">
      <c r="B28" s="344" t="s">
        <v>2207</v>
      </c>
      <c r="C28" s="345"/>
      <c r="D28" s="344" t="s">
        <v>2204</v>
      </c>
      <c r="E28" s="347"/>
      <c r="F28" s="1518"/>
      <c r="G28" s="1518"/>
      <c r="H28" s="346"/>
      <c r="I28" s="1519"/>
      <c r="J28" s="1519"/>
      <c r="K28" s="1519"/>
      <c r="L28" s="1520"/>
      <c r="M28" s="1520"/>
    </row>
    <row r="29" spans="1:19" s="9" customFormat="1">
      <c r="B29" s="344" t="s">
        <v>1938</v>
      </c>
      <c r="C29" s="345"/>
      <c r="D29" s="344" t="s">
        <v>3135</v>
      </c>
      <c r="E29" s="1523" t="s">
        <v>240</v>
      </c>
      <c r="F29" s="1518"/>
      <c r="G29" s="1518"/>
      <c r="H29" s="346"/>
      <c r="I29" s="1519"/>
      <c r="J29" s="1519"/>
      <c r="K29" s="1519"/>
      <c r="L29" s="1520"/>
      <c r="M29" s="1520"/>
    </row>
    <row r="30" spans="1:19" s="9" customFormat="1">
      <c r="B30" s="348" t="s">
        <v>2723</v>
      </c>
      <c r="C30" s="349"/>
      <c r="D30" s="348"/>
      <c r="E30" s="315"/>
      <c r="F30" s="1524"/>
      <c r="G30" s="1524"/>
      <c r="H30" s="350"/>
      <c r="I30" s="1525"/>
      <c r="J30" s="1525"/>
      <c r="K30" s="1525"/>
      <c r="L30" s="1526"/>
      <c r="M30" s="1526"/>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28" t="s">
        <v>4132</v>
      </c>
      <c r="C36" s="1529"/>
      <c r="D36" s="1529"/>
      <c r="E36" s="1529"/>
      <c r="F36" s="1529"/>
      <c r="G36" s="1529"/>
      <c r="H36" s="1529"/>
      <c r="I36" s="1529"/>
      <c r="J36" s="1529"/>
      <c r="K36" s="1529"/>
      <c r="L36" s="1529"/>
      <c r="M36" s="1530"/>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31"/>
      <c r="C39" s="1532"/>
      <c r="D39" s="1532"/>
      <c r="E39" s="1532"/>
      <c r="F39" s="1532"/>
      <c r="G39" s="1532"/>
      <c r="H39" s="1532"/>
      <c r="I39" s="1532"/>
      <c r="J39" s="1532"/>
      <c r="K39" s="1532"/>
      <c r="L39" s="1532"/>
      <c r="M39" s="1533"/>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disablePrompts="1"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xl/worksheets/sheet11.xml><?xml version="1.0" encoding="utf-8"?>
<worksheet xmlns="http://schemas.openxmlformats.org/spreadsheetml/2006/main" xmlns:r="http://schemas.openxmlformats.org/officeDocument/2006/relationships">
  <sheetPr codeName="Sheet10" enableFormatConditionsCalculation="0">
    <pageSetUpPr fitToPage="1"/>
  </sheetPr>
  <dimension ref="A1:IU211"/>
  <sheetViews>
    <sheetView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10.140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42578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4.1" customHeight="1">
      <c r="A1" s="993" t="str">
        <f>CONCATENATE("PART SIX - PROJECTED REVENUES &amp; EXPENSES","  -  ",'Part I-Project Information'!$O$4," ",'Part I-Project Information'!$F$22,", ",'Part I-Project Information'!F24,", ",'Part I-Project Information'!J25," County")</f>
        <v>PART SIX - PROJECTED REVENUES &amp; EXPENSES  -  2012-059 Allen Wilson - Phase III, Decatur, DeKalb County</v>
      </c>
      <c r="B1" s="994"/>
      <c r="C1" s="994"/>
      <c r="D1" s="994"/>
      <c r="E1" s="994"/>
      <c r="F1" s="994"/>
      <c r="G1" s="994"/>
      <c r="H1" s="994"/>
      <c r="I1" s="994"/>
      <c r="J1" s="994"/>
      <c r="K1" s="994"/>
      <c r="L1" s="994"/>
      <c r="M1" s="994"/>
      <c r="N1" s="994"/>
      <c r="O1" s="994"/>
      <c r="P1" s="995"/>
      <c r="T1" s="1103" t="str">
        <f>A1</f>
        <v>PART SIX - PROJECTED REVENUES &amp; EXPENSES  -  2012-059 Allen Wilson - Phase III, Decatur, DeKalb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3413</v>
      </c>
      <c r="BU4" s="1081" t="s">
        <v>3414</v>
      </c>
      <c r="BV4" s="1081" t="s">
        <v>3415</v>
      </c>
      <c r="BW4" s="1081" t="s">
        <v>3416</v>
      </c>
      <c r="BX4" s="1081" t="s">
        <v>3417</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3412</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3537</v>
      </c>
      <c r="GQ4" s="1082" t="s">
        <v>3538</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35" customHeight="1">
      <c r="B5" s="5" t="s">
        <v>2718</v>
      </c>
      <c r="D5" s="2"/>
      <c r="E5" s="5"/>
      <c r="F5" s="2"/>
      <c r="G5" s="1534"/>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35" customHeight="1">
      <c r="B6" s="33" t="s">
        <v>2664</v>
      </c>
      <c r="D6" s="2"/>
      <c r="E6" s="5"/>
      <c r="G6" s="1535" t="s">
        <v>3975</v>
      </c>
      <c r="J6" s="848" t="s">
        <v>3386</v>
      </c>
      <c r="N6" s="1100" t="str">
        <f>'Part I-Project Information'!$J$26</f>
        <v>Atlanta-Sandy Springs-Marietta</v>
      </c>
      <c r="O6" s="1100"/>
      <c r="P6" s="672">
        <f>VLOOKUP('Part I-Project Information'!$J$26,'DCA Underwriting Assumptions'!$C$84:$D$194,2)</f>
        <v>69300</v>
      </c>
      <c r="Q6" s="769"/>
      <c r="R6" s="1102" t="s">
        <v>3973</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4.1" customHeight="1">
      <c r="A7" s="1099" t="str">
        <f>IF(A48&gt;0,"Finish!","")</f>
        <v/>
      </c>
      <c r="B7" s="5"/>
      <c r="C7" s="2"/>
      <c r="D7" s="5"/>
      <c r="E7" s="2"/>
      <c r="F7" s="2"/>
      <c r="G7" s="2"/>
      <c r="H7" s="2"/>
      <c r="I7" s="2"/>
      <c r="J7" s="848" t="s">
        <v>3387</v>
      </c>
      <c r="K7" s="2"/>
      <c r="L7" s="2"/>
      <c r="M7" s="2"/>
      <c r="N7" s="37"/>
      <c r="O7" s="37"/>
      <c r="P7" s="817"/>
      <c r="Q7" s="817"/>
      <c r="R7" s="818"/>
      <c r="S7" s="819" t="s">
        <v>3970</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4.1"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3969</v>
      </c>
      <c r="S8" s="849" t="s">
        <v>3971</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3423</v>
      </c>
      <c r="EX8" s="776" t="s">
        <v>3424</v>
      </c>
      <c r="EY8" s="776" t="s">
        <v>3425</v>
      </c>
      <c r="EZ8" s="776" t="s">
        <v>3426</v>
      </c>
      <c r="FA8" s="1082" t="s">
        <v>3503</v>
      </c>
      <c r="FB8" s="1082" t="s">
        <v>3503</v>
      </c>
      <c r="FC8" s="1082" t="s">
        <v>3503</v>
      </c>
      <c r="FD8" s="1082" t="s">
        <v>3503</v>
      </c>
      <c r="FE8" s="1082" t="s">
        <v>3503</v>
      </c>
      <c r="FF8" s="776" t="s">
        <v>673</v>
      </c>
      <c r="FG8" s="776" t="s">
        <v>3423</v>
      </c>
      <c r="FH8" s="776" t="s">
        <v>3424</v>
      </c>
      <c r="FI8" s="776" t="s">
        <v>3425</v>
      </c>
      <c r="FJ8" s="776" t="s">
        <v>3426</v>
      </c>
      <c r="FK8" s="1082" t="s">
        <v>3505</v>
      </c>
      <c r="FL8" s="1082" t="s">
        <v>3505</v>
      </c>
      <c r="FM8" s="1082" t="s">
        <v>3505</v>
      </c>
      <c r="FN8" s="1082" t="s">
        <v>3505</v>
      </c>
      <c r="FO8" s="1082" t="s">
        <v>3505</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4.1"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3972</v>
      </c>
      <c r="T9" s="974" t="s">
        <v>2717</v>
      </c>
      <c r="U9" s="974"/>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3502</v>
      </c>
      <c r="EX9" s="776" t="s">
        <v>3502</v>
      </c>
      <c r="EY9" s="776" t="s">
        <v>3502</v>
      </c>
      <c r="EZ9" s="776" t="s">
        <v>3502</v>
      </c>
      <c r="FA9" s="1082"/>
      <c r="FB9" s="1082"/>
      <c r="FC9" s="1082"/>
      <c r="FD9" s="1082"/>
      <c r="FE9" s="1082"/>
      <c r="FF9" s="776" t="s">
        <v>3504</v>
      </c>
      <c r="FG9" s="776" t="s">
        <v>3504</v>
      </c>
      <c r="FH9" s="776" t="s">
        <v>3504</v>
      </c>
      <c r="FI9" s="776" t="s">
        <v>3504</v>
      </c>
      <c r="FJ9" s="776" t="s">
        <v>3504</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35" customHeight="1">
      <c r="A10" s="148" t="str">
        <f>IF(AND(E10&gt;0,OR(B10="",C10="",D10="",F10="",G10="", H10="",M10="",N10="",O10="")),1,"")</f>
        <v/>
      </c>
      <c r="B10" s="1536" t="s">
        <v>127</v>
      </c>
      <c r="C10" s="1537">
        <v>1</v>
      </c>
      <c r="D10" s="1538">
        <v>1</v>
      </c>
      <c r="E10" s="1539">
        <v>1</v>
      </c>
      <c r="F10" s="1539">
        <v>633</v>
      </c>
      <c r="G10" s="1539">
        <v>650</v>
      </c>
      <c r="H10" s="1539">
        <v>1.0000000000000001E-5</v>
      </c>
      <c r="I10" s="1539">
        <v>1E-4</v>
      </c>
      <c r="J10" s="1540" t="s">
        <v>4094</v>
      </c>
      <c r="K10" s="224">
        <f>MAX(0,H10-I10)</f>
        <v>0</v>
      </c>
      <c r="L10" s="224">
        <f t="shared" ref="L10:L47" si="0">MAX(0,E10*K10)</f>
        <v>0</v>
      </c>
      <c r="M10" s="1541" t="s">
        <v>3975</v>
      </c>
      <c r="N10" s="1541" t="s">
        <v>3994</v>
      </c>
      <c r="O10" s="1541" t="s">
        <v>3213</v>
      </c>
      <c r="P10" s="673">
        <f>IF(H10="","",H10*12/0.3)</f>
        <v>4.0000000000000007E-4</v>
      </c>
      <c r="Q10" s="674">
        <f>IF(H10="","",P10/($P$6*VLOOKUP(C10,'DCA Underwriting Assumptions'!$J$84:$K$89,2,FALSE)))</f>
        <v>7.6960076960076978E-9</v>
      </c>
      <c r="R10" s="820"/>
      <c r="S10" s="674"/>
      <c r="T10" s="1480" t="s">
        <v>4108</v>
      </c>
      <c r="U10" s="148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1</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f>IF(OR(AND($C10=1,$J10="PHA Oper Sub",$B10="50% AMI",NOT($M10="Common")),AND($C10=1,$J10="PHA Oper Sub",$B10="HOME 50% AMI",NOT($M10="Common"))),$E10,"")</f>
        <v>1</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633</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633</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1</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1</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1</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35" customHeight="1">
      <c r="A11" s="148" t="str">
        <f t="shared" ref="A11:A47" si="171">IF(AND(E11&gt;0,OR(B11="",C11="",D11="",F11="",G11="", H11="",M11="",N11="",O11="")),1,"")</f>
        <v/>
      </c>
      <c r="B11" s="1542" t="s">
        <v>1670</v>
      </c>
      <c r="C11" s="1543">
        <v>1</v>
      </c>
      <c r="D11" s="1544">
        <v>1</v>
      </c>
      <c r="E11" s="1545">
        <v>5</v>
      </c>
      <c r="F11" s="1545">
        <v>633</v>
      </c>
      <c r="G11" s="1545">
        <v>780</v>
      </c>
      <c r="H11" s="1545">
        <v>1.0000000000000001E-5</v>
      </c>
      <c r="I11" s="1545">
        <v>1E-4</v>
      </c>
      <c r="J11" s="1546" t="s">
        <v>4094</v>
      </c>
      <c r="K11" s="225">
        <f t="shared" ref="K11:K27" si="172">MAX(0,H11-I11)</f>
        <v>0</v>
      </c>
      <c r="L11" s="225">
        <f t="shared" si="0"/>
        <v>0</v>
      </c>
      <c r="M11" s="1547" t="s">
        <v>3975</v>
      </c>
      <c r="N11" s="1547" t="s">
        <v>3994</v>
      </c>
      <c r="O11" s="1547" t="s">
        <v>3213</v>
      </c>
      <c r="P11" s="673">
        <f>IF(H11="","",H11*12/0.3)</f>
        <v>4.0000000000000007E-4</v>
      </c>
      <c r="Q11" s="674">
        <f>IF(H11="","",P11/($P$6*VLOOKUP(C11,'DCA Underwriting Assumptions'!$J$84:$K$89,2,FALSE)))</f>
        <v>7.6960076960076978E-9</v>
      </c>
      <c r="R11" s="820"/>
      <c r="S11" s="674"/>
      <c r="T11" s="1482"/>
      <c r="U11" s="1483"/>
      <c r="V11" s="757" t="str">
        <f t="shared" si="1"/>
        <v/>
      </c>
      <c r="W11" s="757">
        <f t="shared" si="2"/>
        <v>5</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f t="shared" ref="BP11:BP47" si="199">IF(OR(AND($C11=1,$J11="PHA Oper Sub",$B11="60% AMI",NOT($M11="Common")),AND($C11=1,$J11="PHA Oper Sub",$B11="HOME 60% AMI",NOT($M11="Common"))),$E11,"")</f>
        <v>5</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3165</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f t="shared" si="47"/>
        <v>3165</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5</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5</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5</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35" customHeight="1">
      <c r="A12" s="148" t="str">
        <f t="shared" si="171"/>
        <v/>
      </c>
      <c r="B12" s="1542" t="s">
        <v>127</v>
      </c>
      <c r="C12" s="1543">
        <v>2</v>
      </c>
      <c r="D12" s="1544">
        <v>1</v>
      </c>
      <c r="E12" s="1545">
        <v>2</v>
      </c>
      <c r="F12" s="1545">
        <v>970</v>
      </c>
      <c r="G12" s="1545">
        <v>780</v>
      </c>
      <c r="H12" s="1545">
        <v>1.0000000000000001E-5</v>
      </c>
      <c r="I12" s="1545">
        <v>1E-4</v>
      </c>
      <c r="J12" s="1546" t="s">
        <v>4094</v>
      </c>
      <c r="K12" s="225">
        <f t="shared" si="172"/>
        <v>0</v>
      </c>
      <c r="L12" s="225">
        <f t="shared" si="0"/>
        <v>0</v>
      </c>
      <c r="M12" s="1547" t="s">
        <v>3975</v>
      </c>
      <c r="N12" s="1547" t="s">
        <v>3994</v>
      </c>
      <c r="O12" s="1547" t="s">
        <v>3213</v>
      </c>
      <c r="P12" s="673">
        <f>IF(H12="","",H12*12/0.3)</f>
        <v>4.0000000000000007E-4</v>
      </c>
      <c r="Q12" s="674">
        <f>IF(H12="","",P12/($P$6*VLOOKUP(C12,'DCA Underwriting Assumptions'!$J$84:$K$89,2,FALSE)))</f>
        <v>6.4133397466730813E-9</v>
      </c>
      <c r="R12" s="820"/>
      <c r="S12" s="674"/>
      <c r="T12" s="1482"/>
      <c r="U12" s="1483"/>
      <c r="V12" s="757" t="str">
        <f t="shared" si="1"/>
        <v/>
      </c>
      <c r="W12" s="757" t="str">
        <f t="shared" si="2"/>
        <v/>
      </c>
      <c r="X12" s="757" t="str">
        <f t="shared" si="3"/>
        <v/>
      </c>
      <c r="Y12" s="757" t="str">
        <f t="shared" si="4"/>
        <v/>
      </c>
      <c r="Z12" s="757" t="str">
        <f t="shared" si="5"/>
        <v/>
      </c>
      <c r="AA12" s="757" t="str">
        <f t="shared" si="6"/>
        <v/>
      </c>
      <c r="AB12" s="757" t="str">
        <f t="shared" si="7"/>
        <v/>
      </c>
      <c r="AC12" s="757">
        <f t="shared" si="8"/>
        <v>2</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f t="shared" si="195"/>
        <v>2</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1940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f t="shared" si="48"/>
        <v>1940</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2</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2</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2</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35" customHeight="1">
      <c r="A13" s="148" t="str">
        <f t="shared" si="171"/>
        <v/>
      </c>
      <c r="B13" s="1542" t="s">
        <v>1670</v>
      </c>
      <c r="C13" s="1543">
        <v>2</v>
      </c>
      <c r="D13" s="1544">
        <v>1</v>
      </c>
      <c r="E13" s="1545">
        <v>9</v>
      </c>
      <c r="F13" s="1545">
        <v>970</v>
      </c>
      <c r="G13" s="1545">
        <v>936</v>
      </c>
      <c r="H13" s="1545">
        <v>1.0000000000000001E-5</v>
      </c>
      <c r="I13" s="1545">
        <v>1E-4</v>
      </c>
      <c r="J13" s="1546" t="s">
        <v>4094</v>
      </c>
      <c r="K13" s="225">
        <f t="shared" si="172"/>
        <v>0</v>
      </c>
      <c r="L13" s="225">
        <f t="shared" si="0"/>
        <v>0</v>
      </c>
      <c r="M13" s="1547" t="s">
        <v>3975</v>
      </c>
      <c r="N13" s="1547" t="s">
        <v>3994</v>
      </c>
      <c r="O13" s="1547" t="s">
        <v>3213</v>
      </c>
      <c r="P13" s="673">
        <f>IF(H13="","",H13*12/0.3)</f>
        <v>4.0000000000000007E-4</v>
      </c>
      <c r="Q13" s="674">
        <f>IF(H13="","",P13/($P$6*VLOOKUP(C13,'DCA Underwriting Assumptions'!$J$84:$K$89,2,FALSE)))</f>
        <v>6.4133397466730813E-9</v>
      </c>
      <c r="R13" s="820"/>
      <c r="S13" s="674"/>
      <c r="T13" s="1482"/>
      <c r="U13" s="1483"/>
      <c r="V13" s="757" t="str">
        <f t="shared" si="1"/>
        <v/>
      </c>
      <c r="W13" s="757" t="str">
        <f t="shared" si="2"/>
        <v/>
      </c>
      <c r="X13" s="757">
        <f t="shared" si="3"/>
        <v>9</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f t="shared" si="200"/>
        <v>9</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8730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f t="shared" si="48"/>
        <v>8730</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9</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9</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9</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35" customHeight="1">
      <c r="A14" s="148" t="str">
        <f t="shared" si="171"/>
        <v/>
      </c>
      <c r="B14" s="1542" t="s">
        <v>127</v>
      </c>
      <c r="C14" s="1543">
        <v>2</v>
      </c>
      <c r="D14" s="1544">
        <v>1.5</v>
      </c>
      <c r="E14" s="1545">
        <v>5</v>
      </c>
      <c r="F14" s="1545">
        <v>1058</v>
      </c>
      <c r="G14" s="1545">
        <v>780</v>
      </c>
      <c r="H14" s="1545">
        <v>1.0000000000000001E-5</v>
      </c>
      <c r="I14" s="1545">
        <v>1E-4</v>
      </c>
      <c r="J14" s="1546" t="s">
        <v>4094</v>
      </c>
      <c r="K14" s="225">
        <f t="shared" si="172"/>
        <v>0</v>
      </c>
      <c r="L14" s="225">
        <f t="shared" si="0"/>
        <v>0</v>
      </c>
      <c r="M14" s="1547" t="s">
        <v>3975</v>
      </c>
      <c r="N14" s="1547" t="s">
        <v>3994</v>
      </c>
      <c r="O14" s="1547" t="s">
        <v>3213</v>
      </c>
      <c r="P14" s="673">
        <f>IF(H14="","",H14*12/0.3)</f>
        <v>4.0000000000000007E-4</v>
      </c>
      <c r="Q14" s="674">
        <f>IF(H14="","",P14/($P$6*VLOOKUP(C14,'DCA Underwriting Assumptions'!$J$84:$K$89,2,FALSE)))</f>
        <v>6.4133397466730813E-9</v>
      </c>
      <c r="R14" s="820"/>
      <c r="S14" s="674"/>
      <c r="T14" s="1482"/>
      <c r="U14" s="1483"/>
      <c r="V14" s="757" t="str">
        <f t="shared" si="1"/>
        <v/>
      </c>
      <c r="W14" s="757" t="str">
        <f t="shared" si="2"/>
        <v/>
      </c>
      <c r="X14" s="757" t="str">
        <f t="shared" si="3"/>
        <v/>
      </c>
      <c r="Y14" s="757" t="str">
        <f t="shared" si="4"/>
        <v/>
      </c>
      <c r="Z14" s="757" t="str">
        <f t="shared" si="5"/>
        <v/>
      </c>
      <c r="AA14" s="757" t="str">
        <f t="shared" si="6"/>
        <v/>
      </c>
      <c r="AB14" s="757" t="str">
        <f t="shared" si="7"/>
        <v/>
      </c>
      <c r="AC14" s="757">
        <f t="shared" si="8"/>
        <v>5</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f t="shared" si="195"/>
        <v>5</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f t="shared" si="33"/>
        <v>5290</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f t="shared" si="48"/>
        <v>5290</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5</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5</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5</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35" customHeight="1">
      <c r="A15" s="148" t="str">
        <f t="shared" si="171"/>
        <v/>
      </c>
      <c r="B15" s="1542" t="s">
        <v>1670</v>
      </c>
      <c r="C15" s="1543">
        <v>2</v>
      </c>
      <c r="D15" s="1544">
        <v>1.5</v>
      </c>
      <c r="E15" s="1545">
        <v>25</v>
      </c>
      <c r="F15" s="1545">
        <v>1058</v>
      </c>
      <c r="G15" s="1545">
        <v>936</v>
      </c>
      <c r="H15" s="1545">
        <v>1.0000000000000001E-5</v>
      </c>
      <c r="I15" s="1545">
        <v>1E-4</v>
      </c>
      <c r="J15" s="1546" t="s">
        <v>4094</v>
      </c>
      <c r="K15" s="225">
        <f t="shared" si="172"/>
        <v>0</v>
      </c>
      <c r="L15" s="225">
        <f t="shared" si="0"/>
        <v>0</v>
      </c>
      <c r="M15" s="1547" t="s">
        <v>3975</v>
      </c>
      <c r="N15" s="1547" t="s">
        <v>3994</v>
      </c>
      <c r="O15" s="1547" t="s">
        <v>3213</v>
      </c>
      <c r="P15" s="673">
        <f t="shared" ref="P15:P47" si="203">IF(H15="","",H15*12/0.3)</f>
        <v>4.0000000000000007E-4</v>
      </c>
      <c r="Q15" s="674">
        <f>IF(H15="","",P15/($P$6*VLOOKUP(C15,'DCA Underwriting Assumptions'!$J$84:$K$89,2,FALSE)))</f>
        <v>6.4133397466730813E-9</v>
      </c>
      <c r="R15" s="820"/>
      <c r="S15" s="674"/>
      <c r="T15" s="1482"/>
      <c r="U15" s="1483"/>
      <c r="V15" s="757" t="str">
        <f t="shared" si="1"/>
        <v/>
      </c>
      <c r="W15" s="757" t="str">
        <f t="shared" si="2"/>
        <v/>
      </c>
      <c r="X15" s="757">
        <f t="shared" si="3"/>
        <v>25</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f t="shared" si="200"/>
        <v>25</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f t="shared" si="28"/>
        <v>26450</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f t="shared" si="48"/>
        <v>26450</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f t="shared" si="58"/>
        <v>25</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f t="shared" si="103"/>
        <v>25</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f t="shared" si="143"/>
        <v>25</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35" customHeight="1">
      <c r="A16" s="148" t="str">
        <f t="shared" si="171"/>
        <v/>
      </c>
      <c r="B16" s="1542" t="s">
        <v>127</v>
      </c>
      <c r="C16" s="1543">
        <v>2</v>
      </c>
      <c r="D16" s="1544">
        <v>1.5</v>
      </c>
      <c r="E16" s="1545">
        <v>0</v>
      </c>
      <c r="F16" s="1545">
        <v>1128</v>
      </c>
      <c r="G16" s="1545">
        <v>780</v>
      </c>
      <c r="H16" s="1545">
        <v>1.0000000000000001E-5</v>
      </c>
      <c r="I16" s="1545">
        <v>1E-4</v>
      </c>
      <c r="J16" s="1546" t="s">
        <v>4094</v>
      </c>
      <c r="K16" s="225">
        <f t="shared" si="172"/>
        <v>0</v>
      </c>
      <c r="L16" s="225">
        <f t="shared" si="0"/>
        <v>0</v>
      </c>
      <c r="M16" s="1547" t="s">
        <v>3975</v>
      </c>
      <c r="N16" s="1547" t="s">
        <v>3994</v>
      </c>
      <c r="O16" s="1547" t="s">
        <v>3213</v>
      </c>
      <c r="P16" s="673">
        <f t="shared" si="203"/>
        <v>4.0000000000000007E-4</v>
      </c>
      <c r="Q16" s="674">
        <f>IF(H16="","",P16/($P$6*VLOOKUP(C16,'DCA Underwriting Assumptions'!$J$84:$K$89,2,FALSE)))</f>
        <v>6.4133397466730813E-9</v>
      </c>
      <c r="R16" s="820"/>
      <c r="S16" s="674"/>
      <c r="T16" s="1482"/>
      <c r="U16" s="1483"/>
      <c r="V16" s="757" t="str">
        <f t="shared" si="1"/>
        <v/>
      </c>
      <c r="W16" s="757" t="str">
        <f t="shared" si="2"/>
        <v/>
      </c>
      <c r="X16" s="757" t="str">
        <f t="shared" si="3"/>
        <v/>
      </c>
      <c r="Y16" s="757" t="str">
        <f t="shared" si="4"/>
        <v/>
      </c>
      <c r="Z16" s="757" t="str">
        <f t="shared" si="5"/>
        <v/>
      </c>
      <c r="AA16" s="757" t="str">
        <f t="shared" si="6"/>
        <v/>
      </c>
      <c r="AB16" s="757" t="str">
        <f t="shared" si="7"/>
        <v/>
      </c>
      <c r="AC16" s="757">
        <f t="shared" si="8"/>
        <v>0</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f t="shared" si="195"/>
        <v>0</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f t="shared" si="33"/>
        <v>0</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f t="shared" si="48"/>
        <v>0</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f t="shared" si="58"/>
        <v>0</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f t="shared" si="103"/>
        <v>0</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f t="shared" si="143"/>
        <v>0</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35" customHeight="1">
      <c r="A17" s="148" t="str">
        <f t="shared" si="171"/>
        <v/>
      </c>
      <c r="B17" s="1542" t="s">
        <v>1670</v>
      </c>
      <c r="C17" s="1543">
        <v>2</v>
      </c>
      <c r="D17" s="1544">
        <v>1.5</v>
      </c>
      <c r="E17" s="1545">
        <v>4</v>
      </c>
      <c r="F17" s="1545">
        <v>1128</v>
      </c>
      <c r="G17" s="1545">
        <v>936</v>
      </c>
      <c r="H17" s="1545">
        <v>1.0000000000000001E-5</v>
      </c>
      <c r="I17" s="1545">
        <v>1E-4</v>
      </c>
      <c r="J17" s="1546" t="s">
        <v>4094</v>
      </c>
      <c r="K17" s="225">
        <f t="shared" si="172"/>
        <v>0</v>
      </c>
      <c r="L17" s="225">
        <f t="shared" si="0"/>
        <v>0</v>
      </c>
      <c r="M17" s="1547" t="s">
        <v>3975</v>
      </c>
      <c r="N17" s="1547" t="s">
        <v>3994</v>
      </c>
      <c r="O17" s="1547" t="s">
        <v>3213</v>
      </c>
      <c r="P17" s="673">
        <f t="shared" si="203"/>
        <v>4.0000000000000007E-4</v>
      </c>
      <c r="Q17" s="674">
        <f>IF(H17="","",P17/($P$6*VLOOKUP(C17,'DCA Underwriting Assumptions'!$J$84:$K$89,2,FALSE)))</f>
        <v>6.4133397466730813E-9</v>
      </c>
      <c r="R17" s="820"/>
      <c r="S17" s="674"/>
      <c r="T17" s="1482"/>
      <c r="U17" s="1483"/>
      <c r="V17" s="757" t="str">
        <f t="shared" si="1"/>
        <v/>
      </c>
      <c r="W17" s="757" t="str">
        <f t="shared" si="2"/>
        <v/>
      </c>
      <c r="X17" s="757">
        <f t="shared" si="3"/>
        <v>4</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f t="shared" si="200"/>
        <v>4</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f t="shared" si="28"/>
        <v>4512</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f t="shared" si="48"/>
        <v>4512</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f t="shared" si="58"/>
        <v>4</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4</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f t="shared" si="143"/>
        <v>4</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35" customHeight="1">
      <c r="A18" s="148" t="str">
        <f t="shared" si="171"/>
        <v/>
      </c>
      <c r="B18" s="1542" t="s">
        <v>127</v>
      </c>
      <c r="C18" s="1543">
        <v>2</v>
      </c>
      <c r="D18" s="1544">
        <v>1.5</v>
      </c>
      <c r="E18" s="1545">
        <v>1</v>
      </c>
      <c r="F18" s="1545">
        <v>1092</v>
      </c>
      <c r="G18" s="1545">
        <v>780</v>
      </c>
      <c r="H18" s="1545">
        <v>1.0000000000000001E-5</v>
      </c>
      <c r="I18" s="1545">
        <v>1E-4</v>
      </c>
      <c r="J18" s="1546" t="s">
        <v>4094</v>
      </c>
      <c r="K18" s="225">
        <f t="shared" si="172"/>
        <v>0</v>
      </c>
      <c r="L18" s="225">
        <f t="shared" si="0"/>
        <v>0</v>
      </c>
      <c r="M18" s="1547" t="s">
        <v>3975</v>
      </c>
      <c r="N18" s="1547" t="s">
        <v>3994</v>
      </c>
      <c r="O18" s="1547" t="s">
        <v>3213</v>
      </c>
      <c r="P18" s="673">
        <f t="shared" si="203"/>
        <v>4.0000000000000007E-4</v>
      </c>
      <c r="Q18" s="674">
        <f>IF(H18="","",P18/($P$6*VLOOKUP(C18,'DCA Underwriting Assumptions'!$J$84:$K$89,2,FALSE)))</f>
        <v>6.4133397466730813E-9</v>
      </c>
      <c r="R18" s="820"/>
      <c r="S18" s="674"/>
      <c r="T18" s="1482"/>
      <c r="U18" s="1483"/>
      <c r="V18" s="757" t="str">
        <f t="shared" si="1"/>
        <v/>
      </c>
      <c r="W18" s="757" t="str">
        <f t="shared" si="2"/>
        <v/>
      </c>
      <c r="X18" s="757" t="str">
        <f t="shared" si="3"/>
        <v/>
      </c>
      <c r="Y18" s="757" t="str">
        <f t="shared" si="4"/>
        <v/>
      </c>
      <c r="Z18" s="757" t="str">
        <f t="shared" si="5"/>
        <v/>
      </c>
      <c r="AA18" s="757" t="str">
        <f t="shared" si="6"/>
        <v/>
      </c>
      <c r="AB18" s="757" t="str">
        <f t="shared" si="7"/>
        <v/>
      </c>
      <c r="AC18" s="757">
        <f t="shared" si="8"/>
        <v>1</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f t="shared" si="195"/>
        <v>1</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f t="shared" si="33"/>
        <v>1092</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f t="shared" si="48"/>
        <v>1092</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f t="shared" si="58"/>
        <v>1</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1</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f t="shared" si="143"/>
        <v>1</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35" customHeight="1">
      <c r="A19" s="148" t="str">
        <f t="shared" si="171"/>
        <v/>
      </c>
      <c r="B19" s="1542" t="s">
        <v>1670</v>
      </c>
      <c r="C19" s="1543">
        <v>2</v>
      </c>
      <c r="D19" s="1544">
        <v>1.5</v>
      </c>
      <c r="E19" s="1545">
        <v>3</v>
      </c>
      <c r="F19" s="1545">
        <v>1092</v>
      </c>
      <c r="G19" s="1545">
        <v>936</v>
      </c>
      <c r="H19" s="1545">
        <v>1.0000000000000001E-5</v>
      </c>
      <c r="I19" s="1545">
        <v>1E-4</v>
      </c>
      <c r="J19" s="1546" t="s">
        <v>4094</v>
      </c>
      <c r="K19" s="225">
        <f t="shared" si="172"/>
        <v>0</v>
      </c>
      <c r="L19" s="225">
        <f t="shared" si="0"/>
        <v>0</v>
      </c>
      <c r="M19" s="1547" t="s">
        <v>3975</v>
      </c>
      <c r="N19" s="1547" t="s">
        <v>3994</v>
      </c>
      <c r="O19" s="1547" t="s">
        <v>3213</v>
      </c>
      <c r="P19" s="673">
        <f t="shared" si="203"/>
        <v>4.0000000000000007E-4</v>
      </c>
      <c r="Q19" s="674">
        <f>IF(H19="","",P19/($P$6*VLOOKUP(C19,'DCA Underwriting Assumptions'!$J$84:$K$89,2,FALSE)))</f>
        <v>6.4133397466730813E-9</v>
      </c>
      <c r="R19" s="820"/>
      <c r="S19" s="674"/>
      <c r="T19" s="1482"/>
      <c r="U19" s="1483"/>
      <c r="V19" s="757" t="str">
        <f t="shared" si="1"/>
        <v/>
      </c>
      <c r="W19" s="757" t="str">
        <f t="shared" si="2"/>
        <v/>
      </c>
      <c r="X19" s="757">
        <f t="shared" si="3"/>
        <v>3</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f t="shared" si="200"/>
        <v>3</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f t="shared" si="28"/>
        <v>3276</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f t="shared" si="48"/>
        <v>3276</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f t="shared" si="58"/>
        <v>3</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f t="shared" si="103"/>
        <v>3</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f t="shared" si="143"/>
        <v>3</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35" customHeight="1">
      <c r="A20" s="148" t="str">
        <f t="shared" si="171"/>
        <v/>
      </c>
      <c r="B20" s="1542" t="s">
        <v>127</v>
      </c>
      <c r="C20" s="1543">
        <v>3</v>
      </c>
      <c r="D20" s="1544">
        <v>2.5</v>
      </c>
      <c r="E20" s="1545">
        <v>0</v>
      </c>
      <c r="F20" s="1545">
        <v>1389</v>
      </c>
      <c r="G20" s="1545">
        <v>901</v>
      </c>
      <c r="H20" s="1545">
        <v>1.0000000000000001E-5</v>
      </c>
      <c r="I20" s="1545">
        <v>1E-4</v>
      </c>
      <c r="J20" s="1546" t="s">
        <v>4094</v>
      </c>
      <c r="K20" s="225">
        <f t="shared" si="172"/>
        <v>0</v>
      </c>
      <c r="L20" s="225">
        <f t="shared" si="0"/>
        <v>0</v>
      </c>
      <c r="M20" s="1547" t="s">
        <v>3975</v>
      </c>
      <c r="N20" s="1547" t="s">
        <v>3994</v>
      </c>
      <c r="O20" s="1547" t="s">
        <v>3213</v>
      </c>
      <c r="P20" s="673">
        <f t="shared" si="203"/>
        <v>4.0000000000000007E-4</v>
      </c>
      <c r="Q20" s="674">
        <f>IF(H20="","",P20/($P$6*VLOOKUP(C20,'DCA Underwriting Assumptions'!$J$84:$K$89,2,FALSE)))</f>
        <v>5.5500055500055514E-9</v>
      </c>
      <c r="R20" s="820"/>
      <c r="S20" s="674"/>
      <c r="T20" s="1482"/>
      <c r="U20" s="148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f t="shared" si="9"/>
        <v>0</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f t="shared" si="196"/>
        <v>0</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f t="shared" si="34"/>
        <v>0</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f t="shared" si="49"/>
        <v>0</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f t="shared" si="59"/>
        <v>0</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f t="shared" si="104"/>
        <v>0</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f t="shared" si="144"/>
        <v>0</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35" customHeight="1">
      <c r="A21" s="148" t="str">
        <f t="shared" si="171"/>
        <v/>
      </c>
      <c r="B21" s="1542" t="s">
        <v>1670</v>
      </c>
      <c r="C21" s="1543">
        <v>3</v>
      </c>
      <c r="D21" s="1544">
        <v>2.5</v>
      </c>
      <c r="E21" s="1545">
        <v>4</v>
      </c>
      <c r="F21" s="1545">
        <v>1389</v>
      </c>
      <c r="G21" s="1545">
        <v>1081</v>
      </c>
      <c r="H21" s="1545">
        <v>1.0000000000000001E-5</v>
      </c>
      <c r="I21" s="1545">
        <v>1E-4</v>
      </c>
      <c r="J21" s="1546" t="s">
        <v>4094</v>
      </c>
      <c r="K21" s="225">
        <f t="shared" si="172"/>
        <v>0</v>
      </c>
      <c r="L21" s="225">
        <f t="shared" si="0"/>
        <v>0</v>
      </c>
      <c r="M21" s="1547" t="s">
        <v>3975</v>
      </c>
      <c r="N21" s="1547" t="s">
        <v>3994</v>
      </c>
      <c r="O21" s="1547" t="s">
        <v>3213</v>
      </c>
      <c r="P21" s="673">
        <f t="shared" si="203"/>
        <v>4.0000000000000007E-4</v>
      </c>
      <c r="Q21" s="674">
        <f>IF(H21="","",P21/($P$6*VLOOKUP(C21,'DCA Underwriting Assumptions'!$J$84:$K$89,2,FALSE)))</f>
        <v>5.5500055500055514E-9</v>
      </c>
      <c r="R21" s="820"/>
      <c r="S21" s="674"/>
      <c r="T21" s="1482"/>
      <c r="U21" s="1483"/>
      <c r="V21" s="757" t="str">
        <f t="shared" si="1"/>
        <v/>
      </c>
      <c r="W21" s="757" t="str">
        <f t="shared" si="2"/>
        <v/>
      </c>
      <c r="X21" s="757" t="str">
        <f t="shared" si="3"/>
        <v/>
      </c>
      <c r="Y21" s="757">
        <f t="shared" si="4"/>
        <v>4</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f t="shared" si="201"/>
        <v>4</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f t="shared" si="29"/>
        <v>5556</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f t="shared" si="49"/>
        <v>5556</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f t="shared" si="59"/>
        <v>4</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f t="shared" si="104"/>
        <v>4</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f t="shared" si="144"/>
        <v>4</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35" customHeight="1">
      <c r="A22" s="148" t="str">
        <f t="shared" si="171"/>
        <v/>
      </c>
      <c r="B22" s="1542" t="s">
        <v>127</v>
      </c>
      <c r="C22" s="1543">
        <v>3</v>
      </c>
      <c r="D22" s="1544">
        <v>2.5</v>
      </c>
      <c r="E22" s="1545">
        <v>1</v>
      </c>
      <c r="F22" s="1545">
        <v>1409</v>
      </c>
      <c r="G22" s="1545">
        <v>901</v>
      </c>
      <c r="H22" s="1545">
        <v>1.0000000000000001E-5</v>
      </c>
      <c r="I22" s="1545">
        <v>1E-4</v>
      </c>
      <c r="J22" s="1546" t="s">
        <v>4094</v>
      </c>
      <c r="K22" s="225">
        <f t="shared" si="172"/>
        <v>0</v>
      </c>
      <c r="L22" s="225">
        <f t="shared" si="0"/>
        <v>0</v>
      </c>
      <c r="M22" s="1547" t="s">
        <v>3975</v>
      </c>
      <c r="N22" s="1547" t="s">
        <v>3994</v>
      </c>
      <c r="O22" s="1547" t="s">
        <v>3213</v>
      </c>
      <c r="P22" s="673">
        <f t="shared" si="203"/>
        <v>4.0000000000000007E-4</v>
      </c>
      <c r="Q22" s="674">
        <f>IF(H22="","",P22/($P$6*VLOOKUP(C22,'DCA Underwriting Assumptions'!$J$84:$K$89,2,FALSE)))</f>
        <v>5.5500055500055514E-9</v>
      </c>
      <c r="R22" s="820"/>
      <c r="S22" s="674"/>
      <c r="T22" s="1482"/>
      <c r="U22" s="148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f t="shared" si="9"/>
        <v>1</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f t="shared" si="196"/>
        <v>1</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f t="shared" si="34"/>
        <v>1409</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f t="shared" si="49"/>
        <v>1409</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f t="shared" si="59"/>
        <v>1</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f t="shared" si="104"/>
        <v>1</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f t="shared" si="144"/>
        <v>1</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35" customHeight="1">
      <c r="A23" s="148" t="str">
        <f t="shared" si="171"/>
        <v/>
      </c>
      <c r="B23" s="1542" t="s">
        <v>1670</v>
      </c>
      <c r="C23" s="1543">
        <v>3</v>
      </c>
      <c r="D23" s="1544">
        <v>2.5</v>
      </c>
      <c r="E23" s="1545">
        <v>3</v>
      </c>
      <c r="F23" s="1545">
        <v>1409</v>
      </c>
      <c r="G23" s="1545">
        <v>1081</v>
      </c>
      <c r="H23" s="1545">
        <v>1.0000000000000001E-5</v>
      </c>
      <c r="I23" s="1545">
        <v>1E-4</v>
      </c>
      <c r="J23" s="1546" t="s">
        <v>4094</v>
      </c>
      <c r="K23" s="225">
        <f t="shared" si="172"/>
        <v>0</v>
      </c>
      <c r="L23" s="225">
        <f t="shared" si="0"/>
        <v>0</v>
      </c>
      <c r="M23" s="1547" t="s">
        <v>3975</v>
      </c>
      <c r="N23" s="1547" t="s">
        <v>3994</v>
      </c>
      <c r="O23" s="1547" t="s">
        <v>3213</v>
      </c>
      <c r="P23" s="673">
        <f t="shared" si="203"/>
        <v>4.0000000000000007E-4</v>
      </c>
      <c r="Q23" s="674">
        <f>IF(H23="","",P23/($P$6*VLOOKUP(C23,'DCA Underwriting Assumptions'!$J$84:$K$89,2,FALSE)))</f>
        <v>5.5500055500055514E-9</v>
      </c>
      <c r="R23" s="820"/>
      <c r="S23" s="674"/>
      <c r="T23" s="1482"/>
      <c r="U23" s="1483"/>
      <c r="V23" s="757" t="str">
        <f t="shared" si="1"/>
        <v/>
      </c>
      <c r="W23" s="757" t="str">
        <f t="shared" si="2"/>
        <v/>
      </c>
      <c r="X23" s="757" t="str">
        <f t="shared" si="3"/>
        <v/>
      </c>
      <c r="Y23" s="757">
        <f t="shared" si="4"/>
        <v>3</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f t="shared" si="201"/>
        <v>3</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f t="shared" si="29"/>
        <v>4227</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f t="shared" si="49"/>
        <v>4227</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f t="shared" si="59"/>
        <v>3</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f t="shared" si="104"/>
        <v>3</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f t="shared" si="144"/>
        <v>3</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35" customHeight="1">
      <c r="A24" s="148" t="str">
        <f t="shared" si="171"/>
        <v/>
      </c>
      <c r="B24" s="1542" t="s">
        <v>127</v>
      </c>
      <c r="C24" s="1543">
        <v>3</v>
      </c>
      <c r="D24" s="1544">
        <v>2</v>
      </c>
      <c r="E24" s="1545">
        <v>0</v>
      </c>
      <c r="F24" s="1545">
        <v>1125</v>
      </c>
      <c r="G24" s="1545">
        <v>901</v>
      </c>
      <c r="H24" s="1545">
        <v>1.0000000000000001E-5</v>
      </c>
      <c r="I24" s="1545">
        <v>1E-4</v>
      </c>
      <c r="J24" s="1546" t="s">
        <v>4094</v>
      </c>
      <c r="K24" s="225">
        <f t="shared" si="172"/>
        <v>0</v>
      </c>
      <c r="L24" s="225">
        <f t="shared" si="0"/>
        <v>0</v>
      </c>
      <c r="M24" s="1547" t="s">
        <v>3975</v>
      </c>
      <c r="N24" s="1547" t="s">
        <v>3994</v>
      </c>
      <c r="O24" s="1547" t="s">
        <v>3213</v>
      </c>
      <c r="P24" s="673">
        <f t="shared" si="203"/>
        <v>4.0000000000000007E-4</v>
      </c>
      <c r="Q24" s="674">
        <f>IF(H24="","",P24/($P$6*VLOOKUP(C24,'DCA Underwriting Assumptions'!$J$84:$K$89,2,FALSE)))</f>
        <v>5.5500055500055514E-9</v>
      </c>
      <c r="R24" s="820"/>
      <c r="S24" s="674"/>
      <c r="T24" s="1482"/>
      <c r="U24" s="148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f t="shared" si="9"/>
        <v>0</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f t="shared" si="196"/>
        <v>0</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f t="shared" si="34"/>
        <v>0</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f t="shared" si="49"/>
        <v>0</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f t="shared" si="59"/>
        <v>0</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f t="shared" si="104"/>
        <v>0</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f t="shared" si="144"/>
        <v>0</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35" customHeight="1">
      <c r="A25" s="148" t="str">
        <f t="shared" si="171"/>
        <v/>
      </c>
      <c r="B25" s="1542" t="s">
        <v>1670</v>
      </c>
      <c r="C25" s="1543">
        <v>3</v>
      </c>
      <c r="D25" s="1544">
        <v>2</v>
      </c>
      <c r="E25" s="1545">
        <v>4</v>
      </c>
      <c r="F25" s="1545">
        <v>1125</v>
      </c>
      <c r="G25" s="1545">
        <v>1081</v>
      </c>
      <c r="H25" s="1545">
        <v>1.0000000000000001E-5</v>
      </c>
      <c r="I25" s="1545">
        <v>1E-4</v>
      </c>
      <c r="J25" s="1546" t="s">
        <v>4094</v>
      </c>
      <c r="K25" s="225">
        <f t="shared" si="172"/>
        <v>0</v>
      </c>
      <c r="L25" s="225">
        <f t="shared" si="0"/>
        <v>0</v>
      </c>
      <c r="M25" s="1547" t="s">
        <v>3975</v>
      </c>
      <c r="N25" s="1547" t="s">
        <v>3994</v>
      </c>
      <c r="O25" s="1547" t="s">
        <v>3213</v>
      </c>
      <c r="P25" s="673">
        <f t="shared" si="203"/>
        <v>4.0000000000000007E-4</v>
      </c>
      <c r="Q25" s="674">
        <f>IF(H25="","",P25/($P$6*VLOOKUP(C25,'DCA Underwriting Assumptions'!$J$84:$K$89,2,FALSE)))</f>
        <v>5.5500055500055514E-9</v>
      </c>
      <c r="R25" s="820"/>
      <c r="S25" s="674"/>
      <c r="T25" s="1482"/>
      <c r="U25" s="1483"/>
      <c r="V25" s="757" t="str">
        <f t="shared" si="1"/>
        <v/>
      </c>
      <c r="W25" s="757" t="str">
        <f t="shared" si="2"/>
        <v/>
      </c>
      <c r="X25" s="757" t="str">
        <f t="shared" si="3"/>
        <v/>
      </c>
      <c r="Y25" s="757">
        <f t="shared" si="4"/>
        <v>4</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f t="shared" si="201"/>
        <v>4</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f t="shared" si="29"/>
        <v>4500</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f t="shared" si="49"/>
        <v>4500</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f t="shared" si="59"/>
        <v>4</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f t="shared" si="104"/>
        <v>4</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f t="shared" si="144"/>
        <v>4</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35" customHeight="1">
      <c r="A26" s="148" t="str">
        <f t="shared" si="171"/>
        <v/>
      </c>
      <c r="B26" s="1542" t="s">
        <v>127</v>
      </c>
      <c r="C26" s="1543">
        <v>3</v>
      </c>
      <c r="D26" s="1544">
        <v>2</v>
      </c>
      <c r="E26" s="1545">
        <v>1</v>
      </c>
      <c r="F26" s="1545">
        <v>1199</v>
      </c>
      <c r="G26" s="1545">
        <v>901</v>
      </c>
      <c r="H26" s="1545">
        <v>1.0000000000000001E-5</v>
      </c>
      <c r="I26" s="1545">
        <v>1E-4</v>
      </c>
      <c r="J26" s="1546" t="s">
        <v>4094</v>
      </c>
      <c r="K26" s="225">
        <f t="shared" si="172"/>
        <v>0</v>
      </c>
      <c r="L26" s="225">
        <f t="shared" si="0"/>
        <v>0</v>
      </c>
      <c r="M26" s="1547" t="s">
        <v>3975</v>
      </c>
      <c r="N26" s="1547" t="s">
        <v>3994</v>
      </c>
      <c r="O26" s="1547" t="s">
        <v>3213</v>
      </c>
      <c r="P26" s="673">
        <f t="shared" si="203"/>
        <v>4.0000000000000007E-4</v>
      </c>
      <c r="Q26" s="674">
        <f>IF(H26="","",P26/($P$6*VLOOKUP(C26,'DCA Underwriting Assumptions'!$J$84:$K$89,2,FALSE)))</f>
        <v>5.5500055500055514E-9</v>
      </c>
      <c r="R26" s="820"/>
      <c r="S26" s="674"/>
      <c r="T26" s="1482"/>
      <c r="U26" s="148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f t="shared" si="9"/>
        <v>1</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f t="shared" si="196"/>
        <v>1</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f t="shared" si="34"/>
        <v>1199</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f t="shared" si="49"/>
        <v>1199</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f t="shared" si="59"/>
        <v>1</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f t="shared" si="104"/>
        <v>1</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f t="shared" si="144"/>
        <v>1</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35" customHeight="1">
      <c r="A27" s="148" t="str">
        <f t="shared" si="171"/>
        <v/>
      </c>
      <c r="B27" s="1542" t="s">
        <v>1670</v>
      </c>
      <c r="C27" s="1543">
        <v>3</v>
      </c>
      <c r="D27" s="1544">
        <v>2</v>
      </c>
      <c r="E27" s="1545">
        <v>3</v>
      </c>
      <c r="F27" s="1545">
        <v>1199</v>
      </c>
      <c r="G27" s="1545">
        <v>1081</v>
      </c>
      <c r="H27" s="1545">
        <v>1.0000000000000001E-5</v>
      </c>
      <c r="I27" s="1545">
        <v>1E-4</v>
      </c>
      <c r="J27" s="1546" t="s">
        <v>4094</v>
      </c>
      <c r="K27" s="225">
        <f t="shared" si="172"/>
        <v>0</v>
      </c>
      <c r="L27" s="225">
        <f t="shared" si="0"/>
        <v>0</v>
      </c>
      <c r="M27" s="1547" t="s">
        <v>3975</v>
      </c>
      <c r="N27" s="1547" t="s">
        <v>3994</v>
      </c>
      <c r="O27" s="1547" t="s">
        <v>3213</v>
      </c>
      <c r="P27" s="673">
        <f t="shared" si="203"/>
        <v>4.0000000000000007E-4</v>
      </c>
      <c r="Q27" s="674">
        <f>IF(H27="","",P27/($P$6*VLOOKUP(C27,'DCA Underwriting Assumptions'!$J$84:$K$89,2,FALSE)))</f>
        <v>5.5500055500055514E-9</v>
      </c>
      <c r="R27" s="820"/>
      <c r="S27" s="674"/>
      <c r="T27" s="1482"/>
      <c r="U27" s="1483"/>
      <c r="V27" s="757" t="str">
        <f t="shared" si="1"/>
        <v/>
      </c>
      <c r="W27" s="757" t="str">
        <f t="shared" si="2"/>
        <v/>
      </c>
      <c r="X27" s="757" t="str">
        <f t="shared" si="3"/>
        <v/>
      </c>
      <c r="Y27" s="757">
        <f t="shared" si="4"/>
        <v>3</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f t="shared" si="201"/>
        <v>3</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f t="shared" si="29"/>
        <v>3597</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f t="shared" si="49"/>
        <v>3597</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f t="shared" si="59"/>
        <v>3</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f t="shared" si="104"/>
        <v>3</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f t="shared" si="144"/>
        <v>3</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35" customHeight="1">
      <c r="A28" s="148" t="str">
        <f t="shared" si="171"/>
        <v/>
      </c>
      <c r="B28" s="1542" t="s">
        <v>2626</v>
      </c>
      <c r="C28" s="1543"/>
      <c r="D28" s="1544"/>
      <c r="E28" s="1545"/>
      <c r="F28" s="1545"/>
      <c r="G28" s="1545"/>
      <c r="H28" s="1545"/>
      <c r="I28" s="1545"/>
      <c r="J28" s="1546"/>
      <c r="K28" s="225">
        <f>MAX(0,H28-I28)</f>
        <v>0</v>
      </c>
      <c r="L28" s="225">
        <f t="shared" si="0"/>
        <v>0</v>
      </c>
      <c r="M28" s="1547"/>
      <c r="N28" s="1547"/>
      <c r="O28" s="1547"/>
      <c r="P28" s="673" t="str">
        <f t="shared" si="203"/>
        <v/>
      </c>
      <c r="Q28" s="674" t="str">
        <f>IF(H28="","",P28/($P$6*VLOOKUP(C28,'DCA Underwriting Assumptions'!$J$84:$K$89,2,FALSE)))</f>
        <v/>
      </c>
      <c r="R28" s="820"/>
      <c r="S28" s="674"/>
      <c r="T28" s="1482"/>
      <c r="U28" s="148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35" customHeight="1">
      <c r="A29" s="148" t="str">
        <f t="shared" si="171"/>
        <v/>
      </c>
      <c r="B29" s="1542" t="s">
        <v>2626</v>
      </c>
      <c r="C29" s="1543"/>
      <c r="D29" s="1544"/>
      <c r="E29" s="1545"/>
      <c r="F29" s="1545"/>
      <c r="G29" s="1545"/>
      <c r="H29" s="1545"/>
      <c r="I29" s="1545"/>
      <c r="J29" s="1546"/>
      <c r="K29" s="225">
        <f t="shared" ref="K29:K47" si="204">MAX(0,H29-I29)</f>
        <v>0</v>
      </c>
      <c r="L29" s="225">
        <f t="shared" si="0"/>
        <v>0</v>
      </c>
      <c r="M29" s="1547"/>
      <c r="N29" s="1547"/>
      <c r="O29" s="1547"/>
      <c r="P29" s="673" t="str">
        <f t="shared" si="203"/>
        <v/>
      </c>
      <c r="Q29" s="674" t="str">
        <f>IF(H29="","",P29/($P$6*VLOOKUP(C29,'DCA Underwriting Assumptions'!$J$84:$K$89,2,FALSE)))</f>
        <v/>
      </c>
      <c r="R29" s="820"/>
      <c r="S29" s="674"/>
      <c r="T29" s="1482"/>
      <c r="U29" s="148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35" customHeight="1">
      <c r="A30" s="148" t="str">
        <f t="shared" si="171"/>
        <v/>
      </c>
      <c r="B30" s="1542" t="s">
        <v>2626</v>
      </c>
      <c r="C30" s="1543"/>
      <c r="D30" s="1544"/>
      <c r="E30" s="1545"/>
      <c r="F30" s="1545"/>
      <c r="G30" s="1545"/>
      <c r="H30" s="1545"/>
      <c r="I30" s="1545"/>
      <c r="J30" s="1546"/>
      <c r="K30" s="225">
        <f t="shared" si="204"/>
        <v>0</v>
      </c>
      <c r="L30" s="225">
        <f t="shared" si="0"/>
        <v>0</v>
      </c>
      <c r="M30" s="1547"/>
      <c r="N30" s="1547"/>
      <c r="O30" s="1547"/>
      <c r="P30" s="673" t="str">
        <f t="shared" si="203"/>
        <v/>
      </c>
      <c r="Q30" s="674" t="str">
        <f>IF(H30="","",P30/($P$6*VLOOKUP(C30,'DCA Underwriting Assumptions'!$J$84:$K$89,2,FALSE)))</f>
        <v/>
      </c>
      <c r="R30" s="820"/>
      <c r="S30" s="674"/>
      <c r="T30" s="1482"/>
      <c r="U30" s="148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35" customHeight="1">
      <c r="A31" s="148" t="str">
        <f t="shared" si="171"/>
        <v/>
      </c>
      <c r="B31" s="1542" t="s">
        <v>2626</v>
      </c>
      <c r="C31" s="1543"/>
      <c r="D31" s="1544"/>
      <c r="E31" s="1545"/>
      <c r="F31" s="1545"/>
      <c r="G31" s="1545"/>
      <c r="H31" s="1545"/>
      <c r="I31" s="1545"/>
      <c r="J31" s="1546"/>
      <c r="K31" s="225">
        <f t="shared" si="204"/>
        <v>0</v>
      </c>
      <c r="L31" s="225">
        <f t="shared" si="0"/>
        <v>0</v>
      </c>
      <c r="M31" s="1547"/>
      <c r="N31" s="1547"/>
      <c r="O31" s="1547"/>
      <c r="P31" s="673" t="str">
        <f t="shared" si="203"/>
        <v/>
      </c>
      <c r="Q31" s="674" t="str">
        <f>IF(H31="","",P31/($P$6*VLOOKUP(C31,'DCA Underwriting Assumptions'!$J$84:$K$89,2,FALSE)))</f>
        <v/>
      </c>
      <c r="R31" s="820"/>
      <c r="S31" s="674"/>
      <c r="T31" s="1482"/>
      <c r="U31" s="148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35" customHeight="1">
      <c r="A32" s="148" t="str">
        <f t="shared" si="171"/>
        <v/>
      </c>
      <c r="B32" s="1542" t="s">
        <v>2626</v>
      </c>
      <c r="C32" s="1543"/>
      <c r="D32" s="1544"/>
      <c r="E32" s="1545"/>
      <c r="F32" s="1545"/>
      <c r="G32" s="1545"/>
      <c r="H32" s="1545"/>
      <c r="I32" s="1545"/>
      <c r="J32" s="1546"/>
      <c r="K32" s="225">
        <f t="shared" si="204"/>
        <v>0</v>
      </c>
      <c r="L32" s="225">
        <f t="shared" si="0"/>
        <v>0</v>
      </c>
      <c r="M32" s="1547"/>
      <c r="N32" s="1547"/>
      <c r="O32" s="1547"/>
      <c r="P32" s="673" t="str">
        <f t="shared" si="203"/>
        <v/>
      </c>
      <c r="Q32" s="674" t="str">
        <f>IF(H32="","",P32/($P$6*VLOOKUP(C32,'DCA Underwriting Assumptions'!$J$84:$K$89,2,FALSE)))</f>
        <v/>
      </c>
      <c r="R32" s="820"/>
      <c r="S32" s="674"/>
      <c r="T32" s="1482"/>
      <c r="U32" s="148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35" customHeight="1">
      <c r="A33" s="148" t="str">
        <f t="shared" si="171"/>
        <v/>
      </c>
      <c r="B33" s="1542" t="s">
        <v>2626</v>
      </c>
      <c r="C33" s="1543"/>
      <c r="D33" s="1544"/>
      <c r="E33" s="1545"/>
      <c r="F33" s="1545"/>
      <c r="G33" s="1545"/>
      <c r="H33" s="1545"/>
      <c r="I33" s="1545"/>
      <c r="J33" s="1546"/>
      <c r="K33" s="225">
        <f t="shared" si="204"/>
        <v>0</v>
      </c>
      <c r="L33" s="225">
        <f t="shared" si="0"/>
        <v>0</v>
      </c>
      <c r="M33" s="1547"/>
      <c r="N33" s="1547"/>
      <c r="O33" s="1547"/>
      <c r="P33" s="673" t="str">
        <f t="shared" si="203"/>
        <v/>
      </c>
      <c r="Q33" s="674" t="str">
        <f>IF(H33="","",P33/($P$6*VLOOKUP(C33,'DCA Underwriting Assumptions'!$J$84:$K$89,2,FALSE)))</f>
        <v/>
      </c>
      <c r="R33" s="820"/>
      <c r="S33" s="674"/>
      <c r="T33" s="1482"/>
      <c r="U33" s="148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35" customHeight="1">
      <c r="A34" s="148" t="str">
        <f t="shared" si="171"/>
        <v/>
      </c>
      <c r="B34" s="1542" t="s">
        <v>2626</v>
      </c>
      <c r="C34" s="1543"/>
      <c r="D34" s="1544"/>
      <c r="E34" s="1545"/>
      <c r="F34" s="1545"/>
      <c r="G34" s="1545"/>
      <c r="H34" s="1545"/>
      <c r="I34" s="1545"/>
      <c r="J34" s="1546"/>
      <c r="K34" s="225">
        <f t="shared" si="204"/>
        <v>0</v>
      </c>
      <c r="L34" s="225">
        <f t="shared" si="0"/>
        <v>0</v>
      </c>
      <c r="M34" s="1547"/>
      <c r="N34" s="1547"/>
      <c r="O34" s="1547"/>
      <c r="P34" s="673" t="str">
        <f t="shared" si="203"/>
        <v/>
      </c>
      <c r="Q34" s="674" t="str">
        <f>IF(H34="","",P34/($P$6*VLOOKUP(C34,'DCA Underwriting Assumptions'!$J$84:$K$89,2,FALSE)))</f>
        <v/>
      </c>
      <c r="R34" s="820"/>
      <c r="S34" s="674"/>
      <c r="T34" s="1482"/>
      <c r="U34" s="148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35" customHeight="1">
      <c r="A35" s="148" t="str">
        <f t="shared" si="171"/>
        <v/>
      </c>
      <c r="B35" s="1542" t="s">
        <v>2626</v>
      </c>
      <c r="C35" s="1543"/>
      <c r="D35" s="1544"/>
      <c r="E35" s="1545"/>
      <c r="F35" s="1545"/>
      <c r="G35" s="1545"/>
      <c r="H35" s="1545"/>
      <c r="I35" s="1545"/>
      <c r="J35" s="1546"/>
      <c r="K35" s="225">
        <f t="shared" si="204"/>
        <v>0</v>
      </c>
      <c r="L35" s="225">
        <f t="shared" si="0"/>
        <v>0</v>
      </c>
      <c r="M35" s="1547"/>
      <c r="N35" s="1547"/>
      <c r="O35" s="1547"/>
      <c r="P35" s="673" t="str">
        <f t="shared" si="203"/>
        <v/>
      </c>
      <c r="Q35" s="674" t="str">
        <f>IF(H35="","",P35/($P$6*VLOOKUP(C35,'DCA Underwriting Assumptions'!$J$84:$K$89,2,FALSE)))</f>
        <v/>
      </c>
      <c r="R35" s="820"/>
      <c r="S35" s="674"/>
      <c r="T35" s="1482"/>
      <c r="U35" s="148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35" customHeight="1">
      <c r="A36" s="148" t="str">
        <f t="shared" si="171"/>
        <v/>
      </c>
      <c r="B36" s="1542" t="s">
        <v>2626</v>
      </c>
      <c r="C36" s="1543"/>
      <c r="D36" s="1544"/>
      <c r="E36" s="1545"/>
      <c r="F36" s="1545"/>
      <c r="G36" s="1545"/>
      <c r="H36" s="1545"/>
      <c r="I36" s="1545"/>
      <c r="J36" s="1546"/>
      <c r="K36" s="225">
        <f t="shared" si="204"/>
        <v>0</v>
      </c>
      <c r="L36" s="225">
        <f t="shared" si="0"/>
        <v>0</v>
      </c>
      <c r="M36" s="1547"/>
      <c r="N36" s="1547"/>
      <c r="O36" s="1547"/>
      <c r="P36" s="673" t="str">
        <f t="shared" si="203"/>
        <v/>
      </c>
      <c r="Q36" s="674" t="str">
        <f>IF(H36="","",P36/($P$6*VLOOKUP(C36,'DCA Underwriting Assumptions'!$J$84:$K$89,2,FALSE)))</f>
        <v/>
      </c>
      <c r="R36" s="820"/>
      <c r="S36" s="674"/>
      <c r="T36" s="1482"/>
      <c r="U36" s="148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35" customHeight="1">
      <c r="A37" s="148" t="str">
        <f t="shared" si="171"/>
        <v/>
      </c>
      <c r="B37" s="1542" t="s">
        <v>2626</v>
      </c>
      <c r="C37" s="1543"/>
      <c r="D37" s="1544"/>
      <c r="E37" s="1545"/>
      <c r="F37" s="1545"/>
      <c r="G37" s="1545"/>
      <c r="H37" s="1545"/>
      <c r="I37" s="1545"/>
      <c r="J37" s="1546"/>
      <c r="K37" s="225">
        <f t="shared" si="204"/>
        <v>0</v>
      </c>
      <c r="L37" s="225">
        <f t="shared" si="0"/>
        <v>0</v>
      </c>
      <c r="M37" s="1547"/>
      <c r="N37" s="1547"/>
      <c r="O37" s="1547"/>
      <c r="P37" s="673" t="str">
        <f t="shared" si="203"/>
        <v/>
      </c>
      <c r="Q37" s="674" t="str">
        <f>IF(H37="","",P37/($P$6*VLOOKUP(C37,'DCA Underwriting Assumptions'!$J$84:$K$89,2,FALSE)))</f>
        <v/>
      </c>
      <c r="R37" s="820"/>
      <c r="S37" s="674"/>
      <c r="T37" s="1482"/>
      <c r="U37" s="148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35" customHeight="1">
      <c r="A38" s="148" t="str">
        <f t="shared" si="171"/>
        <v/>
      </c>
      <c r="B38" s="1542" t="s">
        <v>2626</v>
      </c>
      <c r="C38" s="1543"/>
      <c r="D38" s="1544"/>
      <c r="E38" s="1545"/>
      <c r="F38" s="1545"/>
      <c r="G38" s="1545"/>
      <c r="H38" s="1545"/>
      <c r="I38" s="1545"/>
      <c r="J38" s="1546"/>
      <c r="K38" s="225">
        <f>MAX(0,H38-I38)</f>
        <v>0</v>
      </c>
      <c r="L38" s="225">
        <f t="shared" si="0"/>
        <v>0</v>
      </c>
      <c r="M38" s="1547"/>
      <c r="N38" s="1547"/>
      <c r="O38" s="1547"/>
      <c r="P38" s="673" t="str">
        <f t="shared" si="203"/>
        <v/>
      </c>
      <c r="Q38" s="674" t="str">
        <f>IF(H38="","",P38/($P$6*VLOOKUP(C38,'DCA Underwriting Assumptions'!$J$84:$K$89,2,FALSE)))</f>
        <v/>
      </c>
      <c r="R38" s="820"/>
      <c r="S38" s="674"/>
      <c r="T38" s="1482"/>
      <c r="U38" s="148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35" customHeight="1">
      <c r="A39" s="148" t="str">
        <f t="shared" si="171"/>
        <v/>
      </c>
      <c r="B39" s="1542" t="s">
        <v>2626</v>
      </c>
      <c r="C39" s="1543"/>
      <c r="D39" s="1544"/>
      <c r="E39" s="1545"/>
      <c r="F39" s="1545"/>
      <c r="G39" s="1545"/>
      <c r="H39" s="1545"/>
      <c r="I39" s="1545"/>
      <c r="J39" s="1546"/>
      <c r="K39" s="225">
        <f t="shared" ref="K39:K46" si="205">MAX(0,H39-I39)</f>
        <v>0</v>
      </c>
      <c r="L39" s="225">
        <f t="shared" si="0"/>
        <v>0</v>
      </c>
      <c r="M39" s="1547"/>
      <c r="N39" s="1547"/>
      <c r="O39" s="1547"/>
      <c r="P39" s="673" t="str">
        <f t="shared" si="203"/>
        <v/>
      </c>
      <c r="Q39" s="674" t="str">
        <f>IF(H39="","",P39/($P$6*VLOOKUP(C39,'DCA Underwriting Assumptions'!$J$84:$K$89,2,FALSE)))</f>
        <v/>
      </c>
      <c r="R39" s="820"/>
      <c r="S39" s="674"/>
      <c r="T39" s="1482"/>
      <c r="U39" s="148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35" customHeight="1">
      <c r="A40" s="148" t="str">
        <f t="shared" si="171"/>
        <v/>
      </c>
      <c r="B40" s="1542" t="s">
        <v>2626</v>
      </c>
      <c r="C40" s="1543"/>
      <c r="D40" s="1544"/>
      <c r="E40" s="1545"/>
      <c r="F40" s="1545"/>
      <c r="G40" s="1545"/>
      <c r="H40" s="1545"/>
      <c r="I40" s="1545"/>
      <c r="J40" s="1546"/>
      <c r="K40" s="225">
        <f t="shared" si="205"/>
        <v>0</v>
      </c>
      <c r="L40" s="225">
        <f t="shared" si="0"/>
        <v>0</v>
      </c>
      <c r="M40" s="1547"/>
      <c r="N40" s="1547"/>
      <c r="O40" s="1547"/>
      <c r="P40" s="673" t="str">
        <f t="shared" si="203"/>
        <v/>
      </c>
      <c r="Q40" s="674" t="str">
        <f>IF(H40="","",P40/($P$6*VLOOKUP(C40,'DCA Underwriting Assumptions'!$J$84:$K$89,2,FALSE)))</f>
        <v/>
      </c>
      <c r="R40" s="820"/>
      <c r="S40" s="674"/>
      <c r="T40" s="1482"/>
      <c r="U40" s="148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35" customHeight="1">
      <c r="A41" s="148" t="str">
        <f t="shared" si="171"/>
        <v/>
      </c>
      <c r="B41" s="1542" t="s">
        <v>2626</v>
      </c>
      <c r="C41" s="1543"/>
      <c r="D41" s="1544"/>
      <c r="E41" s="1545"/>
      <c r="F41" s="1545"/>
      <c r="G41" s="1545"/>
      <c r="H41" s="1545"/>
      <c r="I41" s="1545"/>
      <c r="J41" s="1546"/>
      <c r="K41" s="225">
        <f t="shared" si="205"/>
        <v>0</v>
      </c>
      <c r="L41" s="225">
        <f t="shared" si="0"/>
        <v>0</v>
      </c>
      <c r="M41" s="1547"/>
      <c r="N41" s="1547"/>
      <c r="O41" s="1547"/>
      <c r="P41" s="673" t="str">
        <f t="shared" si="203"/>
        <v/>
      </c>
      <c r="Q41" s="674" t="str">
        <f>IF(H41="","",P41/($P$6*VLOOKUP(C41,'DCA Underwriting Assumptions'!$J$84:$K$89,2,FALSE)))</f>
        <v/>
      </c>
      <c r="R41" s="820"/>
      <c r="S41" s="674"/>
      <c r="T41" s="1482"/>
      <c r="U41" s="148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35" customHeight="1">
      <c r="A42" s="148" t="str">
        <f t="shared" si="171"/>
        <v/>
      </c>
      <c r="B42" s="1542" t="s">
        <v>2626</v>
      </c>
      <c r="C42" s="1543"/>
      <c r="D42" s="1544"/>
      <c r="E42" s="1545"/>
      <c r="F42" s="1545"/>
      <c r="G42" s="1545"/>
      <c r="H42" s="1545"/>
      <c r="I42" s="1545"/>
      <c r="J42" s="1546"/>
      <c r="K42" s="225">
        <f t="shared" si="205"/>
        <v>0</v>
      </c>
      <c r="L42" s="225">
        <f t="shared" si="0"/>
        <v>0</v>
      </c>
      <c r="M42" s="1547"/>
      <c r="N42" s="1547"/>
      <c r="O42" s="1547"/>
      <c r="P42" s="673" t="str">
        <f t="shared" si="203"/>
        <v/>
      </c>
      <c r="Q42" s="674" t="str">
        <f>IF(H42="","",P42/($P$6*VLOOKUP(C42,'DCA Underwriting Assumptions'!$J$84:$K$89,2,FALSE)))</f>
        <v/>
      </c>
      <c r="R42" s="820"/>
      <c r="S42" s="674"/>
      <c r="T42" s="1482"/>
      <c r="U42" s="148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35" customHeight="1">
      <c r="A43" s="148" t="str">
        <f t="shared" si="171"/>
        <v/>
      </c>
      <c r="B43" s="1542" t="s">
        <v>2626</v>
      </c>
      <c r="C43" s="1543"/>
      <c r="D43" s="1544"/>
      <c r="E43" s="1545"/>
      <c r="F43" s="1545"/>
      <c r="G43" s="1545"/>
      <c r="H43" s="1545"/>
      <c r="I43" s="1545"/>
      <c r="J43" s="1546"/>
      <c r="K43" s="225">
        <f t="shared" si="205"/>
        <v>0</v>
      </c>
      <c r="L43" s="225">
        <f t="shared" si="0"/>
        <v>0</v>
      </c>
      <c r="M43" s="1547"/>
      <c r="N43" s="1547"/>
      <c r="O43" s="1547"/>
      <c r="P43" s="673" t="str">
        <f t="shared" si="203"/>
        <v/>
      </c>
      <c r="Q43" s="674" t="str">
        <f>IF(H43="","",P43/($P$6*VLOOKUP(C43,'DCA Underwriting Assumptions'!$J$84:$K$89,2,FALSE)))</f>
        <v/>
      </c>
      <c r="R43" s="820"/>
      <c r="S43" s="674"/>
      <c r="T43" s="1482"/>
      <c r="U43" s="148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35" customHeight="1">
      <c r="A44" s="148" t="str">
        <f t="shared" si="171"/>
        <v/>
      </c>
      <c r="B44" s="1542" t="s">
        <v>2626</v>
      </c>
      <c r="C44" s="1543"/>
      <c r="D44" s="1544"/>
      <c r="E44" s="1545"/>
      <c r="F44" s="1545"/>
      <c r="G44" s="1545"/>
      <c r="H44" s="1545"/>
      <c r="I44" s="1545"/>
      <c r="J44" s="1546"/>
      <c r="K44" s="225">
        <f t="shared" si="205"/>
        <v>0</v>
      </c>
      <c r="L44" s="225">
        <f t="shared" si="0"/>
        <v>0</v>
      </c>
      <c r="M44" s="1547"/>
      <c r="N44" s="1547"/>
      <c r="O44" s="1547"/>
      <c r="P44" s="673" t="str">
        <f t="shared" si="203"/>
        <v/>
      </c>
      <c r="Q44" s="674" t="str">
        <f>IF(H44="","",P44/($P$6*VLOOKUP(C44,'DCA Underwriting Assumptions'!$J$84:$K$89,2,FALSE)))</f>
        <v/>
      </c>
      <c r="R44" s="820"/>
      <c r="S44" s="674"/>
      <c r="T44" s="1482"/>
      <c r="U44" s="148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35" customHeight="1">
      <c r="A45" s="148" t="str">
        <f t="shared" si="171"/>
        <v/>
      </c>
      <c r="B45" s="1542" t="s">
        <v>2626</v>
      </c>
      <c r="C45" s="1543"/>
      <c r="D45" s="1544"/>
      <c r="E45" s="1545"/>
      <c r="F45" s="1545"/>
      <c r="G45" s="1545"/>
      <c r="H45" s="1545"/>
      <c r="I45" s="1545"/>
      <c r="J45" s="1546"/>
      <c r="K45" s="225">
        <f t="shared" si="205"/>
        <v>0</v>
      </c>
      <c r="L45" s="225">
        <f t="shared" si="0"/>
        <v>0</v>
      </c>
      <c r="M45" s="1547"/>
      <c r="N45" s="1547"/>
      <c r="O45" s="1547"/>
      <c r="P45" s="673" t="str">
        <f t="shared" si="203"/>
        <v/>
      </c>
      <c r="Q45" s="674" t="str">
        <f>IF(H45="","",P45/($P$6*VLOOKUP(C45,'DCA Underwriting Assumptions'!$J$84:$K$89,2,FALSE)))</f>
        <v/>
      </c>
      <c r="R45" s="820"/>
      <c r="S45" s="674"/>
      <c r="T45" s="1482"/>
      <c r="U45" s="148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35" customHeight="1">
      <c r="A46" s="148" t="str">
        <f t="shared" si="171"/>
        <v/>
      </c>
      <c r="B46" s="1542" t="s">
        <v>2626</v>
      </c>
      <c r="C46" s="1543"/>
      <c r="D46" s="1544"/>
      <c r="E46" s="1545"/>
      <c r="F46" s="1545"/>
      <c r="G46" s="1545"/>
      <c r="H46" s="1545"/>
      <c r="I46" s="1545"/>
      <c r="J46" s="1546"/>
      <c r="K46" s="225">
        <f t="shared" si="205"/>
        <v>0</v>
      </c>
      <c r="L46" s="225">
        <f t="shared" si="0"/>
        <v>0</v>
      </c>
      <c r="M46" s="1547"/>
      <c r="N46" s="1547"/>
      <c r="O46" s="1547"/>
      <c r="P46" s="673" t="str">
        <f t="shared" si="203"/>
        <v/>
      </c>
      <c r="Q46" s="674" t="str">
        <f>IF(H46="","",P46/($P$6*VLOOKUP(C46,'DCA Underwriting Assumptions'!$J$84:$K$89,2,FALSE)))</f>
        <v/>
      </c>
      <c r="R46" s="820"/>
      <c r="S46" s="674"/>
      <c r="T46" s="1482"/>
      <c r="U46" s="148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35" customHeight="1">
      <c r="A47" s="148" t="str">
        <f t="shared" si="171"/>
        <v/>
      </c>
      <c r="B47" s="1548" t="s">
        <v>2626</v>
      </c>
      <c r="C47" s="1549"/>
      <c r="D47" s="1550"/>
      <c r="E47" s="1551"/>
      <c r="F47" s="1551"/>
      <c r="G47" s="1551"/>
      <c r="H47" s="1551"/>
      <c r="I47" s="1551"/>
      <c r="J47" s="1552"/>
      <c r="K47" s="226">
        <f t="shared" si="204"/>
        <v>0</v>
      </c>
      <c r="L47" s="226">
        <f t="shared" si="0"/>
        <v>0</v>
      </c>
      <c r="M47" s="1553"/>
      <c r="N47" s="1553"/>
      <c r="O47" s="1553"/>
      <c r="P47" s="673" t="str">
        <f t="shared" si="203"/>
        <v/>
      </c>
      <c r="Q47" s="674" t="str">
        <f>IF(H47="","",P47/($P$6*VLOOKUP(C47,'DCA Underwriting Assumptions'!$J$84:$K$89,2,FALSE)))</f>
        <v/>
      </c>
      <c r="R47" s="820"/>
      <c r="S47" s="674"/>
      <c r="T47" s="1485"/>
      <c r="U47" s="148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71</v>
      </c>
      <c r="F48" s="172">
        <f>(E10*F10+E11*F11+E12*F12+E13*F13+E14*F14+E15*F15+E16*F16+E17*F17+E18*F18+E19*F19+E20*F20+E21*F21+E22*F22+E23*F23+E24*F24+E25*F25+E26*F26+E27*F27+E28*F28+E29*F29+E30*F30+E31*F31+E32*F32+E33*F33+E34*F34+E35*F35+E36*F36+E37*F37+E38*F38+E39*F39+E40*F40+E41*F41+E42*F42+E43*F43+E44*F44+E45*F45+E46*F46+E47*F47)</f>
        <v>75576</v>
      </c>
      <c r="G48" s="163"/>
      <c r="H48" s="164"/>
      <c r="I48" s="164"/>
      <c r="J48" s="164"/>
      <c r="K48" s="15" t="s">
        <v>1869</v>
      </c>
      <c r="L48" s="170">
        <f>SUM(L10:L47)</f>
        <v>0</v>
      </c>
      <c r="M48" s="2"/>
      <c r="N48" s="40"/>
      <c r="O48" s="2"/>
      <c r="P48" s="676"/>
      <c r="Q48" s="676"/>
      <c r="R48" s="676"/>
      <c r="S48" s="676"/>
      <c r="T48" s="675"/>
      <c r="U48" s="677"/>
      <c r="V48" s="779">
        <f t="shared" ref="V48:CK48" si="206">SUM(V10:V47)</f>
        <v>0</v>
      </c>
      <c r="W48" s="779">
        <f t="shared" si="206"/>
        <v>5</v>
      </c>
      <c r="X48" s="779">
        <f t="shared" si="206"/>
        <v>41</v>
      </c>
      <c r="Y48" s="779">
        <f t="shared" si="206"/>
        <v>14</v>
      </c>
      <c r="Z48" s="779">
        <f t="shared" si="206"/>
        <v>0</v>
      </c>
      <c r="AA48" s="779">
        <f t="shared" si="206"/>
        <v>0</v>
      </c>
      <c r="AB48" s="779">
        <f t="shared" si="206"/>
        <v>1</v>
      </c>
      <c r="AC48" s="779">
        <f t="shared" si="206"/>
        <v>8</v>
      </c>
      <c r="AD48" s="779">
        <f t="shared" si="206"/>
        <v>2</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1</v>
      </c>
      <c r="BL48" s="779">
        <f t="shared" si="207"/>
        <v>8</v>
      </c>
      <c r="BM48" s="779">
        <f t="shared" si="207"/>
        <v>2</v>
      </c>
      <c r="BN48" s="779">
        <f t="shared" si="207"/>
        <v>0</v>
      </c>
      <c r="BO48" s="779">
        <f t="shared" si="207"/>
        <v>0</v>
      </c>
      <c r="BP48" s="779">
        <f t="shared" si="207"/>
        <v>5</v>
      </c>
      <c r="BQ48" s="779">
        <f t="shared" si="207"/>
        <v>41</v>
      </c>
      <c r="BR48" s="779">
        <f t="shared" si="207"/>
        <v>14</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3165</v>
      </c>
      <c r="CA48" s="779">
        <f t="shared" si="206"/>
        <v>42968</v>
      </c>
      <c r="CB48" s="779">
        <f t="shared" si="206"/>
        <v>17880</v>
      </c>
      <c r="CC48" s="779">
        <f t="shared" si="206"/>
        <v>0</v>
      </c>
      <c r="CD48" s="779">
        <f t="shared" si="206"/>
        <v>0</v>
      </c>
      <c r="CE48" s="779">
        <f t="shared" si="206"/>
        <v>633</v>
      </c>
      <c r="CF48" s="779">
        <f t="shared" si="206"/>
        <v>8322</v>
      </c>
      <c r="CG48" s="779">
        <f t="shared" si="206"/>
        <v>2608</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3798</v>
      </c>
      <c r="CU48" s="779">
        <f t="shared" si="208"/>
        <v>51290</v>
      </c>
      <c r="CV48" s="779">
        <f t="shared" si="208"/>
        <v>20488</v>
      </c>
      <c r="CW48" s="779">
        <f t="shared" si="208"/>
        <v>0</v>
      </c>
      <c r="CX48" s="779">
        <f t="shared" si="208"/>
        <v>0</v>
      </c>
      <c r="CY48" s="779">
        <f t="shared" si="208"/>
        <v>0</v>
      </c>
      <c r="CZ48" s="779">
        <f t="shared" si="208"/>
        <v>0</v>
      </c>
      <c r="DA48" s="779">
        <f t="shared" si="208"/>
        <v>0</v>
      </c>
      <c r="DB48" s="779">
        <f t="shared" si="208"/>
        <v>0</v>
      </c>
      <c r="DC48" s="779">
        <f t="shared" si="208"/>
        <v>0</v>
      </c>
      <c r="DD48" s="779">
        <f t="shared" si="208"/>
        <v>6</v>
      </c>
      <c r="DE48" s="779">
        <f t="shared" si="208"/>
        <v>49</v>
      </c>
      <c r="DF48" s="779">
        <f t="shared" si="208"/>
        <v>16</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6</v>
      </c>
      <c r="EX48" s="779">
        <f t="shared" si="209"/>
        <v>49</v>
      </c>
      <c r="EY48" s="779">
        <f t="shared" si="209"/>
        <v>16</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6</v>
      </c>
      <c r="GL48" s="779">
        <f t="shared" si="209"/>
        <v>49</v>
      </c>
      <c r="GM48" s="779">
        <f t="shared" si="209"/>
        <v>16</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3670</v>
      </c>
      <c r="B51" s="1554"/>
      <c r="C51" s="1554"/>
      <c r="D51" s="1554"/>
      <c r="E51" s="1554"/>
      <c r="F51" s="1554"/>
      <c r="G51" s="1554"/>
      <c r="H51" s="1554"/>
      <c r="I51" s="1554"/>
      <c r="J51" s="1554"/>
      <c r="K51" s="1554"/>
      <c r="L51" s="1554"/>
      <c r="M51" s="1554"/>
      <c r="N51" s="1554"/>
      <c r="O51" s="1554"/>
      <c r="P51" s="1554"/>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54"/>
      <c r="B52" s="1554"/>
      <c r="C52" s="1554"/>
      <c r="D52" s="1554"/>
      <c r="E52" s="1554"/>
      <c r="F52" s="1554"/>
      <c r="G52" s="1554"/>
      <c r="H52" s="1554"/>
      <c r="I52" s="1554"/>
      <c r="J52" s="1554"/>
      <c r="K52" s="1554"/>
      <c r="L52" s="1554"/>
      <c r="M52" s="1554"/>
      <c r="N52" s="1554"/>
      <c r="O52" s="1554"/>
      <c r="P52" s="1554"/>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4" t="s">
        <v>2717</v>
      </c>
      <c r="U55" s="97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5</v>
      </c>
      <c r="J56" s="380">
        <f>X48</f>
        <v>41</v>
      </c>
      <c r="K56" s="380">
        <f>Y48</f>
        <v>14</v>
      </c>
      <c r="L56" s="380">
        <f>Z48</f>
        <v>0</v>
      </c>
      <c r="M56" s="380">
        <f t="shared" ref="M56:M62" si="211">SUM(H56:L56)</f>
        <v>60</v>
      </c>
      <c r="N56" s="1096" t="s">
        <v>1382</v>
      </c>
      <c r="O56" s="1097"/>
      <c r="P56" s="853"/>
      <c r="Q56" s="643">
        <f t="shared" ref="Q56:Q62" si="212">ABS(M56-AF56)</f>
        <v>60</v>
      </c>
      <c r="R56" s="643"/>
      <c r="S56" s="643"/>
      <c r="T56" s="1480"/>
      <c r="U56" s="148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1</v>
      </c>
      <c r="J57" s="381">
        <f>AC48</f>
        <v>8</v>
      </c>
      <c r="K57" s="381">
        <f>AD48</f>
        <v>2</v>
      </c>
      <c r="L57" s="381">
        <f>AE48</f>
        <v>0</v>
      </c>
      <c r="M57" s="381">
        <f t="shared" si="211"/>
        <v>11</v>
      </c>
      <c r="N57" s="1096"/>
      <c r="O57" s="1097"/>
      <c r="P57" s="853"/>
      <c r="Q57" s="643">
        <f t="shared" si="212"/>
        <v>11</v>
      </c>
      <c r="R57" s="643"/>
      <c r="S57" s="643"/>
      <c r="T57" s="1482"/>
      <c r="U57" s="148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6</v>
      </c>
      <c r="J58" s="382">
        <f>SUM(J56:J57)</f>
        <v>49</v>
      </c>
      <c r="K58" s="382">
        <f>SUM(K56:K57)</f>
        <v>16</v>
      </c>
      <c r="L58" s="382">
        <f>SUM(L56:L57)</f>
        <v>0</v>
      </c>
      <c r="M58" s="382">
        <f t="shared" si="211"/>
        <v>71</v>
      </c>
      <c r="N58" s="385"/>
      <c r="O58" s="110"/>
      <c r="Q58" s="643">
        <f t="shared" si="212"/>
        <v>71</v>
      </c>
      <c r="R58" s="643"/>
      <c r="S58" s="643"/>
      <c r="T58" s="1482"/>
      <c r="U58" s="148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82"/>
      <c r="U59" s="148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6</v>
      </c>
      <c r="J60" s="382">
        <f>SUM(J58:J59)</f>
        <v>49</v>
      </c>
      <c r="K60" s="382">
        <f>SUM(K58:K59)</f>
        <v>16</v>
      </c>
      <c r="L60" s="382">
        <f>SUM(L58:L59)</f>
        <v>0</v>
      </c>
      <c r="M60" s="382">
        <f t="shared" si="211"/>
        <v>71</v>
      </c>
      <c r="N60" s="65"/>
      <c r="O60" s="110"/>
      <c r="Q60" s="643">
        <f t="shared" si="212"/>
        <v>71</v>
      </c>
      <c r="R60" s="643"/>
      <c r="S60" s="643"/>
      <c r="T60" s="1482"/>
      <c r="U60" s="1483"/>
      <c r="V60" s="783"/>
      <c r="W60" s="783"/>
      <c r="X60" s="783"/>
      <c r="Y60" s="783"/>
      <c r="Z60" s="784"/>
      <c r="AA60" s="785"/>
      <c r="AB60" s="785"/>
      <c r="AC60" s="785"/>
      <c r="AD60" s="785"/>
      <c r="AE60" s="785"/>
      <c r="AF60" s="785"/>
      <c r="AG60" s="754"/>
      <c r="AH60" s="769"/>
      <c r="GW60" s="781"/>
      <c r="HL60" s="757"/>
    </row>
    <row r="61" spans="1:221" ht="12" customHeight="1">
      <c r="A61" s="1093"/>
      <c r="B61" s="1093"/>
      <c r="C61" s="2" t="s">
        <v>3523</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82"/>
      <c r="U61" s="148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6</v>
      </c>
      <c r="J62" s="382">
        <f>SUM(J60:J61)</f>
        <v>49</v>
      </c>
      <c r="K62" s="382">
        <f>SUM(K60:K61)</f>
        <v>16</v>
      </c>
      <c r="L62" s="382">
        <f>SUM(L60:L61)</f>
        <v>0</v>
      </c>
      <c r="M62" s="382">
        <f t="shared" si="211"/>
        <v>71</v>
      </c>
      <c r="O62" s="110"/>
      <c r="Q62" s="643">
        <f t="shared" si="212"/>
        <v>71</v>
      </c>
      <c r="R62" s="643"/>
      <c r="S62" s="643"/>
      <c r="T62" s="1485"/>
      <c r="U62" s="148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80"/>
      <c r="U64" s="1481"/>
      <c r="V64" s="783"/>
      <c r="W64" s="783"/>
      <c r="X64" s="787"/>
      <c r="Y64" s="783"/>
      <c r="Z64" s="784"/>
      <c r="AA64" s="785"/>
      <c r="AB64" s="785"/>
      <c r="AC64" s="785"/>
      <c r="AD64" s="785"/>
      <c r="AE64" s="785"/>
      <c r="AF64" s="785"/>
      <c r="AG64" s="784"/>
      <c r="AH64" s="769"/>
      <c r="GW64" s="781"/>
      <c r="HL64" s="757"/>
    </row>
    <row r="65" spans="1:220" ht="12" customHeight="1">
      <c r="A65" s="1093"/>
      <c r="B65" s="1093"/>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82"/>
      <c r="U65" s="148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85"/>
      <c r="U66" s="148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5</v>
      </c>
      <c r="J68" s="380">
        <f>BQ48</f>
        <v>41</v>
      </c>
      <c r="K68" s="380">
        <f>BR48</f>
        <v>14</v>
      </c>
      <c r="L68" s="380">
        <f>BS48</f>
        <v>0</v>
      </c>
      <c r="M68" s="380">
        <f>SUM(H68:L68)</f>
        <v>60</v>
      </c>
      <c r="N68" s="62"/>
      <c r="O68" s="110"/>
      <c r="Q68" s="643">
        <f>ABS(M68-AF68)</f>
        <v>60</v>
      </c>
      <c r="R68" s="643"/>
      <c r="S68" s="643"/>
      <c r="T68" s="1480"/>
      <c r="U68" s="1481"/>
      <c r="V68" s="769"/>
      <c r="W68" s="783"/>
      <c r="X68" s="787"/>
      <c r="Y68" s="783"/>
      <c r="Z68" s="784"/>
      <c r="AA68" s="785"/>
      <c r="AB68" s="785"/>
      <c r="AC68" s="785"/>
      <c r="AD68" s="785"/>
      <c r="AE68" s="785"/>
      <c r="AF68" s="785"/>
      <c r="AG68" s="784"/>
      <c r="AH68" s="769"/>
      <c r="GW68" s="781"/>
      <c r="HL68" s="757"/>
    </row>
    <row r="69" spans="1:220" ht="12" customHeight="1">
      <c r="A69" s="1093"/>
      <c r="B69" s="1093"/>
      <c r="C69" s="44" t="s">
        <v>3524</v>
      </c>
      <c r="D69" s="2"/>
      <c r="E69" s="149"/>
      <c r="F69" s="2"/>
      <c r="G69" s="44" t="s">
        <v>127</v>
      </c>
      <c r="H69" s="381">
        <f>BJ48</f>
        <v>0</v>
      </c>
      <c r="I69" s="381">
        <f>BK48</f>
        <v>1</v>
      </c>
      <c r="J69" s="381">
        <f>BL48</f>
        <v>8</v>
      </c>
      <c r="K69" s="381">
        <f>BM48</f>
        <v>2</v>
      </c>
      <c r="L69" s="381">
        <f>BN48</f>
        <v>0</v>
      </c>
      <c r="M69" s="383">
        <f>SUM(H69:L69)</f>
        <v>11</v>
      </c>
      <c r="N69" s="62"/>
      <c r="O69" s="110"/>
      <c r="Q69" s="643">
        <f>ABS(M69-AF69)</f>
        <v>11</v>
      </c>
      <c r="R69" s="643"/>
      <c r="S69" s="643"/>
      <c r="T69" s="1482"/>
      <c r="U69" s="148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6</v>
      </c>
      <c r="J70" s="382">
        <f>SUM(J68:J69)</f>
        <v>49</v>
      </c>
      <c r="K70" s="382">
        <f>SUM(K68:K69)</f>
        <v>16</v>
      </c>
      <c r="L70" s="382">
        <f>SUM(L68:L69)</f>
        <v>0</v>
      </c>
      <c r="M70" s="382">
        <f>SUM(H70:L70)</f>
        <v>71</v>
      </c>
      <c r="N70" s="62"/>
      <c r="O70" s="110"/>
      <c r="Q70" s="643">
        <f>ABS(M70-AF70)</f>
        <v>71</v>
      </c>
      <c r="R70" s="643"/>
      <c r="S70" s="643"/>
      <c r="T70" s="1485"/>
      <c r="U70" s="148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6</v>
      </c>
      <c r="J72" s="380">
        <f>DE48</f>
        <v>49</v>
      </c>
      <c r="K72" s="380">
        <f>DF48</f>
        <v>16</v>
      </c>
      <c r="L72" s="380">
        <f>DG48</f>
        <v>0</v>
      </c>
      <c r="M72" s="380">
        <f t="shared" ref="M72:M82" si="213">SUM(H72:L72)</f>
        <v>71</v>
      </c>
      <c r="N72" s="31"/>
      <c r="O72" s="110"/>
      <c r="Q72" s="643">
        <f t="shared" ref="Q72:Q80" si="214">ABS(M72-AF72)</f>
        <v>71</v>
      </c>
      <c r="R72" s="643"/>
      <c r="S72" s="643"/>
      <c r="T72" s="1480"/>
      <c r="U72" s="148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82"/>
      <c r="U73" s="148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6</v>
      </c>
      <c r="J74" s="382">
        <f>SUM(J72:J73)+DO48</f>
        <v>49</v>
      </c>
      <c r="K74" s="382">
        <f>SUM(K72:K73)+DP48</f>
        <v>16</v>
      </c>
      <c r="L74" s="382">
        <f>SUM(L72:L73)+DQ48</f>
        <v>0</v>
      </c>
      <c r="M74" s="382">
        <f t="shared" si="213"/>
        <v>71</v>
      </c>
      <c r="N74" s="62"/>
      <c r="O74" s="110"/>
      <c r="Q74" s="643">
        <f t="shared" si="214"/>
        <v>71</v>
      </c>
      <c r="R74" s="643"/>
      <c r="S74" s="643"/>
      <c r="T74" s="1482"/>
      <c r="U74" s="148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82"/>
      <c r="U75" s="148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82"/>
      <c r="U76" s="148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82"/>
      <c r="U77" s="148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82"/>
      <c r="U78" s="148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82"/>
      <c r="U79" s="148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82"/>
      <c r="U80" s="148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55"/>
      <c r="I81" s="1555"/>
      <c r="J81" s="1555"/>
      <c r="K81" s="1555"/>
      <c r="L81" s="1555"/>
      <c r="M81" s="380">
        <f t="shared" si="213"/>
        <v>0</v>
      </c>
      <c r="N81" s="31"/>
      <c r="O81" s="110"/>
      <c r="T81" s="1482"/>
      <c r="U81" s="148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56"/>
      <c r="I82" s="1556"/>
      <c r="J82" s="1556"/>
      <c r="K82" s="1556"/>
      <c r="L82" s="1556"/>
      <c r="M82" s="384">
        <f t="shared" si="213"/>
        <v>0</v>
      </c>
      <c r="N82" s="65"/>
      <c r="O82" s="110"/>
      <c r="T82" s="1485"/>
      <c r="U82" s="148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SUM(I85:I88)</f>
        <v>6</v>
      </c>
      <c r="J84" s="380">
        <f>SUM(J85:J88)</f>
        <v>49</v>
      </c>
      <c r="K84" s="380">
        <f>SUM(K85:K88)</f>
        <v>16</v>
      </c>
      <c r="L84" s="380">
        <f>SUM(L85:L88)</f>
        <v>0</v>
      </c>
      <c r="M84" s="380">
        <f t="shared" ref="M84:M92" si="215">SUM(H84:L84)</f>
        <v>71</v>
      </c>
      <c r="N84" s="31"/>
      <c r="O84" s="110"/>
      <c r="Q84" s="643">
        <f>ABS(M84-AF84)</f>
        <v>71</v>
      </c>
      <c r="R84" s="643"/>
      <c r="S84" s="643"/>
      <c r="T84" s="1480"/>
      <c r="U84" s="148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FV48</f>
        <v>0</v>
      </c>
      <c r="J85" s="383">
        <f>FW48</f>
        <v>0</v>
      </c>
      <c r="K85" s="383">
        <f>FX48</f>
        <v>0</v>
      </c>
      <c r="L85" s="383">
        <f>FY48</f>
        <v>0</v>
      </c>
      <c r="M85" s="381">
        <f t="shared" si="215"/>
        <v>0</v>
      </c>
      <c r="N85" s="31"/>
      <c r="O85" s="110"/>
      <c r="Q85" s="643"/>
      <c r="R85" s="643"/>
      <c r="S85" s="643"/>
      <c r="T85" s="1482"/>
      <c r="U85" s="148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GA48</f>
        <v>0</v>
      </c>
      <c r="J86" s="383">
        <f>GB48</f>
        <v>0</v>
      </c>
      <c r="K86" s="383">
        <f>GC48</f>
        <v>0</v>
      </c>
      <c r="L86" s="383">
        <f>GD48</f>
        <v>0</v>
      </c>
      <c r="M86" s="381">
        <f t="shared" si="215"/>
        <v>0</v>
      </c>
      <c r="N86" s="31"/>
      <c r="O86" s="110"/>
      <c r="Q86" s="643"/>
      <c r="R86" s="643"/>
      <c r="S86" s="643"/>
      <c r="T86" s="1482"/>
      <c r="U86" s="148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GF48</f>
        <v>0</v>
      </c>
      <c r="J87" s="383">
        <f>GG48</f>
        <v>0</v>
      </c>
      <c r="K87" s="383">
        <f>GH48</f>
        <v>0</v>
      </c>
      <c r="L87" s="383">
        <f>GI48</f>
        <v>0</v>
      </c>
      <c r="M87" s="381">
        <f t="shared" si="215"/>
        <v>0</v>
      </c>
      <c r="N87" s="31"/>
      <c r="O87" s="110"/>
      <c r="Q87" s="643"/>
      <c r="R87" s="643"/>
      <c r="S87" s="643"/>
      <c r="T87" s="1482"/>
      <c r="U87" s="148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GK48</f>
        <v>6</v>
      </c>
      <c r="J88" s="383">
        <f>GL48</f>
        <v>49</v>
      </c>
      <c r="K88" s="383">
        <f>GM48</f>
        <v>16</v>
      </c>
      <c r="L88" s="383">
        <f>GN48</f>
        <v>0</v>
      </c>
      <c r="M88" s="383">
        <f t="shared" si="215"/>
        <v>71</v>
      </c>
      <c r="N88" s="31"/>
      <c r="O88" s="110"/>
      <c r="Q88" s="643"/>
      <c r="R88" s="643"/>
      <c r="S88" s="643"/>
      <c r="T88" s="1482"/>
      <c r="U88" s="148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 t="shared" si="215"/>
        <v>0</v>
      </c>
      <c r="N89" s="65"/>
      <c r="O89" s="110"/>
      <c r="Q89" s="643">
        <f>ABS(M89-AF89)</f>
        <v>0</v>
      </c>
      <c r="R89" s="643"/>
      <c r="S89" s="643"/>
      <c r="T89" s="1482"/>
      <c r="U89" s="148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 t="shared" si="215"/>
        <v>0</v>
      </c>
      <c r="N90" s="31"/>
      <c r="O90" s="110"/>
      <c r="Q90" s="643">
        <f>ABS(M90-AF90)</f>
        <v>0</v>
      </c>
      <c r="R90" s="643"/>
      <c r="S90" s="643"/>
      <c r="T90" s="1482"/>
      <c r="U90" s="148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 t="shared" si="215"/>
        <v>0</v>
      </c>
      <c r="N91" s="65"/>
      <c r="O91" s="110"/>
      <c r="Q91" s="643">
        <f>ABS(M91-AF91)</f>
        <v>0</v>
      </c>
      <c r="R91" s="643"/>
      <c r="S91" s="643"/>
      <c r="T91" s="1482"/>
      <c r="U91" s="148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 t="shared" si="215"/>
        <v>0</v>
      </c>
      <c r="N92" s="31"/>
      <c r="O92" s="110"/>
      <c r="Q92" s="643">
        <f>ABS(M92-AF92)</f>
        <v>0</v>
      </c>
      <c r="R92" s="643"/>
      <c r="S92" s="643"/>
      <c r="T92" s="1485"/>
      <c r="U92" s="148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3165</v>
      </c>
      <c r="J94" s="221">
        <f>CA48</f>
        <v>42968</v>
      </c>
      <c r="K94" s="221">
        <f>CB48</f>
        <v>17880</v>
      </c>
      <c r="L94" s="221">
        <f>CC48</f>
        <v>0</v>
      </c>
      <c r="M94" s="221">
        <f t="shared" ref="M94:M100" si="216">SUM(H94:L94)</f>
        <v>64013</v>
      </c>
      <c r="O94" s="110"/>
      <c r="Q94" s="643">
        <f t="shared" ref="Q94:Q100" si="217">ABS(M94-AF94)</f>
        <v>64013</v>
      </c>
      <c r="R94" s="643"/>
      <c r="S94" s="643"/>
      <c r="T94" s="1480"/>
      <c r="U94" s="148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633</v>
      </c>
      <c r="J95" s="223">
        <f>CF48</f>
        <v>8322</v>
      </c>
      <c r="K95" s="223">
        <f>CG48</f>
        <v>2608</v>
      </c>
      <c r="L95" s="223">
        <f>CH48</f>
        <v>0</v>
      </c>
      <c r="M95" s="223">
        <f t="shared" si="216"/>
        <v>11563</v>
      </c>
      <c r="N95" s="6"/>
      <c r="O95" s="110"/>
      <c r="Q95" s="643">
        <f t="shared" si="217"/>
        <v>11563</v>
      </c>
      <c r="R95" s="643"/>
      <c r="S95" s="643"/>
      <c r="T95" s="1482"/>
      <c r="U95" s="148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3798</v>
      </c>
      <c r="J96" s="220">
        <f>SUM(J94:J95)</f>
        <v>51290</v>
      </c>
      <c r="K96" s="220">
        <f>SUM(K94:K95)</f>
        <v>20488</v>
      </c>
      <c r="L96" s="220">
        <f>SUM(L94:L95)</f>
        <v>0</v>
      </c>
      <c r="M96" s="220">
        <f t="shared" si="216"/>
        <v>75576</v>
      </c>
      <c r="N96" s="6"/>
      <c r="O96" s="110"/>
      <c r="Q96" s="643">
        <f t="shared" si="217"/>
        <v>75576</v>
      </c>
      <c r="R96" s="643"/>
      <c r="S96" s="643"/>
      <c r="T96" s="1482"/>
      <c r="U96" s="148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16"/>
        <v>0</v>
      </c>
      <c r="O97" s="110"/>
      <c r="Q97" s="643">
        <f t="shared" si="217"/>
        <v>0</v>
      </c>
      <c r="R97" s="643"/>
      <c r="S97" s="643"/>
      <c r="T97" s="1482"/>
      <c r="U97" s="148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3798</v>
      </c>
      <c r="J98" s="220">
        <f>SUM(J96:J97)</f>
        <v>51290</v>
      </c>
      <c r="K98" s="220">
        <f>SUM(K96:K97)</f>
        <v>20488</v>
      </c>
      <c r="L98" s="220">
        <f>SUM(L96:L97)</f>
        <v>0</v>
      </c>
      <c r="M98" s="220">
        <f t="shared" si="216"/>
        <v>75576</v>
      </c>
      <c r="O98" s="110"/>
      <c r="Q98" s="643">
        <f t="shared" si="217"/>
        <v>75576</v>
      </c>
      <c r="R98" s="643"/>
      <c r="S98" s="643"/>
      <c r="T98" s="1482"/>
      <c r="U98" s="1483"/>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16"/>
        <v>0</v>
      </c>
      <c r="O99" s="110"/>
      <c r="Q99" s="643">
        <f t="shared" si="217"/>
        <v>0</v>
      </c>
      <c r="R99" s="643"/>
      <c r="S99" s="643"/>
      <c r="T99" s="1482"/>
      <c r="U99" s="148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3798</v>
      </c>
      <c r="J100" s="220">
        <f>SUM(J98:J99)</f>
        <v>51290</v>
      </c>
      <c r="K100" s="220">
        <f>SUM(K98:K99)</f>
        <v>20488</v>
      </c>
      <c r="L100" s="220">
        <f>SUM(L98:L99)</f>
        <v>0</v>
      </c>
      <c r="M100" s="220">
        <f t="shared" si="216"/>
        <v>75576</v>
      </c>
      <c r="O100" s="110"/>
      <c r="Q100" s="643">
        <f t="shared" si="217"/>
        <v>75576</v>
      </c>
      <c r="R100" s="643"/>
      <c r="S100" s="643"/>
      <c r="T100" s="1485"/>
      <c r="U100" s="1486"/>
      <c r="V100" s="783"/>
      <c r="W100" s="783"/>
      <c r="X100" s="783"/>
      <c r="Y100" s="783"/>
      <c r="Z100" s="783"/>
      <c r="AA100" s="785"/>
      <c r="AB100" s="785"/>
      <c r="AC100" s="785"/>
      <c r="AD100" s="785"/>
      <c r="AE100" s="785"/>
      <c r="AF100" s="785"/>
      <c r="AG100" s="780"/>
      <c r="AH100" s="769"/>
      <c r="GW100" s="781"/>
      <c r="HL100" s="757"/>
    </row>
    <row r="101" spans="1:222" ht="5.0999999999999996"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4.1"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57">
        <f>0.02*L49</f>
        <v>0</v>
      </c>
      <c r="H104" s="1558"/>
      <c r="I104" s="147" t="s">
        <v>3961</v>
      </c>
      <c r="O104" s="815" t="e">
        <f>G104/L49</f>
        <v>#DIV/0!</v>
      </c>
      <c r="P104" s="559"/>
      <c r="T104" s="5" t="str">
        <f>B104</f>
        <v>Ancillary Income</v>
      </c>
    </row>
    <row r="105" spans="1:222" ht="15" customHeight="1">
      <c r="B105" s="16"/>
      <c r="D105" s="149"/>
      <c r="E105" s="185"/>
      <c r="G105" s="300"/>
      <c r="H105" s="300"/>
      <c r="I105" s="147"/>
      <c r="P105" s="559"/>
    </row>
    <row r="106" spans="1:222" ht="14.1" customHeight="1">
      <c r="B106" s="16" t="s">
        <v>2029</v>
      </c>
      <c r="I106" s="16"/>
      <c r="K106" s="41"/>
      <c r="T106" s="5" t="str">
        <f>B106</f>
        <v>Other Income (OI) by Year:</v>
      </c>
    </row>
    <row r="107" spans="1:222" ht="15" customHeight="1">
      <c r="B107" s="16"/>
      <c r="I107" s="16"/>
      <c r="K107" s="41"/>
    </row>
    <row r="108" spans="1:222" ht="14.1"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59">
        <f ca="1">-(SUM('Part VII-Pro Forma'!B19:B21)*$C$115-G110+'Part VII-Pro Forma'!$G$5)*0+453778</f>
        <v>453778</v>
      </c>
      <c r="H109" s="1559">
        <f ca="1">-SUM('Part VII-Pro Forma'!C19:C21)*$C$115-H110+'Part VII-Pro Forma'!$G$5</f>
        <v>459062.73720000003</v>
      </c>
      <c r="I109" s="1559">
        <f ca="1">-SUM('Part VII-Pro Forma'!D19:D21)*$C$115-I110+'Part VII-Pro Forma'!$G$5</f>
        <v>472792.60422800004</v>
      </c>
      <c r="J109" s="1559">
        <f ca="1">-SUM('Part VII-Pro Forma'!E19:E21)*$C$115-J110+'Part VII-Pro Forma'!$G$5</f>
        <v>486936.14238108008</v>
      </c>
      <c r="K109" s="1559">
        <f ca="1">-SUM('Part VII-Pro Forma'!F19:F21)*$C$115-K110+'Part VII-Pro Forma'!$G$5</f>
        <v>501505.15572127717</v>
      </c>
      <c r="L109" s="1559">
        <f ca="1">-SUM('Part VII-Pro Forma'!G19:G21)*$C$115-L110+'Part VII-Pro Forma'!$G$5</f>
        <v>516513.95047305559</v>
      </c>
      <c r="M109" s="1559">
        <f ca="1">-SUM('Part VII-Pro Forma'!H19:H21)*$C$115-M110+'Part VII-Pro Forma'!$G$5</f>
        <v>531973.89470299007</v>
      </c>
      <c r="N109" s="1559">
        <f ca="1">-SUM('Part VII-Pro Forma'!I19:I21)*$C$115-N110+'Part VII-Pro Forma'!$G$5</f>
        <v>547901.05829013768</v>
      </c>
      <c r="O109" s="1559">
        <f ca="1">-SUM('Part VII-Pro Forma'!J19:J21)*$C$115-O110+'Part VII-Pro Forma'!$G$5</f>
        <v>564307.50319582061</v>
      </c>
      <c r="P109" s="1559">
        <f ca="1">-SUM('Part VII-Pro Forma'!K19:K21)*$C$115-P110+'Part VII-Pro Forma'!$G$5</f>
        <v>581207.83404181374</v>
      </c>
      <c r="T109" s="1480"/>
      <c r="U109" s="1481"/>
    </row>
    <row r="110" spans="1:222" ht="15" customHeight="1">
      <c r="B110" s="9" t="s">
        <v>1137</v>
      </c>
      <c r="C110" s="1560" t="s">
        <v>4095</v>
      </c>
      <c r="D110" s="1561"/>
      <c r="E110" s="1561"/>
      <c r="F110" s="1562"/>
      <c r="G110" s="1563">
        <f ca="1">G109*0.02</f>
        <v>9075.56</v>
      </c>
      <c r="H110" s="1563">
        <f ca="1">G110*1.02</f>
        <v>9257.0712000000003</v>
      </c>
      <c r="I110" s="1563">
        <f t="shared" ref="I110:P110" ca="1" si="218">H110*1.02</f>
        <v>9442.2126239999998</v>
      </c>
      <c r="J110" s="1563">
        <f t="shared" ca="1" si="218"/>
        <v>9631.0568764799991</v>
      </c>
      <c r="K110" s="1564">
        <f t="shared" ca="1" si="218"/>
        <v>9823.6780140095998</v>
      </c>
      <c r="L110" s="1563">
        <f t="shared" ca="1" si="218"/>
        <v>10020.151574289792</v>
      </c>
      <c r="M110" s="1563">
        <f t="shared" ca="1" si="218"/>
        <v>10220.554605775587</v>
      </c>
      <c r="N110" s="1563">
        <f t="shared" ca="1" si="218"/>
        <v>10424.965697891099</v>
      </c>
      <c r="O110" s="1563">
        <f t="shared" ca="1" si="218"/>
        <v>10633.465011848921</v>
      </c>
      <c r="P110" s="1563">
        <f t="shared" ca="1" si="218"/>
        <v>10846.1343120859</v>
      </c>
      <c r="T110" s="1482"/>
      <c r="U110" s="1483"/>
    </row>
    <row r="111" spans="1:222" ht="15" customHeight="1">
      <c r="C111" s="118" t="s">
        <v>1422</v>
      </c>
      <c r="G111" s="39">
        <f t="shared" ref="G111:P111" ca="1" si="219">SUM(G109:G110)</f>
        <v>462853.56</v>
      </c>
      <c r="H111" s="39">
        <f t="shared" ca="1" si="219"/>
        <v>468319.80840000004</v>
      </c>
      <c r="I111" s="39">
        <f t="shared" ca="1" si="219"/>
        <v>482234.81685200002</v>
      </c>
      <c r="J111" s="39">
        <f t="shared" ca="1" si="219"/>
        <v>496567.19925756007</v>
      </c>
      <c r="K111" s="39">
        <f t="shared" ca="1" si="219"/>
        <v>511328.83373528678</v>
      </c>
      <c r="L111" s="39">
        <f t="shared" ca="1" si="219"/>
        <v>526534.10204734537</v>
      </c>
      <c r="M111" s="39">
        <f t="shared" ca="1" si="219"/>
        <v>542194.4493087657</v>
      </c>
      <c r="N111" s="39">
        <f t="shared" ca="1" si="219"/>
        <v>558326.02398802876</v>
      </c>
      <c r="O111" s="39">
        <f t="shared" ca="1" si="219"/>
        <v>574940.96820766956</v>
      </c>
      <c r="P111" s="39">
        <f t="shared" ca="1" si="219"/>
        <v>592053.96835389966</v>
      </c>
      <c r="T111" s="1485"/>
      <c r="U111" s="148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59"/>
      <c r="H114" s="1559"/>
      <c r="I114" s="1559"/>
      <c r="J114" s="1559"/>
      <c r="K114" s="1565"/>
      <c r="L114" s="1559"/>
      <c r="M114" s="1559"/>
      <c r="N114" s="1559"/>
      <c r="O114" s="1559"/>
      <c r="P114" s="1559"/>
      <c r="T114" s="1482"/>
      <c r="U114" s="1483"/>
    </row>
    <row r="115" spans="2:21" ht="15" customHeight="1">
      <c r="B115" s="9" t="s">
        <v>1137</v>
      </c>
      <c r="C115" s="1560">
        <v>1.0900000000000001</v>
      </c>
      <c r="D115" s="1561"/>
      <c r="E115" s="1561"/>
      <c r="F115" s="1562"/>
      <c r="G115" s="1563"/>
      <c r="H115" s="1563"/>
      <c r="I115" s="1563"/>
      <c r="J115" s="1563"/>
      <c r="K115" s="1564"/>
      <c r="L115" s="1563"/>
      <c r="M115" s="1563"/>
      <c r="N115" s="1563"/>
      <c r="O115" s="1563"/>
      <c r="P115" s="1563"/>
      <c r="T115" s="1482"/>
      <c r="U115" s="1483"/>
    </row>
    <row r="116" spans="2:21" ht="15" customHeight="1">
      <c r="C116" s="118" t="s">
        <v>231</v>
      </c>
      <c r="G116" s="39">
        <f t="shared" ref="G116:P116" si="220">SUM(G114:G115)</f>
        <v>0</v>
      </c>
      <c r="H116" s="39">
        <f t="shared" si="220"/>
        <v>0</v>
      </c>
      <c r="I116" s="39">
        <f t="shared" si="220"/>
        <v>0</v>
      </c>
      <c r="J116" s="39">
        <f t="shared" si="220"/>
        <v>0</v>
      </c>
      <c r="K116" s="39">
        <f t="shared" si="220"/>
        <v>0</v>
      </c>
      <c r="L116" s="39">
        <f t="shared" si="220"/>
        <v>0</v>
      </c>
      <c r="M116" s="39">
        <f t="shared" si="220"/>
        <v>0</v>
      </c>
      <c r="N116" s="39">
        <f t="shared" si="220"/>
        <v>0</v>
      </c>
      <c r="O116" s="39">
        <f t="shared" si="220"/>
        <v>0</v>
      </c>
      <c r="P116" s="39">
        <f t="shared" si="220"/>
        <v>0</v>
      </c>
      <c r="T116" s="1485"/>
      <c r="U116" s="1486"/>
    </row>
    <row r="117" spans="2:21" ht="42.6" customHeight="1">
      <c r="B117" s="16"/>
      <c r="G117" s="42"/>
      <c r="P117" s="9"/>
      <c r="T117" s="236" t="s">
        <v>3671</v>
      </c>
    </row>
    <row r="118" spans="2:21" ht="14.1"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59">
        <f ca="1">-SUM('Part VII-Pro Forma'!B49:B51)*$C$125-'Part VI-Revenues &amp; Expenses'!G120+'Part VII-Pro Forma'!$G$5</f>
        <v>598814.22370654088</v>
      </c>
      <c r="H119" s="1559">
        <f ca="1">-SUM('Part VII-Pro Forma'!C49:C51)*$C$125-'Part VI-Revenues &amp; Expenses'!H120+'Part VII-Pro Forma'!$G$5</f>
        <v>616646.66147656064</v>
      </c>
      <c r="I119" s="1559">
        <f ca="1">-SUM('Part VII-Pro Forma'!D49:D51)*$C$125-'Part VI-Revenues &amp; Expenses'!I120+'Part VII-Pro Forma'!$G$5</f>
        <v>635013.81543850445</v>
      </c>
      <c r="J119" s="1559">
        <f ca="1">-SUM('Part VII-Pro Forma'!E49:E51)*$C$125-'Part VI-Revenues &amp; Expenses'!J120+'Part VII-Pro Forma'!$G$5</f>
        <v>653931.65213695378</v>
      </c>
      <c r="K119" s="1559">
        <f ca="1">-SUM('Part VII-Pro Forma'!F49:F51)*$C$125-'Part VI-Revenues &amp; Expenses'!K120+'Part VII-Pro Forma'!$G$5</f>
        <v>673417.62346576818</v>
      </c>
      <c r="L119" s="1559">
        <f ca="1">-SUM('Part VII-Pro Forma'!G49:G51)*$C$125-'Part VI-Revenues &amp; Expenses'!L120+'Part VII-Pro Forma'!$G$5</f>
        <v>693487.46734621201</v>
      </c>
      <c r="M119" s="1559">
        <f ca="1">-SUM('Part VII-Pro Forma'!H49:H51)*$C$125-'Part VI-Revenues &amp; Expenses'!M120+'Part VII-Pro Forma'!$G$5</f>
        <v>714159.50289601006</v>
      </c>
      <c r="N119" s="1559">
        <f ca="1">-SUM('Part VII-Pro Forma'!I49:I51)*$C$125-'Part VI-Revenues &amp; Expenses'!N120+'Part VII-Pro Forma'!$G$5</f>
        <v>735452.50245347852</v>
      </c>
      <c r="O119" s="1559">
        <f ca="1">-SUM('Part VII-Pro Forma'!J49:J51)*$C$125-'Part VI-Revenues &amp; Expenses'!O120+'Part VII-Pro Forma'!$G$5</f>
        <v>757383.56399767112</v>
      </c>
      <c r="P119" s="1559">
        <f ca="1">-SUM('Part VII-Pro Forma'!K49:K51)*$C$125-'Part VI-Revenues &amp; Expenses'!P120+'Part VII-Pro Forma'!$G$5</f>
        <v>779972.40750583657</v>
      </c>
      <c r="T119" s="1480"/>
      <c r="U119" s="1481"/>
    </row>
    <row r="120" spans="2:21" ht="15" customHeight="1">
      <c r="B120" s="9" t="s">
        <v>1137</v>
      </c>
      <c r="C120" s="1560" t="s">
        <v>4095</v>
      </c>
      <c r="D120" s="1561"/>
      <c r="E120" s="1561"/>
      <c r="F120" s="1562"/>
      <c r="G120" s="1563">
        <f ca="1">G119*0.02</f>
        <v>11976.284474130818</v>
      </c>
      <c r="H120" s="1563">
        <f t="shared" ref="H120:P120" ca="1" si="221">H119*0.02</f>
        <v>12332.933229531212</v>
      </c>
      <c r="I120" s="1563">
        <f t="shared" ca="1" si="221"/>
        <v>12700.27630877009</v>
      </c>
      <c r="J120" s="1563">
        <f t="shared" ca="1" si="221"/>
        <v>13078.633042739077</v>
      </c>
      <c r="K120" s="1563">
        <f t="shared" ca="1" si="221"/>
        <v>13468.352469315363</v>
      </c>
      <c r="L120" s="1563">
        <f t="shared" ca="1" si="221"/>
        <v>13869.74934692424</v>
      </c>
      <c r="M120" s="1563">
        <f t="shared" ca="1" si="221"/>
        <v>14283.190057920201</v>
      </c>
      <c r="N120" s="1563">
        <f t="shared" ca="1" si="221"/>
        <v>14709.05004906957</v>
      </c>
      <c r="O120" s="1563">
        <f t="shared" ca="1" si="221"/>
        <v>15147.671279953423</v>
      </c>
      <c r="P120" s="1563">
        <f t="shared" ca="1" si="221"/>
        <v>15599.448150116732</v>
      </c>
      <c r="T120" s="1482"/>
      <c r="U120" s="1483"/>
    </row>
    <row r="121" spans="2:21" ht="15" customHeight="1">
      <c r="C121" s="118" t="s">
        <v>1422</v>
      </c>
      <c r="G121" s="39">
        <f t="shared" ref="G121:P121" ca="1" si="222">SUM(G119:G120)</f>
        <v>610790.50818067172</v>
      </c>
      <c r="H121" s="39">
        <f t="shared" ca="1" si="222"/>
        <v>628979.5947060918</v>
      </c>
      <c r="I121" s="39">
        <f t="shared" ca="1" si="222"/>
        <v>647714.09174727451</v>
      </c>
      <c r="J121" s="39">
        <f t="shared" ca="1" si="222"/>
        <v>667010.2851796929</v>
      </c>
      <c r="K121" s="39">
        <f t="shared" ca="1" si="222"/>
        <v>686885.97593508358</v>
      </c>
      <c r="L121" s="39">
        <f t="shared" ca="1" si="222"/>
        <v>707357.21669313626</v>
      </c>
      <c r="M121" s="39">
        <f t="shared" ca="1" si="222"/>
        <v>728442.69295393024</v>
      </c>
      <c r="N121" s="39">
        <f t="shared" ca="1" si="222"/>
        <v>750161.55250254809</v>
      </c>
      <c r="O121" s="39">
        <f t="shared" ca="1" si="222"/>
        <v>772531.23527762457</v>
      </c>
      <c r="P121" s="39">
        <f t="shared" ca="1" si="222"/>
        <v>795571.85565595329</v>
      </c>
      <c r="T121" s="1485"/>
      <c r="U121" s="148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59"/>
      <c r="H124" s="1559"/>
      <c r="I124" s="1559"/>
      <c r="J124" s="1559"/>
      <c r="K124" s="1565"/>
      <c r="L124" s="1559"/>
      <c r="M124" s="1559"/>
      <c r="N124" s="1559"/>
      <c r="O124" s="1559"/>
      <c r="P124" s="1559"/>
      <c r="T124" s="1482"/>
      <c r="U124" s="1483"/>
    </row>
    <row r="125" spans="2:21" ht="15" customHeight="1">
      <c r="B125" s="9" t="s">
        <v>1137</v>
      </c>
      <c r="C125" s="1560">
        <v>1.0920000000000001</v>
      </c>
      <c r="D125" s="1561"/>
      <c r="E125" s="1561"/>
      <c r="F125" s="1562"/>
      <c r="G125" s="1563"/>
      <c r="H125" s="1563"/>
      <c r="I125" s="1563"/>
      <c r="J125" s="1563"/>
      <c r="K125" s="1564"/>
      <c r="L125" s="1563"/>
      <c r="M125" s="1563"/>
      <c r="N125" s="1563"/>
      <c r="O125" s="1563"/>
      <c r="P125" s="1563"/>
      <c r="T125" s="1482"/>
      <c r="U125" s="1483"/>
    </row>
    <row r="126" spans="2:21" ht="15" customHeight="1">
      <c r="C126" s="118" t="s">
        <v>231</v>
      </c>
      <c r="G126" s="39">
        <f t="shared" ref="G126:P126" si="223">SUM(G124:G125)</f>
        <v>0</v>
      </c>
      <c r="H126" s="39">
        <f t="shared" si="223"/>
        <v>0</v>
      </c>
      <c r="I126" s="39">
        <f t="shared" si="223"/>
        <v>0</v>
      </c>
      <c r="J126" s="39">
        <f t="shared" si="223"/>
        <v>0</v>
      </c>
      <c r="K126" s="39">
        <f t="shared" si="223"/>
        <v>0</v>
      </c>
      <c r="L126" s="39">
        <f t="shared" si="223"/>
        <v>0</v>
      </c>
      <c r="M126" s="39">
        <f t="shared" si="223"/>
        <v>0</v>
      </c>
      <c r="N126" s="39">
        <f t="shared" si="223"/>
        <v>0</v>
      </c>
      <c r="O126" s="39">
        <f t="shared" si="223"/>
        <v>0</v>
      </c>
      <c r="P126" s="39">
        <f t="shared" si="223"/>
        <v>0</v>
      </c>
      <c r="T126" s="1485"/>
      <c r="U126" s="1486"/>
    </row>
    <row r="127" spans="2:21" ht="42.6" customHeight="1">
      <c r="B127" s="16"/>
      <c r="G127" s="42"/>
      <c r="P127" s="9"/>
      <c r="T127" s="236" t="s">
        <v>3672</v>
      </c>
    </row>
    <row r="128" spans="2:21" ht="14.1"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59">
        <f ca="1">-SUM('Part VII-Pro Forma'!B79:B81)*$C$135-G130+'Part VII-Pro Forma'!$G$5</f>
        <v>803239.24820159993</v>
      </c>
      <c r="H129" s="1559">
        <f ca="1">-SUM('Part VII-Pro Forma'!C79:C81)*$C$135-H130+'Part VII-Pro Forma'!$G$5</f>
        <v>827203.74082411837</v>
      </c>
      <c r="I129" s="1559">
        <f ca="1">-SUM('Part VII-Pro Forma'!D79:D81)*$C$135-I130+'Part VII-Pro Forma'!$G$5</f>
        <v>851888.20669590065</v>
      </c>
      <c r="J129" s="1559">
        <f ca="1">-SUM('Part VII-Pro Forma'!E79:E81)*$C$135-J130+'Part VII-Pro Forma'!$G$5</f>
        <v>877312.29654383671</v>
      </c>
      <c r="K129" s="1559">
        <f ca="1">-SUM('Part VII-Pro Forma'!F79:F81)*$C$135-K130+'Part VII-Pro Forma'!$G$5</f>
        <v>903499.43026368099</v>
      </c>
      <c r="L129" s="1559">
        <f ca="1">-SUM('Part VII-Pro Forma'!G79:G81)*$C$135-L130+'Part VII-Pro Forma'!$G$5</f>
        <v>930471.46070100332</v>
      </c>
      <c r="M129" s="1559">
        <f ca="1">-SUM('Part VII-Pro Forma'!H79:H81)*$C$135-M130+'Part VII-Pro Forma'!$G$5</f>
        <v>958254.04381615098</v>
      </c>
      <c r="N129" s="1559">
        <f ca="1">-SUM('Part VII-Pro Forma'!I79:I81)*$C$135-N130+'Part VII-Pro Forma'!$G$5</f>
        <v>986869.16230710619</v>
      </c>
      <c r="O129" s="1559">
        <f ca="1">-SUM('Part VII-Pro Forma'!J79:J81)*$C$135-O130+'Part VII-Pro Forma'!$G$5</f>
        <v>1016342.6379998487</v>
      </c>
      <c r="P129" s="1559">
        <f ca="1">-SUM('Part VII-Pro Forma'!K79:K81)*$C$135-P130+'Part VII-Pro Forma'!$G$5</f>
        <v>1046700.93890455</v>
      </c>
      <c r="T129" s="1480"/>
      <c r="U129" s="1481"/>
    </row>
    <row r="130" spans="1:255" ht="15" customHeight="1">
      <c r="B130" s="9" t="s">
        <v>1137</v>
      </c>
      <c r="C130" s="1560" t="s">
        <v>4095</v>
      </c>
      <c r="D130" s="1561"/>
      <c r="E130" s="1561"/>
      <c r="F130" s="1562"/>
      <c r="G130" s="1563">
        <f ca="1">G129*0.02</f>
        <v>16064.784964031998</v>
      </c>
      <c r="H130" s="1563">
        <f t="shared" ref="H130:P130" ca="1" si="224">H129*0.02</f>
        <v>16544.074816482367</v>
      </c>
      <c r="I130" s="1563">
        <f t="shared" ca="1" si="224"/>
        <v>17037.764133918012</v>
      </c>
      <c r="J130" s="1563">
        <f t="shared" ca="1" si="224"/>
        <v>17546.245930876736</v>
      </c>
      <c r="K130" s="1563">
        <f t="shared" ca="1" si="224"/>
        <v>18069.988605273622</v>
      </c>
      <c r="L130" s="1563">
        <f t="shared" ca="1" si="224"/>
        <v>18609.429214020067</v>
      </c>
      <c r="M130" s="1563">
        <f t="shared" ca="1" si="224"/>
        <v>19165.08087632302</v>
      </c>
      <c r="N130" s="1563">
        <f t="shared" ca="1" si="224"/>
        <v>19737.383246142123</v>
      </c>
      <c r="O130" s="1563">
        <f t="shared" ca="1" si="224"/>
        <v>20326.852759996975</v>
      </c>
      <c r="P130" s="1563">
        <f t="shared" ca="1" si="224"/>
        <v>20934.018778091002</v>
      </c>
      <c r="T130" s="1482"/>
      <c r="U130" s="1483"/>
    </row>
    <row r="131" spans="1:255" ht="15" customHeight="1">
      <c r="C131" s="118" t="s">
        <v>1422</v>
      </c>
      <c r="G131" s="39">
        <f t="shared" ref="G131:P131" ca="1" si="225">SUM(G129:G130)</f>
        <v>819304.03316563193</v>
      </c>
      <c r="H131" s="39">
        <f t="shared" ca="1" si="225"/>
        <v>843747.81564060075</v>
      </c>
      <c r="I131" s="39">
        <f t="shared" ca="1" si="225"/>
        <v>868925.97082981863</v>
      </c>
      <c r="J131" s="39">
        <f t="shared" ca="1" si="225"/>
        <v>894858.54247471341</v>
      </c>
      <c r="K131" s="39">
        <f t="shared" ca="1" si="225"/>
        <v>921569.41886895464</v>
      </c>
      <c r="L131" s="39">
        <f t="shared" ca="1" si="225"/>
        <v>949080.88991502335</v>
      </c>
      <c r="M131" s="39">
        <f t="shared" ca="1" si="225"/>
        <v>977419.12469247403</v>
      </c>
      <c r="N131" s="39">
        <f t="shared" ca="1" si="225"/>
        <v>1006606.5455532483</v>
      </c>
      <c r="O131" s="39">
        <f t="shared" ca="1" si="225"/>
        <v>1036669.4907598457</v>
      </c>
      <c r="P131" s="39">
        <f t="shared" ca="1" si="225"/>
        <v>1067634.957682641</v>
      </c>
      <c r="T131" s="1485"/>
      <c r="U131" s="148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59"/>
      <c r="H134" s="1559"/>
      <c r="I134" s="1559"/>
      <c r="J134" s="1559"/>
      <c r="K134" s="1565"/>
      <c r="L134" s="1559"/>
      <c r="M134" s="1559"/>
      <c r="N134" s="1559"/>
      <c r="O134" s="1559"/>
      <c r="P134" s="1559"/>
      <c r="T134" s="1482"/>
      <c r="U134" s="1483"/>
    </row>
    <row r="135" spans="1:255" ht="15" customHeight="1">
      <c r="B135" s="9" t="s">
        <v>1137</v>
      </c>
      <c r="C135" s="1560">
        <v>1.0920000000000001</v>
      </c>
      <c r="D135" s="1561"/>
      <c r="E135" s="1561"/>
      <c r="F135" s="1562"/>
      <c r="G135" s="1563"/>
      <c r="H135" s="1563"/>
      <c r="I135" s="1563"/>
      <c r="J135" s="1563"/>
      <c r="K135" s="1564"/>
      <c r="L135" s="1563"/>
      <c r="M135" s="1563"/>
      <c r="N135" s="1563"/>
      <c r="O135" s="1563"/>
      <c r="P135" s="1563"/>
      <c r="T135" s="1482"/>
      <c r="U135" s="1483"/>
    </row>
    <row r="136" spans="1:255" ht="15" customHeight="1">
      <c r="C136" s="118" t="s">
        <v>231</v>
      </c>
      <c r="G136" s="39">
        <f t="shared" ref="G136:P136" si="226">SUM(G134:G135)</f>
        <v>0</v>
      </c>
      <c r="H136" s="39">
        <f t="shared" si="226"/>
        <v>0</v>
      </c>
      <c r="I136" s="39">
        <f t="shared" si="226"/>
        <v>0</v>
      </c>
      <c r="J136" s="39">
        <f t="shared" si="226"/>
        <v>0</v>
      </c>
      <c r="K136" s="39">
        <f t="shared" si="226"/>
        <v>0</v>
      </c>
      <c r="L136" s="39">
        <f t="shared" si="226"/>
        <v>0</v>
      </c>
      <c r="M136" s="39">
        <f t="shared" si="226"/>
        <v>0</v>
      </c>
      <c r="N136" s="39">
        <f t="shared" si="226"/>
        <v>0</v>
      </c>
      <c r="O136" s="39">
        <f t="shared" si="226"/>
        <v>0</v>
      </c>
      <c r="P136" s="39">
        <f t="shared" si="226"/>
        <v>0</v>
      </c>
      <c r="T136" s="1485"/>
      <c r="U136" s="1486"/>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2717</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35" customHeight="1">
      <c r="A140" s="2"/>
      <c r="B140" s="11" t="s">
        <v>1857</v>
      </c>
      <c r="C140" s="2"/>
      <c r="D140" s="2"/>
      <c r="E140" s="2"/>
      <c r="F140" s="31"/>
      <c r="G140" s="31"/>
      <c r="H140" s="2"/>
      <c r="I140" s="11" t="s">
        <v>1945</v>
      </c>
      <c r="J140" s="2"/>
      <c r="K140" s="2"/>
      <c r="L140" s="2"/>
      <c r="M140" s="2"/>
      <c r="N140" s="11" t="s">
        <v>1944</v>
      </c>
      <c r="O140" s="2"/>
      <c r="P140" s="2"/>
      <c r="T140" s="1480"/>
      <c r="U140" s="148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66">
        <v>44819</v>
      </c>
      <c r="G141" s="1567"/>
      <c r="H141" s="2"/>
      <c r="I141" s="2" t="s">
        <v>1946</v>
      </c>
      <c r="J141" s="2"/>
      <c r="K141" s="1568"/>
      <c r="L141" s="1567"/>
      <c r="M141" s="2"/>
      <c r="N141" s="2" t="s">
        <v>1423</v>
      </c>
      <c r="O141" s="2"/>
      <c r="P141" s="1569">
        <v>10170</v>
      </c>
      <c r="T141" s="1482"/>
      <c r="U141" s="148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68">
        <v>72722</v>
      </c>
      <c r="G142" s="1567"/>
      <c r="H142" s="2"/>
      <c r="I142" s="2" t="s">
        <v>1947</v>
      </c>
      <c r="J142" s="2"/>
      <c r="K142" s="1568"/>
      <c r="L142" s="1567"/>
      <c r="M142" s="2"/>
      <c r="N142" s="2" t="s">
        <v>182</v>
      </c>
      <c r="O142" s="2"/>
      <c r="P142" s="1569">
        <v>15814</v>
      </c>
      <c r="T142" s="1482"/>
      <c r="U142" s="148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68">
        <v>25418</v>
      </c>
      <c r="G143" s="1567"/>
      <c r="H143" s="2"/>
      <c r="I143" s="2"/>
      <c r="J143" s="169" t="s">
        <v>230</v>
      </c>
      <c r="K143" s="1089">
        <f>SUM(K141:L142)</f>
        <v>0</v>
      </c>
      <c r="L143" s="1090"/>
      <c r="M143" s="2"/>
      <c r="N143" s="1570" t="s">
        <v>57</v>
      </c>
      <c r="O143" s="1571"/>
      <c r="P143" s="1572"/>
      <c r="T143" s="1482"/>
      <c r="U143" s="148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73" t="s">
        <v>57</v>
      </c>
      <c r="C144" s="1574"/>
      <c r="D144" s="1574"/>
      <c r="E144" s="1575"/>
      <c r="F144" s="1576"/>
      <c r="G144" s="1577"/>
      <c r="H144" s="2"/>
      <c r="I144" s="2"/>
      <c r="J144" s="2"/>
      <c r="K144" s="2"/>
      <c r="L144" s="2"/>
      <c r="M144" s="2"/>
      <c r="N144" s="13" t="s">
        <v>230</v>
      </c>
      <c r="O144" s="2"/>
      <c r="P144" s="633">
        <f>SUM(P141:P143)</f>
        <v>25984</v>
      </c>
      <c r="T144" s="1482"/>
      <c r="U144" s="148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142959</v>
      </c>
      <c r="G145" s="1090"/>
      <c r="H145" s="2"/>
      <c r="I145" s="2"/>
      <c r="J145" s="14"/>
      <c r="K145" s="2"/>
      <c r="L145" s="2"/>
      <c r="M145" s="2"/>
      <c r="N145" s="2"/>
      <c r="O145" s="2"/>
      <c r="P145" s="2"/>
      <c r="T145" s="1482"/>
      <c r="U145" s="148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82"/>
      <c r="U146" s="148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3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57237</v>
      </c>
      <c r="T147" s="1482"/>
      <c r="U147" s="148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68">
        <v>10472</v>
      </c>
      <c r="G148" s="1567"/>
      <c r="H148" s="2"/>
      <c r="I148" s="2" t="s">
        <v>2211</v>
      </c>
      <c r="J148" s="2"/>
      <c r="K148" s="1578">
        <v>8875</v>
      </c>
      <c r="L148" s="1579"/>
      <c r="M148" s="2"/>
      <c r="N148" s="595">
        <f>+P147/(M62*0.93)</f>
        <v>866.83325761017716</v>
      </c>
      <c r="O148" s="30" t="s">
        <v>3587</v>
      </c>
      <c r="P148" s="2"/>
      <c r="T148" s="1482"/>
      <c r="U148" s="148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68">
        <v>2638</v>
      </c>
      <c r="G149" s="1567"/>
      <c r="H149" s="2"/>
      <c r="I149" s="2" t="s">
        <v>2935</v>
      </c>
      <c r="J149" s="2"/>
      <c r="K149" s="1580">
        <v>18948</v>
      </c>
      <c r="L149" s="1581"/>
      <c r="M149" s="2"/>
      <c r="N149" s="595">
        <f>+P147/(M62*0.93)/12</f>
        <v>72.236104800848096</v>
      </c>
      <c r="O149" s="30" t="s">
        <v>3588</v>
      </c>
      <c r="P149" s="2"/>
      <c r="T149" s="1482"/>
      <c r="U149" s="148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68">
        <v>1200</v>
      </c>
      <c r="G150" s="1567"/>
      <c r="H150" s="2"/>
      <c r="I150" s="2" t="s">
        <v>2212</v>
      </c>
      <c r="J150" s="2"/>
      <c r="K150" s="1580"/>
      <c r="L150" s="1581"/>
      <c r="M150" s="2"/>
      <c r="N150" s="2"/>
      <c r="O150" s="2"/>
      <c r="P150" s="2"/>
      <c r="T150" s="1482"/>
      <c r="U150" s="148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68"/>
      <c r="G151" s="1567"/>
      <c r="H151" s="2"/>
      <c r="I151" s="1570" t="s">
        <v>57</v>
      </c>
      <c r="J151" s="1571"/>
      <c r="K151" s="1578"/>
      <c r="L151" s="1579"/>
      <c r="M151" s="2"/>
      <c r="N151" s="1083" t="s">
        <v>3464</v>
      </c>
      <c r="O151" s="1084"/>
      <c r="P151" s="1084"/>
      <c r="T151" s="1482"/>
      <c r="U151" s="148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68">
        <v>13419</v>
      </c>
      <c r="G152" s="1567"/>
      <c r="H152" s="2"/>
      <c r="I152" s="11"/>
      <c r="J152" s="13" t="s">
        <v>230</v>
      </c>
      <c r="K152" s="1087">
        <f>SUM(K148:K151)</f>
        <v>27823</v>
      </c>
      <c r="L152" s="1088"/>
      <c r="M152" s="2"/>
      <c r="N152" s="1084"/>
      <c r="O152" s="1084"/>
      <c r="P152" s="1084"/>
      <c r="T152" s="1485"/>
      <c r="U152" s="148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73" t="s">
        <v>57</v>
      </c>
      <c r="C153" s="1574"/>
      <c r="D153" s="1574"/>
      <c r="E153" s="1575"/>
      <c r="F153" s="1576">
        <v>240</v>
      </c>
      <c r="G153" s="1577"/>
      <c r="H153" s="2"/>
      <c r="I153" s="2"/>
      <c r="J153" s="14"/>
      <c r="K153" s="2"/>
      <c r="L153" s="2"/>
      <c r="M153" s="2"/>
      <c r="N153" s="2"/>
      <c r="O153" s="2"/>
      <c r="P153" s="2"/>
      <c r="T153" s="1480"/>
      <c r="U153" s="148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27969</v>
      </c>
      <c r="G154" s="1090"/>
      <c r="H154" s="2"/>
      <c r="I154" s="2"/>
      <c r="J154" s="14"/>
      <c r="K154" s="2"/>
      <c r="L154" s="2"/>
      <c r="M154" s="2"/>
      <c r="N154" s="2"/>
      <c r="O154" s="2"/>
      <c r="P154" s="2"/>
      <c r="T154" s="1482"/>
      <c r="U154" s="148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82"/>
      <c r="U155" s="148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35" customHeight="1" thickBot="1">
      <c r="A156" s="2"/>
      <c r="B156" s="11" t="s">
        <v>1860</v>
      </c>
      <c r="C156" s="2"/>
      <c r="D156" s="10"/>
      <c r="E156" s="2"/>
      <c r="F156" s="2"/>
      <c r="G156" s="2"/>
      <c r="H156" s="2"/>
      <c r="I156" s="11" t="s">
        <v>1943</v>
      </c>
      <c r="J156" s="828" t="s">
        <v>3317</v>
      </c>
      <c r="K156" s="2"/>
      <c r="L156" s="2"/>
      <c r="M156" s="2"/>
      <c r="N156" s="11" t="s">
        <v>3081</v>
      </c>
      <c r="O156" s="6"/>
      <c r="P156" s="6"/>
      <c r="T156" s="1482"/>
      <c r="U156" s="148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82">
        <v>29057</v>
      </c>
      <c r="G157" s="1583"/>
      <c r="H157" s="2"/>
      <c r="I157" s="2" t="s">
        <v>1936</v>
      </c>
      <c r="J157" s="630">
        <f>K157/12/$M$62</f>
        <v>8.421361502347418</v>
      </c>
      <c r="K157" s="1580">
        <v>7175</v>
      </c>
      <c r="L157" s="1581"/>
      <c r="M157" s="2"/>
      <c r="N157" s="364">
        <f>+$P$157/$M$62</f>
        <v>5568.7183098591549</v>
      </c>
      <c r="O157" s="30" t="s">
        <v>1974</v>
      </c>
      <c r="P157" s="631">
        <f>F145+F154+F165+K143+K152+K162+P144+P147</f>
        <v>395379</v>
      </c>
      <c r="T157" s="1482"/>
      <c r="U157" s="148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82">
        <v>1207</v>
      </c>
      <c r="G158" s="1583"/>
      <c r="H158" s="2"/>
      <c r="I158" s="2" t="s">
        <v>1937</v>
      </c>
      <c r="J158" s="630">
        <f>K158/12/$M$62</f>
        <v>0</v>
      </c>
      <c r="K158" s="1580"/>
      <c r="L158" s="1581"/>
      <c r="M158" s="2"/>
      <c r="N158" s="2"/>
      <c r="O158" s="2"/>
      <c r="P158" s="2"/>
      <c r="T158" s="1482"/>
      <c r="U158" s="148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82">
        <v>8449</v>
      </c>
      <c r="G159" s="1583"/>
      <c r="H159" s="2"/>
      <c r="I159" s="2" t="s">
        <v>3316</v>
      </c>
      <c r="J159" s="630">
        <f>K159/12/$M$62</f>
        <v>49.866197183098592</v>
      </c>
      <c r="K159" s="1580">
        <v>42486</v>
      </c>
      <c r="L159" s="1581"/>
      <c r="M159" s="2"/>
      <c r="N159" s="2"/>
      <c r="O159" s="2"/>
      <c r="P159" s="2"/>
      <c r="T159" s="1482"/>
      <c r="U159" s="148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68">
        <v>1686</v>
      </c>
      <c r="G160" s="1567"/>
      <c r="H160" s="2"/>
      <c r="I160" s="2" t="s">
        <v>1939</v>
      </c>
      <c r="J160" s="2"/>
      <c r="K160" s="1580">
        <v>9115</v>
      </c>
      <c r="L160" s="1581"/>
      <c r="M160" s="2"/>
      <c r="N160" s="11" t="s">
        <v>1796</v>
      </c>
      <c r="O160" s="11"/>
      <c r="P160" s="632">
        <f>P161*M62</f>
        <v>17750</v>
      </c>
      <c r="T160" s="1482"/>
      <c r="U160" s="148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68">
        <v>8165</v>
      </c>
      <c r="G161" s="1567"/>
      <c r="H161" s="2"/>
      <c r="I161" s="1570" t="s">
        <v>4116</v>
      </c>
      <c r="J161" s="1571"/>
      <c r="K161" s="1578">
        <v>2020</v>
      </c>
      <c r="L161" s="1579"/>
      <c r="M161" s="2"/>
      <c r="N161" s="30" t="s">
        <v>639</v>
      </c>
      <c r="O161" s="2"/>
      <c r="P161" s="1584">
        <v>250</v>
      </c>
      <c r="T161" s="1482"/>
      <c r="U161" s="148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68">
        <v>0</v>
      </c>
      <c r="G162" s="1567"/>
      <c r="H162" s="2"/>
      <c r="I162" s="2"/>
      <c r="J162" s="13" t="s">
        <v>230</v>
      </c>
      <c r="K162" s="1087">
        <f>SUM(K157:K161)</f>
        <v>60796</v>
      </c>
      <c r="L162" s="1088"/>
      <c r="M162" s="2"/>
      <c r="N162" s="2"/>
      <c r="O162" s="2"/>
      <c r="T162" s="1482"/>
      <c r="U162" s="148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68">
        <v>4047</v>
      </c>
      <c r="G163" s="1567"/>
      <c r="H163" s="2"/>
      <c r="I163" s="2"/>
      <c r="J163" s="14"/>
      <c r="K163" s="2"/>
      <c r="L163" s="2"/>
      <c r="M163" s="2"/>
      <c r="N163" s="2"/>
      <c r="O163" s="2"/>
      <c r="T163" s="1482"/>
      <c r="U163" s="148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73" t="s">
        <v>57</v>
      </c>
      <c r="C164" s="1574"/>
      <c r="D164" s="1574"/>
      <c r="E164" s="1575"/>
      <c r="F164" s="1576">
        <v>0</v>
      </c>
      <c r="G164" s="1577"/>
      <c r="H164" s="2"/>
      <c r="I164" s="2"/>
      <c r="J164" s="14"/>
      <c r="K164" s="2"/>
      <c r="L164" s="2"/>
      <c r="M164" s="2"/>
      <c r="N164" s="11" t="s">
        <v>3082</v>
      </c>
      <c r="O164" s="11"/>
      <c r="P164" s="11"/>
      <c r="T164" s="1482"/>
      <c r="U164" s="148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52611</v>
      </c>
      <c r="G165" s="1086"/>
      <c r="H165" s="2"/>
      <c r="I165" s="2"/>
      <c r="J165" s="14"/>
      <c r="K165" s="2"/>
      <c r="L165" s="2"/>
      <c r="M165" s="2"/>
      <c r="N165" s="2"/>
      <c r="O165" s="2"/>
      <c r="P165" s="631">
        <f>P157+P160</f>
        <v>413129</v>
      </c>
      <c r="T165" s="1485"/>
      <c r="U165" s="148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1.1"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409.5" customHeight="1">
      <c r="A168" s="1366" t="s">
        <v>4133</v>
      </c>
      <c r="B168" s="1367"/>
      <c r="C168" s="1367"/>
      <c r="D168" s="1367"/>
      <c r="E168" s="1367"/>
      <c r="F168" s="1367"/>
      <c r="G168" s="1367"/>
      <c r="H168" s="1367"/>
      <c r="I168" s="1367"/>
      <c r="J168" s="1368"/>
      <c r="K168" s="1369"/>
      <c r="L168" s="1370"/>
      <c r="M168" s="1370"/>
      <c r="N168" s="1370"/>
      <c r="O168" s="1370"/>
      <c r="P168" s="1371"/>
      <c r="T168" s="987" t="s">
        <v>3964</v>
      </c>
      <c r="U168" s="987"/>
    </row>
    <row r="169" spans="1:255" ht="11.25" customHeight="1"/>
    <row r="170" spans="1:255" ht="12" customHeight="1"/>
    <row r="171" spans="1:255" ht="12" customHeight="1"/>
    <row r="172" spans="1:255" ht="14.1" customHeight="1"/>
    <row r="173" spans="1:255" s="119" customFormat="1" ht="14.1"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4.1"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4.1"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4.1"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4.1"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4.1"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4.1"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4.1" customHeight="1"/>
    <row r="181" spans="1:255" ht="14.1" customHeight="1"/>
    <row r="182" spans="1:255" ht="14.1" customHeight="1"/>
    <row r="183" spans="1:255" ht="14.1" customHeight="1"/>
    <row r="184" spans="1:255" s="119" customFormat="1" ht="14.1"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4.1"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4.1"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4.1"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4.1"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4.1" customHeight="1"/>
    <row r="190" spans="1:255" ht="14.1" customHeight="1">
      <c r="A190" s="16"/>
    </row>
    <row r="191" spans="1:255" ht="14.1" customHeight="1"/>
    <row r="192" spans="1:255" ht="14.1" customHeight="1"/>
    <row r="193" spans="1:255" ht="14.1" customHeight="1"/>
    <row r="194" spans="1:255" ht="14.1" customHeight="1"/>
    <row r="195" spans="1:255" ht="14.1" customHeight="1"/>
    <row r="196" spans="1:255" s="119" customFormat="1" ht="14.1"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4.1"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4.1"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4.1"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4.1"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4.1" customHeight="1"/>
    <row r="202" spans="1:255" ht="14.1" customHeight="1">
      <c r="A202" s="16"/>
    </row>
    <row r="203" spans="1:255" ht="14.1" customHeight="1"/>
    <row r="204" spans="1:255" ht="14.1" customHeight="1"/>
    <row r="205" spans="1:255" ht="14.1" customHeight="1"/>
    <row r="206" spans="1:255" ht="14.1" customHeight="1"/>
    <row r="207" spans="1:255" ht="14.1" customHeight="1"/>
    <row r="208" spans="1:255" ht="14.1" customHeight="1"/>
    <row r="209" ht="14.1" customHeight="1"/>
    <row r="210" ht="14.1" customHeight="1"/>
    <row r="211" ht="14.1"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2" priority="2" stopIfTrue="1" operator="greaterThan">
      <formula>0</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2.xml><?xml version="1.0" encoding="utf-8"?>
<worksheet xmlns="http://schemas.openxmlformats.org/spreadsheetml/2006/main" xmlns:r="http://schemas.openxmlformats.org/officeDocument/2006/relationships">
  <sheetPr codeName="Sheet11" enableFormatConditionsCalculation="0">
    <pageSetUpPr fitToPage="1"/>
  </sheetPr>
  <dimension ref="A1:O141"/>
  <sheetViews>
    <sheetView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4.1" customHeight="1">
      <c r="A1" s="1107" t="str">
        <f>CONCATENATE("PART SEVEN - OPERATING PRO FORMA","  -  ",'Part I-Project Information'!$O$4," ",'Part I-Project Information'!$F$22,", ",'Part I-Project Information'!F24,", ",'Part I-Project Information'!J25," County")</f>
        <v>PART SEVEN - OPERATING PRO FORMA  -  2012-059 Allen Wilson - Phase III, Decatur, DeKalb County</v>
      </c>
      <c r="B1" s="1108"/>
      <c r="C1" s="1108"/>
      <c r="D1" s="1108"/>
      <c r="E1" s="1108"/>
      <c r="F1" s="1108"/>
      <c r="G1" s="1108"/>
      <c r="H1" s="1108"/>
      <c r="I1" s="1108"/>
      <c r="J1" s="1108"/>
      <c r="K1" s="1109"/>
      <c r="L1" s="11"/>
      <c r="M1" s="1105" t="str">
        <f>A1</f>
        <v>PART SEVEN - OPERATING PRO FORMA  -  2012-059 Allen Wilson - Phase III, Decatur, DeKalb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85">
        <v>4500</v>
      </c>
      <c r="H5" s="128" t="s">
        <v>2785</v>
      </c>
      <c r="K5" s="133">
        <f ca="1">IF(($B$14+$B$15+$B$16+$B$17)=0,"",-B28/($B$14+$B$15+$B$16+$B$17))</f>
        <v>9.7222974800064196E-3</v>
      </c>
      <c r="M5" s="1480"/>
      <c r="N5" s="1481"/>
    </row>
    <row r="6" spans="1:15">
      <c r="A6" s="19" t="s">
        <v>3084</v>
      </c>
      <c r="B6" s="105">
        <v>0.03</v>
      </c>
      <c r="C6" s="19"/>
      <c r="D6" s="19" t="s">
        <v>1270</v>
      </c>
      <c r="F6" s="19"/>
      <c r="G6" s="1585"/>
      <c r="H6" s="128" t="s">
        <v>3346</v>
      </c>
      <c r="K6" s="133" t="e">
        <f ca="1">IF(($B$14+$B$15+$B$16+$B$17)=0,"",-#REF!/($B$14+$B$15+$B$16+$B$17))</f>
        <v>#REF!</v>
      </c>
      <c r="M6" s="1482"/>
      <c r="N6" s="1483"/>
    </row>
    <row r="7" spans="1:15">
      <c r="A7" s="19" t="s">
        <v>3086</v>
      </c>
      <c r="B7" s="105">
        <v>0.03</v>
      </c>
      <c r="C7" s="19"/>
      <c r="D7" s="107" t="s">
        <v>332</v>
      </c>
      <c r="G7" s="109"/>
      <c r="H7" s="128" t="s">
        <v>3347</v>
      </c>
      <c r="K7" s="133">
        <f ca="1">IF(($B$14+$B$15+$B$16+$B$17)=0,"",-B20/($B$14+$B$15+$B$16+$B$17))</f>
        <v>0.12366114241402831</v>
      </c>
      <c r="M7" s="1482"/>
      <c r="N7" s="1483"/>
    </row>
    <row r="8" spans="1:15" ht="13.35" customHeight="1">
      <c r="A8" s="19" t="s">
        <v>3085</v>
      </c>
      <c r="B8" s="1586">
        <v>7.0000000000000007E-2</v>
      </c>
      <c r="C8" s="19"/>
      <c r="D8" s="106" t="s">
        <v>3516</v>
      </c>
      <c r="G8" s="1587" t="s">
        <v>3974</v>
      </c>
      <c r="H8" s="230" t="s">
        <v>2028</v>
      </c>
      <c r="K8" s="1588">
        <v>57237.360000000008</v>
      </c>
      <c r="M8" s="1482"/>
      <c r="N8" s="1483"/>
    </row>
    <row r="9" spans="1:15">
      <c r="A9" s="19" t="s">
        <v>1992</v>
      </c>
      <c r="B9" s="105">
        <v>0.02</v>
      </c>
      <c r="D9" s="106" t="s">
        <v>2570</v>
      </c>
      <c r="G9" s="1587" t="s">
        <v>3975</v>
      </c>
      <c r="H9" s="230" t="s">
        <v>3322</v>
      </c>
      <c r="K9" s="1589"/>
      <c r="M9" s="1485"/>
      <c r="N9" s="1486"/>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4" t="s">
        <v>3673</v>
      </c>
      <c r="N13" s="974"/>
    </row>
    <row r="14" spans="1:15" ht="13.35" customHeight="1">
      <c r="A14" s="21" t="s">
        <v>3384</v>
      </c>
      <c r="B14" s="22">
        <f>'Part VI-Revenues &amp; Expenses'!L49</f>
        <v>0</v>
      </c>
      <c r="C14" s="22">
        <f t="shared" ref="C14:K14" si="1">$B$14*(1+$B$5)^(C13-1)</f>
        <v>0</v>
      </c>
      <c r="D14" s="22">
        <f t="shared" si="1"/>
        <v>0</v>
      </c>
      <c r="E14" s="22">
        <f t="shared" si="1"/>
        <v>0</v>
      </c>
      <c r="F14" s="22">
        <f t="shared" si="1"/>
        <v>0</v>
      </c>
      <c r="G14" s="22">
        <f t="shared" si="1"/>
        <v>0</v>
      </c>
      <c r="H14" s="22">
        <f t="shared" si="1"/>
        <v>0</v>
      </c>
      <c r="I14" s="22">
        <f t="shared" si="1"/>
        <v>0</v>
      </c>
      <c r="J14" s="22">
        <f t="shared" si="1"/>
        <v>0</v>
      </c>
      <c r="K14" s="23">
        <f t="shared" si="1"/>
        <v>0</v>
      </c>
      <c r="M14" s="1590"/>
      <c r="N14" s="1481"/>
    </row>
    <row r="15" spans="1:15" ht="13.35" customHeight="1">
      <c r="A15" s="24" t="s">
        <v>1519</v>
      </c>
      <c r="B15" s="25">
        <f>MIN(B14*B9,'Part VI-Revenues &amp; Expenses'!G104)</f>
        <v>0</v>
      </c>
      <c r="C15" s="25">
        <f t="shared" ref="C15:K15" si="2">$B$15*(1+$B$5)^(C13-1)</f>
        <v>0</v>
      </c>
      <c r="D15" s="25">
        <f t="shared" si="2"/>
        <v>0</v>
      </c>
      <c r="E15" s="25">
        <f t="shared" si="2"/>
        <v>0</v>
      </c>
      <c r="F15" s="25">
        <f t="shared" si="2"/>
        <v>0</v>
      </c>
      <c r="G15" s="25">
        <f t="shared" si="2"/>
        <v>0</v>
      </c>
      <c r="H15" s="25">
        <f t="shared" si="2"/>
        <v>0</v>
      </c>
      <c r="I15" s="25">
        <f t="shared" si="2"/>
        <v>0</v>
      </c>
      <c r="J15" s="25">
        <f t="shared" si="2"/>
        <v>0</v>
      </c>
      <c r="K15" s="26">
        <f t="shared" si="2"/>
        <v>0</v>
      </c>
      <c r="M15" s="1482"/>
      <c r="N15" s="1483"/>
    </row>
    <row r="16" spans="1:15" ht="13.35" customHeight="1">
      <c r="A16" s="24" t="s">
        <v>3385</v>
      </c>
      <c r="B16" s="25">
        <f t="shared" ref="B16:K16" si="3">-(B14+B15)*$B$8</f>
        <v>0</v>
      </c>
      <c r="C16" s="25">
        <f t="shared" si="3"/>
        <v>0</v>
      </c>
      <c r="D16" s="25">
        <f t="shared" si="3"/>
        <v>0</v>
      </c>
      <c r="E16" s="25">
        <f t="shared" si="3"/>
        <v>0</v>
      </c>
      <c r="F16" s="25">
        <f t="shared" si="3"/>
        <v>0</v>
      </c>
      <c r="G16" s="25">
        <f t="shared" si="3"/>
        <v>0</v>
      </c>
      <c r="H16" s="25">
        <f t="shared" si="3"/>
        <v>0</v>
      </c>
      <c r="I16" s="25">
        <f t="shared" si="3"/>
        <v>0</v>
      </c>
      <c r="J16" s="25">
        <f t="shared" si="3"/>
        <v>0</v>
      </c>
      <c r="K16" s="26">
        <f t="shared" si="3"/>
        <v>0</v>
      </c>
      <c r="M16" s="1482"/>
      <c r="N16" s="1483"/>
    </row>
    <row r="17" spans="1:14" ht="13.35" customHeight="1">
      <c r="A17" s="24" t="s">
        <v>58</v>
      </c>
      <c r="B17" s="25">
        <f ca="1">+'Part VI-Revenues &amp; Expenses'!G111</f>
        <v>462853.56</v>
      </c>
      <c r="C17" s="25">
        <f ca="1">+'Part VI-Revenues &amp; Expenses'!H111</f>
        <v>468319.80840000004</v>
      </c>
      <c r="D17" s="25">
        <f ca="1">+'Part VI-Revenues &amp; Expenses'!I111</f>
        <v>482234.81685200002</v>
      </c>
      <c r="E17" s="25">
        <f ca="1">+'Part VI-Revenues &amp; Expenses'!J111</f>
        <v>496567.19925756007</v>
      </c>
      <c r="F17" s="25">
        <f ca="1">+'Part VI-Revenues &amp; Expenses'!K111</f>
        <v>511328.83373528678</v>
      </c>
      <c r="G17" s="25">
        <f ca="1">+'Part VI-Revenues &amp; Expenses'!L111</f>
        <v>526534.10204734537</v>
      </c>
      <c r="H17" s="25">
        <f ca="1">+'Part VI-Revenues &amp; Expenses'!M111</f>
        <v>542194.4493087657</v>
      </c>
      <c r="I17" s="25">
        <f ca="1">+'Part VI-Revenues &amp; Expenses'!N111</f>
        <v>558326.02398802876</v>
      </c>
      <c r="J17" s="25">
        <f ca="1">+'Part VI-Revenues &amp; Expenses'!O111</f>
        <v>574940.96820766956</v>
      </c>
      <c r="K17" s="26">
        <f ca="1">+'Part VI-Revenues &amp; Expenses'!P111</f>
        <v>592053.96835389966</v>
      </c>
      <c r="M17" s="1482"/>
      <c r="N17" s="1483"/>
    </row>
    <row r="18" spans="1:14" ht="13.3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2"/>
      <c r="N18" s="1483"/>
    </row>
    <row r="19" spans="1:14" ht="13.35" customHeight="1">
      <c r="A19" s="24" t="s">
        <v>871</v>
      </c>
      <c r="B19" s="25">
        <f>-('Part VI-Revenues &amp; Expenses'!P157-'Part VI-Revenues &amp; Expenses'!P147)</f>
        <v>-338142</v>
      </c>
      <c r="C19" s="25">
        <f t="shared" ref="C19:K19" si="4">$B$19*(1+$B$6)^(C13-1)</f>
        <v>-348286.26</v>
      </c>
      <c r="D19" s="25">
        <f t="shared" si="4"/>
        <v>-358734.84779999999</v>
      </c>
      <c r="E19" s="25">
        <f t="shared" si="4"/>
        <v>-369496.89323400002</v>
      </c>
      <c r="F19" s="25">
        <f t="shared" si="4"/>
        <v>-380581.80003101996</v>
      </c>
      <c r="G19" s="25">
        <f t="shared" si="4"/>
        <v>-391999.25403195055</v>
      </c>
      <c r="H19" s="25">
        <f t="shared" si="4"/>
        <v>-403759.23165290907</v>
      </c>
      <c r="I19" s="25">
        <f t="shared" si="4"/>
        <v>-415872.00860249641</v>
      </c>
      <c r="J19" s="25">
        <f t="shared" si="4"/>
        <v>-428348.16886057123</v>
      </c>
      <c r="K19" s="26">
        <f t="shared" si="4"/>
        <v>-441198.61392638838</v>
      </c>
      <c r="M19" s="1482"/>
      <c r="N19" s="1483"/>
    </row>
    <row r="20" spans="1:14" ht="13.35" customHeight="1">
      <c r="A20" s="24" t="s">
        <v>1628</v>
      </c>
      <c r="B20" s="25">
        <f>IF(AND('Part VII-Pro Forma'!$G$8="Yes",'Part VII-Pro Forma'!$G$9="Yes"),"Choose One!",IF('Part VII-Pro Forma'!$G$8="Yes",ROUND((-$K$8*(1+'Part VII-Pro Forma'!$B$6)^('Part VII-Pro Forma'!B13-1)),),IF('Part VII-Pro Forma'!$G$9="Yes",ROUND((-(SUM(B14:B17)*'Part VII-Pro Forma'!$K$9)),),"Choose mgt fee")))</f>
        <v>-57237</v>
      </c>
      <c r="C20" s="25">
        <f>IF(AND('Part VII-Pro Forma'!$G$8="Yes",'Part VII-Pro Forma'!$G$9="Yes"),"Choose One!",IF('Part VII-Pro Forma'!$G$8="Yes",ROUND((-$K$8*(1+'Part VII-Pro Forma'!$B$6)^('Part VII-Pro Forma'!C13-1)),),IF('Part VII-Pro Forma'!$G$9="Yes",ROUND((-(SUM(C14:C17)*'Part VII-Pro Forma'!$K$9)),),"Choose mgt fee")))</f>
        <v>-58954</v>
      </c>
      <c r="D20" s="25">
        <f>IF(AND('Part VII-Pro Forma'!$G$8="Yes",'Part VII-Pro Forma'!$G$9="Yes"),"Choose One!",IF('Part VII-Pro Forma'!$G$8="Yes",ROUND((-$K$8*(1+'Part VII-Pro Forma'!$B$6)^('Part VII-Pro Forma'!D13-1)),),IF('Part VII-Pro Forma'!$G$9="Yes",ROUND((-(SUM(D14:D17)*'Part VII-Pro Forma'!$K$9)),),"Choose mgt fee")))</f>
        <v>-60723</v>
      </c>
      <c r="E20" s="25">
        <f>IF(AND('Part VII-Pro Forma'!$G$8="Yes",'Part VII-Pro Forma'!$G$9="Yes"),"Choose One!",IF('Part VII-Pro Forma'!$G$8="Yes",ROUND((-$K$8*(1+'Part VII-Pro Forma'!$B$6)^('Part VII-Pro Forma'!E13-1)),),IF('Part VII-Pro Forma'!$G$9="Yes",ROUND((-(SUM(E14:E17)*'Part VII-Pro Forma'!$K$9)),),"Choose mgt fee")))</f>
        <v>-62545</v>
      </c>
      <c r="F20" s="25">
        <f>IF(AND('Part VII-Pro Forma'!$G$8="Yes",'Part VII-Pro Forma'!$G$9="Yes"),"Choose One!",IF('Part VII-Pro Forma'!$G$8="Yes",ROUND((-$K$8*(1+'Part VII-Pro Forma'!$B$6)^('Part VII-Pro Forma'!F13-1)),),IF('Part VII-Pro Forma'!$G$9="Yes",ROUND((-(SUM(F14:F17)*'Part VII-Pro Forma'!$K$9)),),"Choose mgt fee")))</f>
        <v>-64421</v>
      </c>
      <c r="G20" s="25">
        <f>IF(AND('Part VII-Pro Forma'!$G$8="Yes",'Part VII-Pro Forma'!$G$9="Yes"),"Choose One!",IF('Part VII-Pro Forma'!$G$8="Yes",ROUND((-$K$8*(1+'Part VII-Pro Forma'!$B$6)^('Part VII-Pro Forma'!G13-1)),),IF('Part VII-Pro Forma'!$G$9="Yes",ROUND((-(SUM(G14:G17)*'Part VII-Pro Forma'!$K$9)),),"Choose mgt fee")))</f>
        <v>-66354</v>
      </c>
      <c r="H20" s="25">
        <f>IF(AND('Part VII-Pro Forma'!$G$8="Yes",'Part VII-Pro Forma'!$G$9="Yes"),"Choose One!",IF('Part VII-Pro Forma'!$G$8="Yes",ROUND((-$K$8*(1+'Part VII-Pro Forma'!$B$6)^('Part VII-Pro Forma'!H13-1)),),IF('Part VII-Pro Forma'!$G$9="Yes",ROUND((-(SUM(H14:H17)*'Part VII-Pro Forma'!$K$9)),),"Choose mgt fee")))</f>
        <v>-68344</v>
      </c>
      <c r="I20" s="25">
        <f>IF(AND('Part VII-Pro Forma'!$G$8="Yes",'Part VII-Pro Forma'!$G$9="Yes"),"Choose One!",IF('Part VII-Pro Forma'!$G$8="Yes",ROUND((-$K$8*(1+'Part VII-Pro Forma'!$B$6)^('Part VII-Pro Forma'!I13-1)),),IF('Part VII-Pro Forma'!$G$9="Yes",ROUND((-(SUM(I14:I17)*'Part VII-Pro Forma'!$K$9)),),"Choose mgt fee")))</f>
        <v>-70395</v>
      </c>
      <c r="J20" s="25">
        <f>IF(AND('Part VII-Pro Forma'!$G$8="Yes",'Part VII-Pro Forma'!$G$9="Yes"),"Choose One!",IF('Part VII-Pro Forma'!$G$8="Yes",ROUND((-$K$8*(1+'Part VII-Pro Forma'!$B$6)^('Part VII-Pro Forma'!J13-1)),),IF('Part VII-Pro Forma'!$G$9="Yes",ROUND((-(SUM(J14:J17)*'Part VII-Pro Forma'!$K$9)),),"Choose mgt fee")))</f>
        <v>-72507</v>
      </c>
      <c r="K20" s="25">
        <f>IF(AND('Part VII-Pro Forma'!$G$8="Yes",'Part VII-Pro Forma'!$G$9="Yes"),"Choose One!",IF('Part VII-Pro Forma'!$G$8="Yes",ROUND((-$K$8*(1+'Part VII-Pro Forma'!$B$6)^('Part VII-Pro Forma'!K13-1)),),IF('Part VII-Pro Forma'!$G$9="Yes",ROUND((-(SUM(K14:K17)*'Part VII-Pro Forma'!$K$9)),),"Choose mgt fee")))</f>
        <v>-74682</v>
      </c>
      <c r="M20" s="1482"/>
      <c r="N20" s="1483"/>
    </row>
    <row r="21" spans="1:14" ht="13.35" customHeight="1">
      <c r="A21" s="24" t="s">
        <v>1739</v>
      </c>
      <c r="B21" s="25">
        <f>-('Part VI-Revenues &amp; Expenses'!P160)</f>
        <v>-17750</v>
      </c>
      <c r="C21" s="25">
        <f t="shared" ref="C21:K21" si="5">$B$21*(1+$B$7)^(C13-1)</f>
        <v>-18282.5</v>
      </c>
      <c r="D21" s="25">
        <f t="shared" si="5"/>
        <v>-18830.974999999999</v>
      </c>
      <c r="E21" s="25">
        <f t="shared" si="5"/>
        <v>-19395.90425</v>
      </c>
      <c r="F21" s="25">
        <f t="shared" si="5"/>
        <v>-19977.7813775</v>
      </c>
      <c r="G21" s="25">
        <f t="shared" si="5"/>
        <v>-20577.114818824997</v>
      </c>
      <c r="H21" s="25">
        <f t="shared" si="5"/>
        <v>-21194.428263389749</v>
      </c>
      <c r="I21" s="25">
        <f t="shared" si="5"/>
        <v>-21830.261111291442</v>
      </c>
      <c r="J21" s="25">
        <f t="shared" si="5"/>
        <v>-22485.168944630183</v>
      </c>
      <c r="K21" s="26">
        <f t="shared" si="5"/>
        <v>-23159.724012969091</v>
      </c>
      <c r="M21" s="1482"/>
      <c r="N21" s="1483"/>
    </row>
    <row r="22" spans="1:14" ht="13.35" customHeight="1">
      <c r="A22" s="24" t="s">
        <v>1740</v>
      </c>
      <c r="B22" s="25">
        <f t="shared" ref="B22:K22" ca="1" si="6">SUM(B14:B21)</f>
        <v>49724.56</v>
      </c>
      <c r="C22" s="25">
        <f t="shared" ca="1" si="6"/>
        <v>42797.048400000029</v>
      </c>
      <c r="D22" s="25">
        <f t="shared" ca="1" si="6"/>
        <v>43945.994052000031</v>
      </c>
      <c r="E22" s="25">
        <f t="shared" ca="1" si="6"/>
        <v>45129.401773560057</v>
      </c>
      <c r="F22" s="25">
        <f t="shared" ca="1" si="6"/>
        <v>46348.252326766829</v>
      </c>
      <c r="G22" s="25">
        <f t="shared" ca="1" si="6"/>
        <v>47603.733196569825</v>
      </c>
      <c r="H22" s="25">
        <f t="shared" ca="1" si="6"/>
        <v>48896.789392466875</v>
      </c>
      <c r="I22" s="25">
        <f t="shared" ca="1" si="6"/>
        <v>50228.754274240899</v>
      </c>
      <c r="J22" s="25">
        <f t="shared" ca="1" si="6"/>
        <v>51600.630402468152</v>
      </c>
      <c r="K22" s="26">
        <f t="shared" ca="1" si="6"/>
        <v>53013.630414542189</v>
      </c>
      <c r="M22" s="1482"/>
      <c r="N22" s="1483"/>
    </row>
    <row r="23" spans="1:14" ht="13.35" customHeight="1">
      <c r="A23" s="678" t="s">
        <v>2195</v>
      </c>
      <c r="B23" s="1591">
        <f>IF('Part III A-Sources of Funds'!$M$32="", 0,-'Part III A-Sources of Funds'!$M$32)</f>
        <v>0</v>
      </c>
      <c r="C23" s="1591">
        <f>IF('Part III A-Sources of Funds'!$M$32="", 0,-'Part III A-Sources of Funds'!$M$32)</f>
        <v>0</v>
      </c>
      <c r="D23" s="1591">
        <f>IF('Part III A-Sources of Funds'!$M$32="", 0,-'Part III A-Sources of Funds'!$M$32)</f>
        <v>0</v>
      </c>
      <c r="E23" s="1591">
        <f>IF('Part III A-Sources of Funds'!$M$32="", 0,-'Part III A-Sources of Funds'!$M$32)</f>
        <v>0</v>
      </c>
      <c r="F23" s="1591">
        <f>IF('Part III A-Sources of Funds'!$M$32="", 0,-'Part III A-Sources of Funds'!$M$32)</f>
        <v>0</v>
      </c>
      <c r="G23" s="1591">
        <f>IF('Part III A-Sources of Funds'!$M$32="", 0,-'Part III A-Sources of Funds'!$M$32)</f>
        <v>0</v>
      </c>
      <c r="H23" s="1591">
        <f>IF('Part III A-Sources of Funds'!$M$32="", 0,-'Part III A-Sources of Funds'!$M$32)</f>
        <v>0</v>
      </c>
      <c r="I23" s="1591">
        <f>IF('Part III A-Sources of Funds'!$M$32="", 0,-'Part III A-Sources of Funds'!$M$32)</f>
        <v>0</v>
      </c>
      <c r="J23" s="1591">
        <f>IF('Part III A-Sources of Funds'!$M$32="", 0,-'Part III A-Sources of Funds'!$M$32)</f>
        <v>0</v>
      </c>
      <c r="K23" s="1591">
        <f>IF('Part III A-Sources of Funds'!$M$32="", 0,-'Part III A-Sources of Funds'!$M$32)</f>
        <v>0</v>
      </c>
      <c r="M23" s="1482"/>
      <c r="N23" s="1483"/>
    </row>
    <row r="24" spans="1:14" ht="13.35" customHeight="1">
      <c r="A24" s="678" t="s">
        <v>2196</v>
      </c>
      <c r="B24" s="1592">
        <f>IF('Part III A-Sources of Funds'!$M$33="", 0,-'Part III A-Sources of Funds'!$M$33)</f>
        <v>0</v>
      </c>
      <c r="C24" s="1592">
        <f>IF('Part III A-Sources of Funds'!$M$33="", 0,-'Part III A-Sources of Funds'!$M$33)</f>
        <v>0</v>
      </c>
      <c r="D24" s="1592">
        <f>IF('Part III A-Sources of Funds'!$M$33="", 0,-'Part III A-Sources of Funds'!$M$33)</f>
        <v>0</v>
      </c>
      <c r="E24" s="1592">
        <f>IF('Part III A-Sources of Funds'!$M$33="", 0,-'Part III A-Sources of Funds'!$M$33)</f>
        <v>0</v>
      </c>
      <c r="F24" s="1592">
        <f>IF('Part III A-Sources of Funds'!$M$33="", 0,-'Part III A-Sources of Funds'!$M$33)</f>
        <v>0</v>
      </c>
      <c r="G24" s="1592">
        <f>IF('Part III A-Sources of Funds'!$M$33="", 0,-'Part III A-Sources of Funds'!$M$33)</f>
        <v>0</v>
      </c>
      <c r="H24" s="1592">
        <f>IF('Part III A-Sources of Funds'!$M$33="", 0,-'Part III A-Sources of Funds'!$M$33)</f>
        <v>0</v>
      </c>
      <c r="I24" s="1592">
        <f>IF('Part III A-Sources of Funds'!$M$33="", 0,-'Part III A-Sources of Funds'!$M$33)</f>
        <v>0</v>
      </c>
      <c r="J24" s="1592">
        <f>IF('Part III A-Sources of Funds'!$M$33="", 0,-'Part III A-Sources of Funds'!$M$33)</f>
        <v>0</v>
      </c>
      <c r="K24" s="1592">
        <f>IF('Part III A-Sources of Funds'!$M$33="", 0,-'Part III A-Sources of Funds'!$M$33)</f>
        <v>0</v>
      </c>
      <c r="M24" s="1482"/>
      <c r="N24" s="1483"/>
    </row>
    <row r="25" spans="1:14" ht="13.35" customHeight="1">
      <c r="A25" s="678" t="s">
        <v>2197</v>
      </c>
      <c r="B25" s="1592">
        <f>IF('Part III A-Sources of Funds'!$M$34="", 0,-'Part III A-Sources of Funds'!$M$34)</f>
        <v>0</v>
      </c>
      <c r="C25" s="1592">
        <f>IF('Part III A-Sources of Funds'!$M$34="", 0,-'Part III A-Sources of Funds'!$M$34)</f>
        <v>0</v>
      </c>
      <c r="D25" s="1592">
        <f>IF('Part III A-Sources of Funds'!$M$34="", 0,-'Part III A-Sources of Funds'!$M$34)</f>
        <v>0</v>
      </c>
      <c r="E25" s="1592">
        <f>IF('Part III A-Sources of Funds'!$M$34="", 0,-'Part III A-Sources of Funds'!$M$34)</f>
        <v>0</v>
      </c>
      <c r="F25" s="1592">
        <f>IF('Part III A-Sources of Funds'!$M$34="", 0,-'Part III A-Sources of Funds'!$M$34)</f>
        <v>0</v>
      </c>
      <c r="G25" s="1592">
        <f>IF('Part III A-Sources of Funds'!$M$34="", 0,-'Part III A-Sources of Funds'!$M$34)</f>
        <v>0</v>
      </c>
      <c r="H25" s="1592">
        <f>IF('Part III A-Sources of Funds'!$M$34="", 0,-'Part III A-Sources of Funds'!$M$34)</f>
        <v>0</v>
      </c>
      <c r="I25" s="1592">
        <f>IF('Part III A-Sources of Funds'!$M$34="", 0,-'Part III A-Sources of Funds'!$M$34)</f>
        <v>0</v>
      </c>
      <c r="J25" s="1592">
        <f>IF('Part III A-Sources of Funds'!$M$34="", 0,-'Part III A-Sources of Funds'!$M$34)</f>
        <v>0</v>
      </c>
      <c r="K25" s="1592">
        <f>IF('Part III A-Sources of Funds'!$M$34="", 0,-'Part III A-Sources of Funds'!$M$34)</f>
        <v>0</v>
      </c>
      <c r="M25" s="1482"/>
      <c r="N25" s="1483"/>
    </row>
    <row r="26" spans="1:14" ht="13.35" customHeight="1">
      <c r="A26" s="24" t="s">
        <v>1266</v>
      </c>
      <c r="B26" s="1592">
        <f>IF('Part III A-Sources of Funds'!$M$35="", 0,-'Part III A-Sources of Funds'!$M$35)</f>
        <v>-20910</v>
      </c>
      <c r="C26" s="1592">
        <f ca="1">IF('Part III A-Sources of Funds'!$M$35="", 0,-'Part III A-Sources of Funds'!$M$35)*0-(C22+B28+B29)</f>
        <v>-30976.849811985496</v>
      </c>
      <c r="D26" s="1592">
        <f ca="1">IF('Part III A-Sources of Funds'!$M$35="", 0,-'Part III A-Sources of Funds'!$M$35)*0-(D22+C28+C29)</f>
        <v>-32125.795463985498</v>
      </c>
      <c r="E26" s="1592">
        <f ca="1">IF('Part III A-Sources of Funds'!$M$35="", 0,-'Part III A-Sources of Funds'!$M$35)*0-(E22+D28+D29)</f>
        <v>-33309.203185545528</v>
      </c>
      <c r="F26" s="1592">
        <f ca="1">IF('Part III A-Sources of Funds'!$M$35="", 0,-'Part III A-Sources of Funds'!$M$35)*0-(F22+E28+E29)</f>
        <v>-34528.053738752293</v>
      </c>
      <c r="G26" s="1592">
        <f ca="1">IF('Part III A-Sources of Funds'!$M$35="", 0,-'Part III A-Sources of Funds'!$M$35)*0-(G22+F28+F29)</f>
        <v>-35783.534608555288</v>
      </c>
      <c r="H26" s="1592">
        <f ca="1">IF('Part III A-Sources of Funds'!$M$35="", 0,-'Part III A-Sources of Funds'!$M$35)*0-(H22+G28+G29)</f>
        <v>-37076.590804452338</v>
      </c>
      <c r="I26" s="1592">
        <f>IF('Part III A-Sources of Funds'!$M$35="", 0,-'Part III A-Sources of Funds'!$M$35)</f>
        <v>-20910</v>
      </c>
      <c r="J26" s="1592">
        <f ca="1">IF('Part III A-Sources of Funds'!$M$35="", 0,-'Part III A-Sources of Funds'!$M$35)-I30*0</f>
        <v>-20910</v>
      </c>
      <c r="K26" s="1592">
        <f ca="1">IF('Part III A-Sources of Funds'!$M$35="", 0,-'Part III A-Sources of Funds'!$M$35)-J30*0</f>
        <v>-20910</v>
      </c>
      <c r="M26" s="1482"/>
      <c r="N26" s="1483"/>
    </row>
    <row r="27" spans="1:14" ht="13.35" customHeight="1">
      <c r="A27" s="24" t="s">
        <v>1241</v>
      </c>
      <c r="B27" s="1593"/>
      <c r="C27" s="1593"/>
      <c r="D27" s="1593"/>
      <c r="E27" s="1593"/>
      <c r="F27" s="1593"/>
      <c r="G27" s="1593"/>
      <c r="H27" s="1593"/>
      <c r="I27" s="1593"/>
      <c r="J27" s="1593"/>
      <c r="K27" s="1593"/>
      <c r="M27" s="1482"/>
      <c r="N27" s="1483"/>
    </row>
    <row r="28" spans="1:14" ht="13.35" customHeight="1">
      <c r="A28" s="24" t="s">
        <v>1686</v>
      </c>
      <c r="B28" s="1592">
        <f>-$G$5</f>
        <v>-4500</v>
      </c>
      <c r="C28" s="1592">
        <f t="shared" ref="C28:K28" si="7">+B28</f>
        <v>-4500</v>
      </c>
      <c r="D28" s="1592">
        <f t="shared" si="7"/>
        <v>-4500</v>
      </c>
      <c r="E28" s="1592">
        <f t="shared" si="7"/>
        <v>-4500</v>
      </c>
      <c r="F28" s="1592">
        <f t="shared" si="7"/>
        <v>-4500</v>
      </c>
      <c r="G28" s="1592">
        <f t="shared" si="7"/>
        <v>-4500</v>
      </c>
      <c r="H28" s="1592">
        <f t="shared" si="7"/>
        <v>-4500</v>
      </c>
      <c r="I28" s="1592">
        <f t="shared" si="7"/>
        <v>-4500</v>
      </c>
      <c r="J28" s="1592">
        <f t="shared" si="7"/>
        <v>-4500</v>
      </c>
      <c r="K28" s="1592">
        <f t="shared" si="7"/>
        <v>-4500</v>
      </c>
      <c r="M28" s="1482"/>
      <c r="N28" s="1483"/>
    </row>
    <row r="29" spans="1:14" ht="13.35" customHeight="1">
      <c r="A29" s="24" t="s">
        <v>1741</v>
      </c>
      <c r="B29" s="1594">
        <f>IF('Part III A-Sources of Funds'!$M$37="", 0,-'Part III A-Sources of Funds'!$M$37)*1+MIN(B26,-27699)*0</f>
        <v>-7320.198588014533</v>
      </c>
      <c r="C29" s="1594">
        <f>IF('Part III A-Sources of Funds'!$M$37="", 0,-'Part III A-Sources of Funds'!$M$37)</f>
        <v>-7320.198588014533</v>
      </c>
      <c r="D29" s="1594">
        <f>IF('Part III A-Sources of Funds'!$M$37="", 0,-'Part III A-Sources of Funds'!$M$37)</f>
        <v>-7320.198588014533</v>
      </c>
      <c r="E29" s="1594">
        <f>IF('Part III A-Sources of Funds'!$M$37="", 0,-'Part III A-Sources of Funds'!$M$37)</f>
        <v>-7320.198588014533</v>
      </c>
      <c r="F29" s="1594">
        <f>IF('Part III A-Sources of Funds'!$M$37="", 0,-'Part III A-Sources of Funds'!$M$37)</f>
        <v>-7320.198588014533</v>
      </c>
      <c r="G29" s="1594">
        <f>IF('Part III A-Sources of Funds'!$M$37="", 0,-'Part III A-Sources of Funds'!$M$37)</f>
        <v>-7320.198588014533</v>
      </c>
      <c r="H29" s="1594">
        <f>IF('Part III A-Sources of Funds'!$M$37="", 0,-'Part III A-Sources of Funds'!$M$37)</f>
        <v>-7320.198588014533</v>
      </c>
      <c r="I29" s="1594">
        <f>IF('Part III A-Sources of Funds'!$M$37="", 0,-'Part III A-Sources of Funds'!$M$37)</f>
        <v>-7320.198588014533</v>
      </c>
      <c r="J29" s="1594">
        <f>IF('Part III A-Sources of Funds'!$M$37="", 0,-'Part III A-Sources of Funds'!$M$37)</f>
        <v>-7320.198588014533</v>
      </c>
      <c r="K29" s="1594">
        <f>IF('Part III A-Sources of Funds'!$M$37="", 0,-'Part III A-Sources of Funds'!$M$37)</f>
        <v>-7320.198588014533</v>
      </c>
      <c r="M29" s="1482"/>
      <c r="N29" s="1483"/>
    </row>
    <row r="30" spans="1:14" ht="13.35" customHeight="1">
      <c r="A30" s="24" t="s">
        <v>1687</v>
      </c>
      <c r="B30" s="25">
        <f t="shared" ref="B30:K30" ca="1" si="8">SUM(B22:B29)</f>
        <v>16994.361411985465</v>
      </c>
      <c r="C30" s="25">
        <f t="shared" ca="1" si="8"/>
        <v>0</v>
      </c>
      <c r="D30" s="25">
        <f t="shared" ca="1" si="8"/>
        <v>0</v>
      </c>
      <c r="E30" s="25">
        <f t="shared" ca="1" si="8"/>
        <v>0</v>
      </c>
      <c r="F30" s="25">
        <f t="shared" ca="1" si="8"/>
        <v>0</v>
      </c>
      <c r="G30" s="25">
        <f t="shared" ca="1" si="8"/>
        <v>0</v>
      </c>
      <c r="H30" s="25">
        <f t="shared" ca="1" si="8"/>
        <v>0</v>
      </c>
      <c r="I30" s="25">
        <f t="shared" ca="1" si="8"/>
        <v>17498.555686226366</v>
      </c>
      <c r="J30" s="25">
        <f t="shared" ca="1" si="8"/>
        <v>18870.431814453619</v>
      </c>
      <c r="K30" s="26">
        <f t="shared" ca="1" si="8"/>
        <v>20283.431826527656</v>
      </c>
      <c r="M30" s="1482"/>
      <c r="N30" s="1483"/>
    </row>
    <row r="31" spans="1:14" ht="13.3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82"/>
      <c r="N31" s="1483"/>
    </row>
    <row r="32" spans="1:14" ht="13.3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2"/>
      <c r="N32" s="1483"/>
    </row>
    <row r="33" spans="1:14" ht="13.3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2"/>
      <c r="N33" s="1483"/>
    </row>
    <row r="34" spans="1:14" ht="13.35" customHeight="1">
      <c r="A34" s="24" t="s">
        <v>1267</v>
      </c>
      <c r="B34" s="27">
        <f t="shared" ref="B34:K34" ca="1" si="12">IF(OR(B26=0,AND(B23=0,B24=0,B25=0,B26=0)),"",-B22/(B23+B24+B25+B26))</f>
        <v>2.3780277379244379</v>
      </c>
      <c r="C34" s="27">
        <f t="shared" ca="1" si="12"/>
        <v>1.3815816863159884</v>
      </c>
      <c r="D34" s="27">
        <f t="shared" ca="1" si="12"/>
        <v>1.3679348142916965</v>
      </c>
      <c r="E34" s="27">
        <f t="shared" ca="1" si="12"/>
        <v>1.3548628444268485</v>
      </c>
      <c r="F34" s="27">
        <f t="shared" ca="1" si="12"/>
        <v>1.34233608060996</v>
      </c>
      <c r="G34" s="27">
        <f t="shared" ca="1" si="12"/>
        <v>1.3303250703799538</v>
      </c>
      <c r="H34" s="27">
        <f t="shared" ca="1" si="12"/>
        <v>1.3188048936418153</v>
      </c>
      <c r="I34" s="27">
        <f t="shared" ca="1" si="12"/>
        <v>2.4021403287537493</v>
      </c>
      <c r="J34" s="27">
        <f t="shared" ca="1" si="12"/>
        <v>2.467748943207468</v>
      </c>
      <c r="K34" s="28">
        <f t="shared" ca="1" si="12"/>
        <v>2.5353242665969482</v>
      </c>
      <c r="M34" s="1482"/>
      <c r="N34" s="1483"/>
    </row>
    <row r="35" spans="1:14" ht="13.35" customHeight="1">
      <c r="A35" s="24" t="s">
        <v>1250</v>
      </c>
      <c r="B35" s="378">
        <f ca="1">IF(OR(B20="Choose mgt fee",B20="Choose One!"),"",(B14+B15+B16+B17+B18) / -(B19+B20+B21))</f>
        <v>1.1203608558101708</v>
      </c>
      <c r="C35" s="378">
        <f t="shared" ref="C35:K35" ca="1" si="13">IF(OR(C20="Choose mgt fee",C20="Choose One!"),"",(C14+C15+C16+C17+C18) / -(C19+C20+C21))</f>
        <v>1.1005752275154448</v>
      </c>
      <c r="D35" s="378">
        <f t="shared" ca="1" si="13"/>
        <v>1.1002672022782873</v>
      </c>
      <c r="E35" s="378">
        <f t="shared" ca="1" si="13"/>
        <v>1.099968150706653</v>
      </c>
      <c r="F35" s="378">
        <f t="shared" ca="1" si="13"/>
        <v>1.0996778235047335</v>
      </c>
      <c r="G35" s="378">
        <f t="shared" ca="1" si="13"/>
        <v>1.0993959378913434</v>
      </c>
      <c r="H35" s="378">
        <f t="shared" ca="1" si="13"/>
        <v>1.0991222812627239</v>
      </c>
      <c r="I35" s="378">
        <f t="shared" ca="1" si="13"/>
        <v>1.0988565718972174</v>
      </c>
      <c r="J35" s="378">
        <f t="shared" ca="1" si="13"/>
        <v>1.0985986110279062</v>
      </c>
      <c r="K35" s="379">
        <f t="shared" ca="1" si="13"/>
        <v>1.0983481692987997</v>
      </c>
      <c r="M35" s="1482"/>
      <c r="N35" s="1483"/>
    </row>
    <row r="36" spans="1:14" ht="13.35" customHeight="1">
      <c r="A36" s="678" t="s">
        <v>3665</v>
      </c>
      <c r="B36" s="1595" t="str">
        <f>IF('Part III A-Sources of Funds'!$H$32="","",-FV('Part III A-Sources of Funds'!$J$32/12,12,B23/12,'Part III A-Sources of Funds'!$H$32))</f>
        <v/>
      </c>
      <c r="C36" s="1595" t="str">
        <f>IF('Part III A-Sources of Funds'!$H$32="","",-FV('Part III A-Sources of Funds'!$J$32/12,12,C23/12,B36))</f>
        <v/>
      </c>
      <c r="D36" s="1595" t="str">
        <f>IF('Part III A-Sources of Funds'!$H$32="","",-FV('Part III A-Sources of Funds'!$J$32/12,12,D23/12,C36))</f>
        <v/>
      </c>
      <c r="E36" s="1595" t="str">
        <f>IF('Part III A-Sources of Funds'!$H$32="","",-FV('Part III A-Sources of Funds'!$J$32/12,12,E23/12,D36))</f>
        <v/>
      </c>
      <c r="F36" s="1595" t="str">
        <f>IF('Part III A-Sources of Funds'!$H$32="","",-FV('Part III A-Sources of Funds'!$J$32/12,12,F23/12,E36))</f>
        <v/>
      </c>
      <c r="G36" s="1595" t="str">
        <f>IF('Part III A-Sources of Funds'!$H$32="","",-FV('Part III A-Sources of Funds'!$J$32/12,12,G23/12,F36))</f>
        <v/>
      </c>
      <c r="H36" s="1595" t="str">
        <f>IF('Part III A-Sources of Funds'!$H$32="","",-FV('Part III A-Sources of Funds'!$J$32/12,12,H23/12,G36))</f>
        <v/>
      </c>
      <c r="I36" s="1595" t="str">
        <f>IF('Part III A-Sources of Funds'!$H$32="","",-FV('Part III A-Sources of Funds'!$J$32/12,12,I23/12,H36))</f>
        <v/>
      </c>
      <c r="J36" s="1595" t="str">
        <f>IF('Part III A-Sources of Funds'!$H$32="","",-FV('Part III A-Sources of Funds'!$J$32/12,12,J23/12,I36))</f>
        <v/>
      </c>
      <c r="K36" s="1595" t="str">
        <f>IF('Part III A-Sources of Funds'!$H$32="","",-FV('Part III A-Sources of Funds'!$J$32/12,12,K23/12,J36))</f>
        <v/>
      </c>
      <c r="M36" s="1482"/>
      <c r="N36" s="1483"/>
    </row>
    <row r="37" spans="1:14" ht="13.35" customHeight="1">
      <c r="A37" s="678" t="s">
        <v>3666</v>
      </c>
      <c r="B37" s="1592" t="str">
        <f>IF('Part III A-Sources of Funds'!$H$33="","",-FV('Part III A-Sources of Funds'!$J$33/12,12,B24/12,'Part III A-Sources of Funds'!$H$33))</f>
        <v/>
      </c>
      <c r="C37" s="1592" t="str">
        <f>IF('Part III A-Sources of Funds'!$H$33="","",-FV('Part III A-Sources of Funds'!$J$33/12,12,C24/12,B37))</f>
        <v/>
      </c>
      <c r="D37" s="1592" t="str">
        <f>IF('Part III A-Sources of Funds'!$H$33="","",-FV('Part III A-Sources of Funds'!$J$33/12,12,D24/12,C37))</f>
        <v/>
      </c>
      <c r="E37" s="1592" t="str">
        <f>IF('Part III A-Sources of Funds'!$H$33="","",-FV('Part III A-Sources of Funds'!$J$33/12,12,E24/12,D37))</f>
        <v/>
      </c>
      <c r="F37" s="1592" t="str">
        <f>IF('Part III A-Sources of Funds'!$H$33="","",-FV('Part III A-Sources of Funds'!$J$33/12,12,F24/12,E37))</f>
        <v/>
      </c>
      <c r="G37" s="1592" t="str">
        <f>IF('Part III A-Sources of Funds'!$H$33="","",-FV('Part III A-Sources of Funds'!$J$33/12,12,G24/12,F37))</f>
        <v/>
      </c>
      <c r="H37" s="1592" t="str">
        <f>IF('Part III A-Sources of Funds'!$H$33="","",-FV('Part III A-Sources of Funds'!$J$33/12,12,H24/12,G37))</f>
        <v/>
      </c>
      <c r="I37" s="1592" t="str">
        <f>IF('Part III A-Sources of Funds'!$H$33="","",-FV('Part III A-Sources of Funds'!$J$33/12,12,I24/12,H37))</f>
        <v/>
      </c>
      <c r="J37" s="1592" t="str">
        <f>IF('Part III A-Sources of Funds'!$H$33="","",-FV('Part III A-Sources of Funds'!$J$33/12,12,J24/12,I37))</f>
        <v/>
      </c>
      <c r="K37" s="1592" t="str">
        <f>IF('Part III A-Sources of Funds'!$H$33="","",-FV('Part III A-Sources of Funds'!$J$33/12,12,K24/12,J37))</f>
        <v/>
      </c>
      <c r="M37" s="1482"/>
      <c r="N37" s="1483"/>
    </row>
    <row r="38" spans="1:14" ht="13.35" customHeight="1">
      <c r="A38" s="678" t="s">
        <v>3667</v>
      </c>
      <c r="B38" s="1592" t="str">
        <f>IF('Part III A-Sources of Funds'!$H$34="","",-FV('Part III A-Sources of Funds'!$J$34/12,12,B25/12,'Part III A-Sources of Funds'!$H$34))</f>
        <v/>
      </c>
      <c r="C38" s="1592" t="str">
        <f>IF('Part III A-Sources of Funds'!$H$34="","",-FV('Part III A-Sources of Funds'!$J$34/12,12,C25/12,B38))</f>
        <v/>
      </c>
      <c r="D38" s="1592" t="str">
        <f>IF('Part III A-Sources of Funds'!$H$34="","",-FV('Part III A-Sources of Funds'!$J$34/12,12,D25/12,C38))</f>
        <v/>
      </c>
      <c r="E38" s="1592" t="str">
        <f>IF('Part III A-Sources of Funds'!$H$34="","",-FV('Part III A-Sources of Funds'!$J$34/12,12,E25/12,D38))</f>
        <v/>
      </c>
      <c r="F38" s="1592" t="str">
        <f>IF('Part III A-Sources of Funds'!$H$34="","",-FV('Part III A-Sources of Funds'!$J$34/12,12,F25/12,E38))</f>
        <v/>
      </c>
      <c r="G38" s="1592" t="str">
        <f>IF('Part III A-Sources of Funds'!$H$34="","",-FV('Part III A-Sources of Funds'!$J$34/12,12,G25/12,F38))</f>
        <v/>
      </c>
      <c r="H38" s="1592" t="str">
        <f>IF('Part III A-Sources of Funds'!$H$34="","",-FV('Part III A-Sources of Funds'!$J$34/12,12,H25/12,G38))</f>
        <v/>
      </c>
      <c r="I38" s="1592" t="str">
        <f>IF('Part III A-Sources of Funds'!$H$34="","",-FV('Part III A-Sources of Funds'!$J$34/12,12,I25/12,H38))</f>
        <v/>
      </c>
      <c r="J38" s="1592" t="str">
        <f>IF('Part III A-Sources of Funds'!$H$34="","",-FV('Part III A-Sources of Funds'!$J$34/12,12,J25/12,I38))</f>
        <v/>
      </c>
      <c r="K38" s="1592" t="str">
        <f>IF('Part III A-Sources of Funds'!$H$34="","",-FV('Part III A-Sources of Funds'!$J$34/12,12,K25/12,J38))</f>
        <v/>
      </c>
      <c r="M38" s="1482"/>
      <c r="N38" s="1483"/>
    </row>
    <row r="39" spans="1:14" ht="13.35" customHeight="1">
      <c r="A39" s="24" t="s">
        <v>1268</v>
      </c>
      <c r="B39" s="1592">
        <f>IF('Part III A-Sources of Funds'!$H$35="","",-FV('Part III A-Sources of Funds'!$J$35/12,12,B24/12,'Part III A-Sources of Funds'!$H$35))</f>
        <v>1089154.0350459993</v>
      </c>
      <c r="C39" s="1592">
        <f ca="1">IF('Part III A-Sources of Funds'!$H$35="","",-FV('Part III A-Sources of Funds'!$J$35/12,12,C26/12,B39))-B30</f>
        <v>1046570.0039347378</v>
      </c>
      <c r="D39" s="1592">
        <f ca="1">IF('Part III A-Sources of Funds'!$H$35="","",-FV('Part III A-Sources of Funds'!$J$35/12,12,D26/12,C39))</f>
        <v>1019615.3431467207</v>
      </c>
      <c r="E39" s="1592">
        <f ca="1">IF('Part III A-Sources of Funds'!$H$35="","",-FV('Part III A-Sources of Funds'!$J$35/12,12,E26/12,D39))</f>
        <v>991339.47630215134</v>
      </c>
      <c r="F39" s="1592">
        <f ca="1">IF('Part III A-Sources of Funds'!$H$35="","",-FV('Part III A-Sources of Funds'!$J$35/12,12,F26/12,E39))</f>
        <v>961700.25804316311</v>
      </c>
      <c r="G39" s="1592">
        <f ca="1">IF('Part III A-Sources of Funds'!$H$35="","",-FV('Part III A-Sources of Funds'!$J$35/12,12,G26/12,F39))-F30</f>
        <v>930654.14159146138</v>
      </c>
      <c r="H39" s="1592">
        <f ca="1">IF('Part III A-Sources of Funds'!$H$35="","",-FV('Part III A-Sources of Funds'!$J$35/12,12,H26/12,G39))-G30</f>
        <v>898156.41475703707</v>
      </c>
      <c r="I39" s="1592">
        <f ca="1">IF('Part III A-Sources of Funds'!$H$35="","",-FV('Part III A-Sources of Funds'!$J$35/12,12,I26/12,H39))-H30</f>
        <v>881699.51714713767</v>
      </c>
      <c r="J39" s="1592">
        <f ca="1">IF('Part III A-Sources of Funds'!$H$35="","",-FV('Part III A-Sources of Funds'!$J$35/12,12,J26/12,I39))-I30</f>
        <v>847661.59053219738</v>
      </c>
      <c r="K39" s="1592">
        <f ca="1">IF('Part III A-Sources of Funds'!$H$35="","",-FV('Part III A-Sources of Funds'!$J$35/12,12,K26/12,J39))-J30</f>
        <v>812081.20759584627</v>
      </c>
      <c r="M39" s="1482"/>
      <c r="N39" s="1483"/>
    </row>
    <row r="40" spans="1:14" ht="13.35" customHeight="1">
      <c r="A40" s="678" t="s">
        <v>3668</v>
      </c>
      <c r="B40" s="1592">
        <f>'Part III A-Sources of Funds'!$H$36</f>
        <v>0</v>
      </c>
      <c r="C40" s="1592">
        <f>B40</f>
        <v>0</v>
      </c>
      <c r="D40" s="1592">
        <f t="shared" ref="D40:K40" si="14">C40</f>
        <v>0</v>
      </c>
      <c r="E40" s="1592">
        <f t="shared" si="14"/>
        <v>0</v>
      </c>
      <c r="F40" s="1592">
        <f t="shared" si="14"/>
        <v>0</v>
      </c>
      <c r="G40" s="1592">
        <f t="shared" si="14"/>
        <v>0</v>
      </c>
      <c r="H40" s="1592">
        <f t="shared" si="14"/>
        <v>0</v>
      </c>
      <c r="I40" s="1592">
        <f t="shared" si="14"/>
        <v>0</v>
      </c>
      <c r="J40" s="1592">
        <f t="shared" si="14"/>
        <v>0</v>
      </c>
      <c r="K40" s="1592">
        <f t="shared" si="14"/>
        <v>0</v>
      </c>
      <c r="M40" s="1482"/>
      <c r="N40" s="1483"/>
    </row>
    <row r="41" spans="1:14" ht="13.35" customHeight="1">
      <c r="A41" s="29" t="s">
        <v>1776</v>
      </c>
      <c r="B41" s="1594">
        <f>IF('Part III A-Sources of Funds'!$H$37="","",-FV('Part III A-Sources of Funds'!$J$37/12,12,B29/12,'Part III A-Sources of Funds'!$H$37))</f>
        <v>85768.487345383721</v>
      </c>
      <c r="C41" s="1594">
        <f>IF('Part III A-Sources of Funds'!$H$37="","",-FV('Part III A-Sources of Funds'!$J$37/12,12,C29/12,B41))</f>
        <v>80625.614260298287</v>
      </c>
      <c r="D41" s="1594">
        <f>IF('Part III A-Sources of Funds'!$H$37="","",-FV('Part III A-Sources of Funds'!$J$37/12,12,D29/12,C41))</f>
        <v>75346.894774831497</v>
      </c>
      <c r="E41" s="1594">
        <f>IF('Part III A-Sources of Funds'!$H$37="","",-FV('Part III A-Sources of Funds'!$J$37/12,12,E29/12,D41))</f>
        <v>69928.740574787909</v>
      </c>
      <c r="F41" s="1594">
        <f>IF('Part III A-Sources of Funds'!$H$37="","",-FV('Part III A-Sources of Funds'!$J$37/12,12,F29/12,E41))</f>
        <v>64367.468562461232</v>
      </c>
      <c r="G41" s="1594">
        <f>IF('Part III A-Sources of Funds'!$H$37="","",-FV('Part III A-Sources of Funds'!$J$37/12,12,G29/12,F41))</f>
        <v>58659.298352975631</v>
      </c>
      <c r="H41" s="1594">
        <f>IF('Part III A-Sources of Funds'!$H$37="","",-FV('Part III A-Sources of Funds'!$J$37/12,12,H29/12,G41))</f>
        <v>52800.349704494234</v>
      </c>
      <c r="I41" s="1594">
        <f>IF('Part III A-Sources of Funds'!$H$37="","",-FV('Part III A-Sources of Funds'!$J$37/12,12,I29/12,H41))</f>
        <v>46786.63988054778</v>
      </c>
      <c r="J41" s="1594">
        <f>IF('Part III A-Sources of Funds'!$H$37="","",-FV('Part III A-Sources of Funds'!$J$37/12,12,J29/12,I41))</f>
        <v>40614.080942690605</v>
      </c>
      <c r="K41" s="1594">
        <f>IF('Part III A-Sources of Funds'!$H$37="","",-FV('Part III A-Sources of Funds'!$J$37/12,12,K29/12,J41))</f>
        <v>34278.476971643438</v>
      </c>
      <c r="M41" s="1485"/>
      <c r="N41" s="1486"/>
    </row>
    <row r="42" spans="1:14" ht="4.3499999999999996"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4" t="s">
        <v>3671</v>
      </c>
      <c r="N43" s="974"/>
    </row>
    <row r="44" spans="1:14" ht="13.35" customHeight="1">
      <c r="A44" s="21" t="s">
        <v>3384</v>
      </c>
      <c r="B44" s="22">
        <f t="shared" ref="B44:K44" si="16">$B$14*(1+$B$5)^(B43-1)</f>
        <v>0</v>
      </c>
      <c r="C44" s="22">
        <f t="shared" si="16"/>
        <v>0</v>
      </c>
      <c r="D44" s="22">
        <f t="shared" si="16"/>
        <v>0</v>
      </c>
      <c r="E44" s="22">
        <f t="shared" si="16"/>
        <v>0</v>
      </c>
      <c r="F44" s="22">
        <f t="shared" si="16"/>
        <v>0</v>
      </c>
      <c r="G44" s="22">
        <f t="shared" si="16"/>
        <v>0</v>
      </c>
      <c r="H44" s="22">
        <f t="shared" si="16"/>
        <v>0</v>
      </c>
      <c r="I44" s="22">
        <f t="shared" si="16"/>
        <v>0</v>
      </c>
      <c r="J44" s="22">
        <f t="shared" si="16"/>
        <v>0</v>
      </c>
      <c r="K44" s="23">
        <f t="shared" si="16"/>
        <v>0</v>
      </c>
      <c r="M44" s="1480"/>
      <c r="N44" s="1481"/>
    </row>
    <row r="45" spans="1:14" ht="13.35" customHeight="1">
      <c r="A45" s="24" t="s">
        <v>1519</v>
      </c>
      <c r="B45" s="25">
        <f t="shared" ref="B45:K45" si="17">$B$15*(1+$B$5)^(B43-1)</f>
        <v>0</v>
      </c>
      <c r="C45" s="25">
        <f t="shared" si="17"/>
        <v>0</v>
      </c>
      <c r="D45" s="25">
        <f t="shared" si="17"/>
        <v>0</v>
      </c>
      <c r="E45" s="25">
        <f t="shared" si="17"/>
        <v>0</v>
      </c>
      <c r="F45" s="25">
        <f t="shared" si="17"/>
        <v>0</v>
      </c>
      <c r="G45" s="25">
        <f t="shared" si="17"/>
        <v>0</v>
      </c>
      <c r="H45" s="25">
        <f t="shared" si="17"/>
        <v>0</v>
      </c>
      <c r="I45" s="25">
        <f t="shared" si="17"/>
        <v>0</v>
      </c>
      <c r="J45" s="25">
        <f t="shared" si="17"/>
        <v>0</v>
      </c>
      <c r="K45" s="26">
        <f t="shared" si="17"/>
        <v>0</v>
      </c>
      <c r="M45" s="1482"/>
      <c r="N45" s="1483"/>
    </row>
    <row r="46" spans="1:14" ht="13.35" customHeight="1">
      <c r="A46" s="24" t="s">
        <v>3385</v>
      </c>
      <c r="B46" s="25">
        <f t="shared" ref="B46:K46" si="18">-(B44+B45)*$B$8</f>
        <v>0</v>
      </c>
      <c r="C46" s="25">
        <f t="shared" si="18"/>
        <v>0</v>
      </c>
      <c r="D46" s="25">
        <f t="shared" si="18"/>
        <v>0</v>
      </c>
      <c r="E46" s="25">
        <f t="shared" si="18"/>
        <v>0</v>
      </c>
      <c r="F46" s="25">
        <f t="shared" si="18"/>
        <v>0</v>
      </c>
      <c r="G46" s="25">
        <f t="shared" si="18"/>
        <v>0</v>
      </c>
      <c r="H46" s="25">
        <f t="shared" si="18"/>
        <v>0</v>
      </c>
      <c r="I46" s="25">
        <f t="shared" si="18"/>
        <v>0</v>
      </c>
      <c r="J46" s="25">
        <f t="shared" si="18"/>
        <v>0</v>
      </c>
      <c r="K46" s="26">
        <f t="shared" si="18"/>
        <v>0</v>
      </c>
      <c r="M46" s="1482"/>
      <c r="N46" s="1483"/>
    </row>
    <row r="47" spans="1:14" ht="13.35" customHeight="1">
      <c r="A47" s="24" t="s">
        <v>58</v>
      </c>
      <c r="B47" s="25">
        <f ca="1">+'Part VI-Revenues &amp; Expenses'!G121</f>
        <v>610790.50818067172</v>
      </c>
      <c r="C47" s="25">
        <f ca="1">+'Part VI-Revenues &amp; Expenses'!H121</f>
        <v>628979.5947060918</v>
      </c>
      <c r="D47" s="25">
        <f ca="1">+'Part VI-Revenues &amp; Expenses'!I121</f>
        <v>647714.09174727451</v>
      </c>
      <c r="E47" s="25">
        <f ca="1">+'Part VI-Revenues &amp; Expenses'!J121</f>
        <v>667010.2851796929</v>
      </c>
      <c r="F47" s="25">
        <f ca="1">+'Part VI-Revenues &amp; Expenses'!K121</f>
        <v>686885.97593508358</v>
      </c>
      <c r="G47" s="25">
        <f ca="1">+'Part VI-Revenues &amp; Expenses'!L121</f>
        <v>707357.21669313626</v>
      </c>
      <c r="H47" s="25">
        <f ca="1">+'Part VI-Revenues &amp; Expenses'!M121</f>
        <v>728442.69295393024</v>
      </c>
      <c r="I47" s="25">
        <f ca="1">+'Part VI-Revenues &amp; Expenses'!N121</f>
        <v>750161.55250254809</v>
      </c>
      <c r="J47" s="25">
        <f ca="1">+'Part VI-Revenues &amp; Expenses'!O121</f>
        <v>772531.23527762457</v>
      </c>
      <c r="K47" s="26">
        <f ca="1">+'Part VI-Revenues &amp; Expenses'!P121</f>
        <v>795571.85565595329</v>
      </c>
      <c r="M47" s="1482"/>
      <c r="N47" s="1483"/>
    </row>
    <row r="48" spans="1:14" ht="13.3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82"/>
      <c r="N48" s="1483"/>
    </row>
    <row r="49" spans="1:14" ht="13.35" customHeight="1">
      <c r="A49" s="24" t="s">
        <v>871</v>
      </c>
      <c r="B49" s="25">
        <f t="shared" ref="B49:K49" si="19">$B$19*(1+$B$6)^(B43-1)</f>
        <v>-454434.57234418002</v>
      </c>
      <c r="C49" s="25">
        <f t="shared" si="19"/>
        <v>-468067.60951450543</v>
      </c>
      <c r="D49" s="25">
        <f t="shared" si="19"/>
        <v>-482109.63779994054</v>
      </c>
      <c r="E49" s="25">
        <f t="shared" si="19"/>
        <v>-496572.92693393875</v>
      </c>
      <c r="F49" s="25">
        <f t="shared" si="19"/>
        <v>-511470.11474195693</v>
      </c>
      <c r="G49" s="25">
        <f t="shared" si="19"/>
        <v>-526814.21818421572</v>
      </c>
      <c r="H49" s="25">
        <f t="shared" si="19"/>
        <v>-542618.64472974208</v>
      </c>
      <c r="I49" s="25">
        <f t="shared" si="19"/>
        <v>-558897.20407163433</v>
      </c>
      <c r="J49" s="25">
        <f t="shared" si="19"/>
        <v>-575664.12019378331</v>
      </c>
      <c r="K49" s="26">
        <f t="shared" si="19"/>
        <v>-592934.04379959684</v>
      </c>
      <c r="M49" s="1482"/>
      <c r="N49" s="1483"/>
    </row>
    <row r="50" spans="1:14" ht="13.35" customHeight="1">
      <c r="A50" s="24" t="s">
        <v>1628</v>
      </c>
      <c r="B50" s="25">
        <f>IF(AND('Part VII-Pro Forma'!$G$8="Yes",'Part VII-Pro Forma'!$G$9="Yes"),"Choose One!",IF('Part VII-Pro Forma'!$G$8="Yes",ROUND((-$K$8*(1+'Part VII-Pro Forma'!$B$6)^('Part VII-Pro Forma'!B43-1)),),IF('Part VII-Pro Forma'!$G$9="Yes",ROUND((-(SUM(B44:B47)*'Part VII-Pro Forma'!$K$9)),),"Choose mgt fee")))</f>
        <v>-76922</v>
      </c>
      <c r="C50" s="25">
        <f>IF(AND('Part VII-Pro Forma'!$G$8="Yes",'Part VII-Pro Forma'!$G$9="Yes"),"Choose One!",IF('Part VII-Pro Forma'!$G$8="Yes",ROUND((-$K$8*(1+'Part VII-Pro Forma'!$B$6)^('Part VII-Pro Forma'!C43-1)),),IF('Part VII-Pro Forma'!$G$9="Yes",ROUND((-(SUM(C44:C47)*'Part VII-Pro Forma'!$K$9)),),"Choose mgt fee")))</f>
        <v>-79230</v>
      </c>
      <c r="D50" s="25">
        <f>IF(AND('Part VII-Pro Forma'!$G$8="Yes",'Part VII-Pro Forma'!$G$9="Yes"),"Choose One!",IF('Part VII-Pro Forma'!$G$8="Yes",ROUND((-$K$8*(1+'Part VII-Pro Forma'!$B$6)^('Part VII-Pro Forma'!D43-1)),),IF('Part VII-Pro Forma'!$G$9="Yes",ROUND((-(SUM(D44:D47)*'Part VII-Pro Forma'!$K$9)),),"Choose mgt fee")))</f>
        <v>-81607</v>
      </c>
      <c r="E50" s="25">
        <f>IF(AND('Part VII-Pro Forma'!$G$8="Yes",'Part VII-Pro Forma'!$G$9="Yes"),"Choose One!",IF('Part VII-Pro Forma'!$G$8="Yes",ROUND((-$K$8*(1+'Part VII-Pro Forma'!$B$6)^('Part VII-Pro Forma'!E43-1)),),IF('Part VII-Pro Forma'!$G$9="Yes",ROUND((-(SUM(E44:E47)*'Part VII-Pro Forma'!$K$9)),),"Choose mgt fee")))</f>
        <v>-84055</v>
      </c>
      <c r="F50" s="25">
        <f>IF(AND('Part VII-Pro Forma'!$G$8="Yes",'Part VII-Pro Forma'!$G$9="Yes"),"Choose One!",IF('Part VII-Pro Forma'!$G$8="Yes",ROUND((-$K$8*(1+'Part VII-Pro Forma'!$B$6)^('Part VII-Pro Forma'!F43-1)),),IF('Part VII-Pro Forma'!$G$9="Yes",ROUND((-(SUM(F44:F47)*'Part VII-Pro Forma'!$K$9)),),"Choose mgt fee")))</f>
        <v>-86577</v>
      </c>
      <c r="G50" s="25">
        <f>IF(AND('Part VII-Pro Forma'!$G$8="Yes",'Part VII-Pro Forma'!$G$9="Yes"),"Choose One!",IF('Part VII-Pro Forma'!$G$8="Yes",ROUND((-$K$8*(1+'Part VII-Pro Forma'!$B$6)^('Part VII-Pro Forma'!G43-1)),),IF('Part VII-Pro Forma'!$G$9="Yes",ROUND((-(SUM(G44:G47)*'Part VII-Pro Forma'!$K$9)),),"Choose mgt fee")))</f>
        <v>-89174</v>
      </c>
      <c r="H50" s="25">
        <f>IF(AND('Part VII-Pro Forma'!$G$8="Yes",'Part VII-Pro Forma'!$G$9="Yes"),"Choose One!",IF('Part VII-Pro Forma'!$G$8="Yes",ROUND((-$K$8*(1+'Part VII-Pro Forma'!$B$6)^('Part VII-Pro Forma'!H43-1)),),IF('Part VII-Pro Forma'!$G$9="Yes",ROUND((-(SUM(H44:H47)*'Part VII-Pro Forma'!$K$9)),),"Choose mgt fee")))</f>
        <v>-91849</v>
      </c>
      <c r="I50" s="25">
        <f>IF(AND('Part VII-Pro Forma'!$G$8="Yes",'Part VII-Pro Forma'!$G$9="Yes"),"Choose One!",IF('Part VII-Pro Forma'!$G$8="Yes",ROUND((-$K$8*(1+'Part VII-Pro Forma'!$B$6)^('Part VII-Pro Forma'!I43-1)),),IF('Part VII-Pro Forma'!$G$9="Yes",ROUND((-(SUM(I44:I47)*'Part VII-Pro Forma'!$K$9)),),"Choose mgt fee")))</f>
        <v>-94605</v>
      </c>
      <c r="J50" s="25">
        <f>IF(AND('Part VII-Pro Forma'!$G$8="Yes",'Part VII-Pro Forma'!$G$9="Yes"),"Choose One!",IF('Part VII-Pro Forma'!$G$8="Yes",ROUND((-$K$8*(1+'Part VII-Pro Forma'!$B$6)^('Part VII-Pro Forma'!J43-1)),),IF('Part VII-Pro Forma'!$G$9="Yes",ROUND((-(SUM(J44:J47)*'Part VII-Pro Forma'!$K$9)),),"Choose mgt fee")))</f>
        <v>-97443</v>
      </c>
      <c r="K50" s="25">
        <f>IF(AND('Part VII-Pro Forma'!$G$8="Yes",'Part VII-Pro Forma'!$G$9="Yes"),"Choose One!",IF('Part VII-Pro Forma'!$G$8="Yes",ROUND((-$K$8*(1+'Part VII-Pro Forma'!$B$6)^('Part VII-Pro Forma'!K43-1)),),IF('Part VII-Pro Forma'!$G$9="Yes",ROUND((-(SUM(K44:K47)*'Part VII-Pro Forma'!$K$9)),),"Choose mgt fee")))</f>
        <v>-100366</v>
      </c>
      <c r="M50" s="1482"/>
      <c r="N50" s="1483"/>
    </row>
    <row r="51" spans="1:14" ht="13.35" customHeight="1">
      <c r="A51" s="24" t="s">
        <v>1739</v>
      </c>
      <c r="B51" s="25">
        <f t="shared" ref="B51:K51" si="20">$B$21*(1+$B$7)^(B43-1)</f>
        <v>-23854.515733358163</v>
      </c>
      <c r="C51" s="25">
        <f t="shared" si="20"/>
        <v>-24570.151205358907</v>
      </c>
      <c r="D51" s="25">
        <f t="shared" si="20"/>
        <v>-25307.255741519672</v>
      </c>
      <c r="E51" s="25">
        <f t="shared" si="20"/>
        <v>-26066.473413765259</v>
      </c>
      <c r="F51" s="25">
        <f t="shared" si="20"/>
        <v>-26848.467616178219</v>
      </c>
      <c r="G51" s="25">
        <f t="shared" si="20"/>
        <v>-27653.921644663569</v>
      </c>
      <c r="H51" s="25">
        <f t="shared" si="20"/>
        <v>-28483.539294003469</v>
      </c>
      <c r="I51" s="25">
        <f t="shared" si="20"/>
        <v>-29338.045472823575</v>
      </c>
      <c r="J51" s="25">
        <f t="shared" si="20"/>
        <v>-30218.186837008281</v>
      </c>
      <c r="K51" s="26">
        <f t="shared" si="20"/>
        <v>-31124.732442118529</v>
      </c>
      <c r="M51" s="1482"/>
      <c r="N51" s="1483"/>
    </row>
    <row r="52" spans="1:14" ht="13.35" customHeight="1">
      <c r="A52" s="24" t="s">
        <v>1740</v>
      </c>
      <c r="B52" s="25">
        <f t="shared" ref="B52:K52" ca="1" si="21">SUM(B44:B51)</f>
        <v>55579.42010313354</v>
      </c>
      <c r="C52" s="25">
        <f t="shared" ca="1" si="21"/>
        <v>57111.833986227459</v>
      </c>
      <c r="D52" s="25">
        <f t="shared" ca="1" si="21"/>
        <v>58690.198205814297</v>
      </c>
      <c r="E52" s="25">
        <f t="shared" ca="1" si="21"/>
        <v>60315.884831988893</v>
      </c>
      <c r="F52" s="25">
        <f t="shared" ca="1" si="21"/>
        <v>61990.393576948431</v>
      </c>
      <c r="G52" s="25">
        <f t="shared" ca="1" si="21"/>
        <v>63715.076864256975</v>
      </c>
      <c r="H52" s="25">
        <f t="shared" ca="1" si="21"/>
        <v>65491.508930184689</v>
      </c>
      <c r="I52" s="25">
        <f t="shared" ca="1" si="21"/>
        <v>67321.302958090178</v>
      </c>
      <c r="J52" s="25">
        <f t="shared" ca="1" si="21"/>
        <v>69205.928246832977</v>
      </c>
      <c r="K52" s="26">
        <f t="shared" ca="1" si="21"/>
        <v>71147.079414237916</v>
      </c>
      <c r="M52" s="1482"/>
      <c r="N52" s="1483"/>
    </row>
    <row r="53" spans="1:14" ht="13.35" customHeight="1">
      <c r="A53" s="24" t="str">
        <f>$A23</f>
        <v>Mortgage A</v>
      </c>
      <c r="B53" s="1591">
        <f>IF('Part III A-Sources of Funds'!$M$32="", 0,-'Part III A-Sources of Funds'!$M$32)</f>
        <v>0</v>
      </c>
      <c r="C53" s="1591">
        <f>IF('Part III A-Sources of Funds'!$M$32="", 0,-'Part III A-Sources of Funds'!$M$32)</f>
        <v>0</v>
      </c>
      <c r="D53" s="1591">
        <f>IF('Part III A-Sources of Funds'!$M$32="", 0,-'Part III A-Sources of Funds'!$M$32)</f>
        <v>0</v>
      </c>
      <c r="E53" s="1591">
        <f>IF('Part III A-Sources of Funds'!$M$32="", 0,-'Part III A-Sources of Funds'!$M$32)</f>
        <v>0</v>
      </c>
      <c r="F53" s="1591">
        <f>IF('Part III A-Sources of Funds'!$M$32="", 0,-'Part III A-Sources of Funds'!$M$32)</f>
        <v>0</v>
      </c>
      <c r="G53" s="1591">
        <f>IF('Part III A-Sources of Funds'!$M$32="", 0,-'Part III A-Sources of Funds'!$M$32)</f>
        <v>0</v>
      </c>
      <c r="H53" s="1591">
        <f>IF('Part III A-Sources of Funds'!$M$32="", 0,-'Part III A-Sources of Funds'!$M$32)</f>
        <v>0</v>
      </c>
      <c r="I53" s="1591">
        <f>IF('Part III A-Sources of Funds'!$M$32="", 0,-'Part III A-Sources of Funds'!$M$32)</f>
        <v>0</v>
      </c>
      <c r="J53" s="1591">
        <f>IF('Part III A-Sources of Funds'!$M$32="", 0,-'Part III A-Sources of Funds'!$M$32)</f>
        <v>0</v>
      </c>
      <c r="K53" s="1591">
        <f>IF('Part III A-Sources of Funds'!$M$32="", 0,-'Part III A-Sources of Funds'!$M$32)</f>
        <v>0</v>
      </c>
      <c r="M53" s="1482"/>
      <c r="N53" s="1483"/>
    </row>
    <row r="54" spans="1:14" ht="13.35" customHeight="1">
      <c r="A54" s="24" t="str">
        <f>$A24</f>
        <v>Mortgage B</v>
      </c>
      <c r="B54" s="1592">
        <f>IF('Part III A-Sources of Funds'!$M$33="", 0,-'Part III A-Sources of Funds'!$M$33)</f>
        <v>0</v>
      </c>
      <c r="C54" s="1592">
        <f>IF('Part III A-Sources of Funds'!$M$33="", 0,-'Part III A-Sources of Funds'!$M$33)</f>
        <v>0</v>
      </c>
      <c r="D54" s="1592">
        <f>IF('Part III A-Sources of Funds'!$M$33="", 0,-'Part III A-Sources of Funds'!$M$33)</f>
        <v>0</v>
      </c>
      <c r="E54" s="1592">
        <f>IF('Part III A-Sources of Funds'!$M$33="", 0,-'Part III A-Sources of Funds'!$M$33)</f>
        <v>0</v>
      </c>
      <c r="F54" s="1592">
        <f>IF('Part III A-Sources of Funds'!$M$33="", 0,-'Part III A-Sources of Funds'!$M$33)</f>
        <v>0</v>
      </c>
      <c r="G54" s="1592">
        <f>IF('Part III A-Sources of Funds'!$M$33="", 0,-'Part III A-Sources of Funds'!$M$33)</f>
        <v>0</v>
      </c>
      <c r="H54" s="1592">
        <f>IF('Part III A-Sources of Funds'!$M$33="", 0,-'Part III A-Sources of Funds'!$M$33)</f>
        <v>0</v>
      </c>
      <c r="I54" s="1592">
        <f>IF('Part III A-Sources of Funds'!$M$33="", 0,-'Part III A-Sources of Funds'!$M$33)</f>
        <v>0</v>
      </c>
      <c r="J54" s="1592">
        <f>IF('Part III A-Sources of Funds'!$M$33="", 0,-'Part III A-Sources of Funds'!$M$33)</f>
        <v>0</v>
      </c>
      <c r="K54" s="1592">
        <f>IF('Part III A-Sources of Funds'!$M$33="", 0,-'Part III A-Sources of Funds'!$M$33)</f>
        <v>0</v>
      </c>
      <c r="M54" s="1482"/>
      <c r="N54" s="1483"/>
    </row>
    <row r="55" spans="1:14" ht="13.35" customHeight="1">
      <c r="A55" s="24" t="str">
        <f>$A25</f>
        <v>Mortgage C</v>
      </c>
      <c r="B55" s="1592">
        <f>IF('Part III A-Sources of Funds'!$M$34="", 0,-'Part III A-Sources of Funds'!$M$34)</f>
        <v>0</v>
      </c>
      <c r="C55" s="1592">
        <f>IF('Part III A-Sources of Funds'!$M$34="", 0,-'Part III A-Sources of Funds'!$M$34)</f>
        <v>0</v>
      </c>
      <c r="D55" s="1592">
        <f>IF('Part III A-Sources of Funds'!$M$34="", 0,-'Part III A-Sources of Funds'!$M$34)</f>
        <v>0</v>
      </c>
      <c r="E55" s="1592">
        <f>IF('Part III A-Sources of Funds'!$M$34="", 0,-'Part III A-Sources of Funds'!$M$34)</f>
        <v>0</v>
      </c>
      <c r="F55" s="1592">
        <f>IF('Part III A-Sources of Funds'!$M$34="", 0,-'Part III A-Sources of Funds'!$M$34)</f>
        <v>0</v>
      </c>
      <c r="G55" s="1592">
        <f>IF('Part III A-Sources of Funds'!$M$34="", 0,-'Part III A-Sources of Funds'!$M$34)</f>
        <v>0</v>
      </c>
      <c r="H55" s="1592">
        <f>IF('Part III A-Sources of Funds'!$M$34="", 0,-'Part III A-Sources of Funds'!$M$34)</f>
        <v>0</v>
      </c>
      <c r="I55" s="1592">
        <f>IF('Part III A-Sources of Funds'!$M$34="", 0,-'Part III A-Sources of Funds'!$M$34)</f>
        <v>0</v>
      </c>
      <c r="J55" s="1592">
        <f>IF('Part III A-Sources of Funds'!$M$34="", 0,-'Part III A-Sources of Funds'!$M$34)</f>
        <v>0</v>
      </c>
      <c r="K55" s="1592">
        <f>IF('Part III A-Sources of Funds'!$M$34="", 0,-'Part III A-Sources of Funds'!$M$34)</f>
        <v>0</v>
      </c>
      <c r="M55" s="1482"/>
      <c r="N55" s="1483"/>
    </row>
    <row r="56" spans="1:14" ht="13.35" customHeight="1">
      <c r="A56" s="24" t="str">
        <f>$A26</f>
        <v>D/S Other Source</v>
      </c>
      <c r="B56" s="1592">
        <f ca="1">IF('Part III A-Sources of Funds'!$M$35="", 0,-'Part III A-Sources of Funds'!$M$35)-K30</f>
        <v>-41193.431826527652</v>
      </c>
      <c r="C56" s="1592">
        <f ca="1">IF('Part III A-Sources of Funds'!$M$35="", 0,-'Part III A-Sources of Funds'!$M$35)-B60</f>
        <v>-23475.789688591354</v>
      </c>
      <c r="D56" s="1592">
        <f ca="1">IF('Part III A-Sources of Funds'!$M$35="", 0,-'Part III A-Sources of Funds'!$M$35)-C60</f>
        <v>-42725.845709621572</v>
      </c>
      <c r="E56" s="1592">
        <f ca="1">IF('Part III A-Sources of Funds'!$M$35="", 0,-'Part III A-Sources of Funds'!$M$35)-D60</f>
        <v>-25054.153908178192</v>
      </c>
      <c r="F56" s="1592">
        <f ca="1">IF('Part III A-Sources of Funds'!$M$35="", 0,-'Part III A-Sources of Funds'!$M$35)-E60</f>
        <v>-44351.532335796161</v>
      </c>
      <c r="G56" s="1592">
        <f ca="1">IF('Part III A-Sources of Funds'!$M$35="", 0,-'Part III A-Sources of Funds'!$M$35)-F60</f>
        <v>-26728.662653137737</v>
      </c>
      <c r="H56" s="1592">
        <f ca="1">IF('Part III A-Sources of Funds'!$M$35="", 0,-'Part III A-Sources of Funds'!$M$35)-G60</f>
        <v>-57896.414211119234</v>
      </c>
      <c r="I56" s="1592">
        <f ca="1">IF('Part III A-Sources of Funds'!$M$35="", 0,-'Part III A-Sources of Funds'!$M$35)-H60</f>
        <v>-28505.094719065455</v>
      </c>
      <c r="J56" s="1592">
        <f ca="1">IF('Part III A-Sources of Funds'!$M$35="", 0,-'Part III A-Sources of Funds'!$M$35)-I60</f>
        <v>-59726.208239024723</v>
      </c>
      <c r="K56" s="1592">
        <f ca="1">IF('Part III A-Sources of Funds'!$M$35="", 0,-'Part III A-Sources of Funds'!$M$35)-J60</f>
        <v>-30389.720007808253</v>
      </c>
      <c r="M56" s="1482"/>
      <c r="N56" s="1483"/>
    </row>
    <row r="57" spans="1:14" ht="13.35" customHeight="1">
      <c r="A57" s="24" t="s">
        <v>1241</v>
      </c>
      <c r="B57" s="1593"/>
      <c r="C57" s="1593"/>
      <c r="D57" s="1593"/>
      <c r="E57" s="1593"/>
      <c r="F57" s="1593"/>
      <c r="G57" s="1593"/>
      <c r="H57" s="1593"/>
      <c r="I57" s="1593"/>
      <c r="J57" s="1593"/>
      <c r="K57" s="1593"/>
      <c r="M57" s="1482"/>
      <c r="N57" s="1483"/>
    </row>
    <row r="58" spans="1:14" ht="13.35" customHeight="1">
      <c r="A58" s="24" t="s">
        <v>1686</v>
      </c>
      <c r="B58" s="1592">
        <f>+K28</f>
        <v>-4500</v>
      </c>
      <c r="C58" s="1592">
        <f t="shared" ref="C58:K58" si="22">+B58</f>
        <v>-4500</v>
      </c>
      <c r="D58" s="1592">
        <f t="shared" si="22"/>
        <v>-4500</v>
      </c>
      <c r="E58" s="1592">
        <f t="shared" si="22"/>
        <v>-4500</v>
      </c>
      <c r="F58" s="1592">
        <f t="shared" si="22"/>
        <v>-4500</v>
      </c>
      <c r="G58" s="1592">
        <f>+F58*0</f>
        <v>0</v>
      </c>
      <c r="H58" s="1592">
        <f t="shared" si="22"/>
        <v>0</v>
      </c>
      <c r="I58" s="1592">
        <f t="shared" si="22"/>
        <v>0</v>
      </c>
      <c r="J58" s="1592">
        <f t="shared" si="22"/>
        <v>0</v>
      </c>
      <c r="K58" s="1592">
        <f t="shared" si="22"/>
        <v>0</v>
      </c>
      <c r="M58" s="1482"/>
      <c r="N58" s="1483"/>
    </row>
    <row r="59" spans="1:14" ht="13.35" customHeight="1">
      <c r="A59" s="24" t="s">
        <v>1741</v>
      </c>
      <c r="B59" s="1594">
        <f>IF('Part III A-Sources of Funds'!$M$37="", 0,-'Part III A-Sources of Funds'!$M$37)</f>
        <v>-7320.198588014533</v>
      </c>
      <c r="C59" s="1594">
        <f>IF('Part III A-Sources of Funds'!$M$37="", 0,-'Part III A-Sources of Funds'!$M$37)</f>
        <v>-7320.198588014533</v>
      </c>
      <c r="D59" s="1594">
        <f>IF('Part III A-Sources of Funds'!$M$37="", 0,-'Part III A-Sources of Funds'!$M$37)</f>
        <v>-7320.198588014533</v>
      </c>
      <c r="E59" s="1594">
        <f>IF('Part III A-Sources of Funds'!$M$37="", 0,-'Part III A-Sources of Funds'!$M$37)</f>
        <v>-7320.198588014533</v>
      </c>
      <c r="F59" s="1594">
        <f>IF(E71=0,0,IF('Part III A-Sources of Funds'!$M$37="", 0,-'Part III A-Sources of Funds'!$M$37))</f>
        <v>-7320.198588014533</v>
      </c>
      <c r="G59" s="1594">
        <f>IF(F71=0,0,IF('Part III A-Sources of Funds'!$M$37="", 0,-'Part III A-Sources of Funds'!$M$37))</f>
        <v>0</v>
      </c>
      <c r="H59" s="1594">
        <f>IF(G71=0,0,IF('Part III A-Sources of Funds'!$M$37="", 0,-'Part III A-Sources of Funds'!$M$37))</f>
        <v>0</v>
      </c>
      <c r="I59" s="1594">
        <f>IF(H71=0,0,IF('Part III A-Sources of Funds'!$M$37="", 0,-'Part III A-Sources of Funds'!$M$37))</f>
        <v>0</v>
      </c>
      <c r="J59" s="1594">
        <f>IF(I71=0,0,IF('Part III A-Sources of Funds'!$M$37="", 0,-'Part III A-Sources of Funds'!$M$37))</f>
        <v>0</v>
      </c>
      <c r="K59" s="1594">
        <f>IF(J71=0,0,IF('Part III A-Sources of Funds'!$M$37="", 0,-'Part III A-Sources of Funds'!$M$37))</f>
        <v>0</v>
      </c>
      <c r="M59" s="1482"/>
      <c r="N59" s="1483"/>
    </row>
    <row r="60" spans="1:14" ht="13.35" customHeight="1">
      <c r="A60" s="24" t="s">
        <v>1687</v>
      </c>
      <c r="B60" s="25">
        <f t="shared" ref="B60:K60" ca="1" si="23">SUM(B52:B59)</f>
        <v>2565.7896885913542</v>
      </c>
      <c r="C60" s="25">
        <f t="shared" ca="1" si="23"/>
        <v>21815.845709621575</v>
      </c>
      <c r="D60" s="25">
        <f t="shared" ca="1" si="23"/>
        <v>4144.1539081781921</v>
      </c>
      <c r="E60" s="25">
        <f t="shared" ca="1" si="23"/>
        <v>23441.532335796164</v>
      </c>
      <c r="F60" s="25">
        <f t="shared" ca="1" si="23"/>
        <v>5818.6626531377369</v>
      </c>
      <c r="G60" s="25">
        <f t="shared" ca="1" si="23"/>
        <v>36986.414211119234</v>
      </c>
      <c r="H60" s="25">
        <f t="shared" ca="1" si="23"/>
        <v>7595.0947190654551</v>
      </c>
      <c r="I60" s="25">
        <f t="shared" ca="1" si="23"/>
        <v>38816.208239024723</v>
      </c>
      <c r="J60" s="25">
        <f t="shared" ca="1" si="23"/>
        <v>9479.7200078082533</v>
      </c>
      <c r="K60" s="23">
        <f t="shared" ca="1" si="23"/>
        <v>40757.359406429663</v>
      </c>
      <c r="M60" s="1482"/>
      <c r="N60" s="1483"/>
    </row>
    <row r="61" spans="1:14" ht="13.3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2"/>
      <c r="N61" s="1483"/>
    </row>
    <row r="62" spans="1:14" ht="13.3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2"/>
      <c r="N62" s="1483"/>
    </row>
    <row r="63" spans="1:14" ht="13.3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2"/>
      <c r="N63" s="1483"/>
    </row>
    <row r="64" spans="1:14" ht="13.35" customHeight="1">
      <c r="A64" s="24" t="str">
        <f>$A34</f>
        <v>DCR Other Source</v>
      </c>
      <c r="B64" s="27">
        <f ca="1">IF(OR(B56=0,AND(B53=0,B54=0,B55=0,B56=0)),"",-B52/(B53+B54+B55+B56))</f>
        <v>1.3492301475921613</v>
      </c>
      <c r="C64" s="27">
        <f t="shared" ref="C64:K64" ca="1" si="27">IF(OR(C56=0,AND(C53=0,C54=0,C55=0,C56=0)),"",-C52/(C53+C54+C55+C56))</f>
        <v>2.4327971388320275</v>
      </c>
      <c r="D64" s="27">
        <f t="shared" ca="1" si="27"/>
        <v>1.3736462609702693</v>
      </c>
      <c r="E64" s="27">
        <f t="shared" ca="1" si="27"/>
        <v>2.407420544036035</v>
      </c>
      <c r="F64" s="27">
        <f t="shared" ca="1" si="27"/>
        <v>1.397705790807952</v>
      </c>
      <c r="G64" s="27">
        <f t="shared" ca="1" si="27"/>
        <v>2.3837734678722251</v>
      </c>
      <c r="H64" s="27">
        <f t="shared" ca="1" si="27"/>
        <v>1.1311841989275873</v>
      </c>
      <c r="I64" s="27">
        <f t="shared" ca="1" si="27"/>
        <v>2.3617287934518858</v>
      </c>
      <c r="J64" s="27">
        <f t="shared" ca="1" si="27"/>
        <v>1.1587196021195645</v>
      </c>
      <c r="K64" s="28">
        <f t="shared" ca="1" si="27"/>
        <v>2.3411561342440002</v>
      </c>
      <c r="M64" s="1482"/>
      <c r="N64" s="1483"/>
    </row>
    <row r="65" spans="1:14" ht="13.35" customHeight="1">
      <c r="A65" s="24" t="s">
        <v>1250</v>
      </c>
      <c r="B65" s="378">
        <f ca="1">IF(OR(B50="Choose mgt fee",B50="Choose One!"),"",(B44+B45+B46+B47+B48) / -(B49+B50+B51))</f>
        <v>1.1001050254518181</v>
      </c>
      <c r="C65" s="378">
        <f t="shared" ref="C65:K65" ca="1" si="28">IF(OR(C50="Choose mgt fee",C50="Choose One!"),"",(C44+C45+C46+C47+C48) / -(C49+C50+C51))</f>
        <v>1.0998689520709044</v>
      </c>
      <c r="D65" s="378">
        <f t="shared" ca="1" si="28"/>
        <v>1.0996397579951198</v>
      </c>
      <c r="E65" s="378">
        <f t="shared" ca="1" si="28"/>
        <v>1.0994172433393501</v>
      </c>
      <c r="F65" s="378">
        <f t="shared" ca="1" si="28"/>
        <v>1.0992012030922327</v>
      </c>
      <c r="G65" s="378">
        <f t="shared" ca="1" si="28"/>
        <v>1.0989914626801727</v>
      </c>
      <c r="H65" s="378">
        <f t="shared" ca="1" si="28"/>
        <v>1.0987878300973648</v>
      </c>
      <c r="I65" s="378">
        <f t="shared" ca="1" si="28"/>
        <v>1.098590121193064</v>
      </c>
      <c r="J65" s="378">
        <f t="shared" ca="1" si="28"/>
        <v>1.0983981772801517</v>
      </c>
      <c r="K65" s="379">
        <f t="shared" ca="1" si="28"/>
        <v>1.0982118250887909</v>
      </c>
      <c r="M65" s="1482"/>
      <c r="N65" s="1483"/>
    </row>
    <row r="66" spans="1:14" ht="13.35" customHeight="1">
      <c r="A66" s="678" t="s">
        <v>3665</v>
      </c>
      <c r="B66" s="1595" t="str">
        <f>IF('Part III A-Sources of Funds'!$H$32="","",-FV('Part III A-Sources of Funds'!$J$32/12,12,B53/12,K36))</f>
        <v/>
      </c>
      <c r="C66" s="1595" t="str">
        <f>IF('Part III A-Sources of Funds'!$H$32="","",-FV('Part III A-Sources of Funds'!$J$32/12,12,C53/12,B66))</f>
        <v/>
      </c>
      <c r="D66" s="1595" t="str">
        <f>IF('Part III A-Sources of Funds'!$H$32="","",-FV('Part III A-Sources of Funds'!$J$32/12,12,D53/12,C66))</f>
        <v/>
      </c>
      <c r="E66" s="1595" t="str">
        <f>IF('Part III A-Sources of Funds'!$H$32="","",-FV('Part III A-Sources of Funds'!$J$32/12,12,E53/12,D66))</f>
        <v/>
      </c>
      <c r="F66" s="1595" t="str">
        <f>IF('Part III A-Sources of Funds'!$H$32="","",-FV('Part III A-Sources of Funds'!$J$32/12,12,F53/12,E66))</f>
        <v/>
      </c>
      <c r="G66" s="1595" t="str">
        <f>IF('Part III A-Sources of Funds'!$H$32="","",-FV('Part III A-Sources of Funds'!$J$32/12,12,G53/12,F66))</f>
        <v/>
      </c>
      <c r="H66" s="1595" t="str">
        <f>IF('Part III A-Sources of Funds'!$H$32="","",-FV('Part III A-Sources of Funds'!$J$32/12,12,H53/12,G66))</f>
        <v/>
      </c>
      <c r="I66" s="1595" t="str">
        <f>IF('Part III A-Sources of Funds'!$H$32="","",-FV('Part III A-Sources of Funds'!$J$32/12,12,I53/12,H66))</f>
        <v/>
      </c>
      <c r="J66" s="1595" t="str">
        <f>IF('Part III A-Sources of Funds'!$H$32="","",-FV('Part III A-Sources of Funds'!$J$32/12,12,J53/12,I66))</f>
        <v/>
      </c>
      <c r="K66" s="1595" t="str">
        <f>IF('Part III A-Sources of Funds'!$H$32="","",-FV('Part III A-Sources of Funds'!$J$32/12,12,K53/12,J66))</f>
        <v/>
      </c>
      <c r="M66" s="1482"/>
      <c r="N66" s="1483"/>
    </row>
    <row r="67" spans="1:14" ht="13.35" customHeight="1">
      <c r="A67" s="678" t="s">
        <v>3666</v>
      </c>
      <c r="B67" s="1592" t="str">
        <f>IF('Part III A-Sources of Funds'!$H$33="","",-FV('Part III A-Sources of Funds'!$J$33/12,12,B54/12,K37))</f>
        <v/>
      </c>
      <c r="C67" s="1592" t="str">
        <f>IF('Part III A-Sources of Funds'!$H$33="","",-FV('Part III A-Sources of Funds'!$J$33/12,12,C54/12,B67))</f>
        <v/>
      </c>
      <c r="D67" s="1592" t="str">
        <f>IF('Part III A-Sources of Funds'!$H$33="","",-FV('Part III A-Sources of Funds'!$J$33/12,12,D54/12,C67))</f>
        <v/>
      </c>
      <c r="E67" s="1592" t="str">
        <f>IF('Part III A-Sources of Funds'!$H$33="","",-FV('Part III A-Sources of Funds'!$J$33/12,12,E54/12,D67))</f>
        <v/>
      </c>
      <c r="F67" s="1592" t="str">
        <f>IF('Part III A-Sources of Funds'!$H$33="","",-FV('Part III A-Sources of Funds'!$J$33/12,12,F54/12,E67))</f>
        <v/>
      </c>
      <c r="G67" s="1592" t="str">
        <f>IF('Part III A-Sources of Funds'!$H$33="","",-FV('Part III A-Sources of Funds'!$J$33/12,12,G54/12,F67))</f>
        <v/>
      </c>
      <c r="H67" s="1592" t="str">
        <f>IF('Part III A-Sources of Funds'!$H$33="","",-FV('Part III A-Sources of Funds'!$J$33/12,12,H54/12,G67))</f>
        <v/>
      </c>
      <c r="I67" s="1592" t="str">
        <f>IF('Part III A-Sources of Funds'!$H$33="","",-FV('Part III A-Sources of Funds'!$J$33/12,12,I54/12,H67))</f>
        <v/>
      </c>
      <c r="J67" s="1592" t="str">
        <f>IF('Part III A-Sources of Funds'!$H$33="","",-FV('Part III A-Sources of Funds'!$J$33/12,12,J54/12,I67))</f>
        <v/>
      </c>
      <c r="K67" s="1592" t="str">
        <f>IF('Part III A-Sources of Funds'!$H$33="","",-FV('Part III A-Sources of Funds'!$J$33/12,12,K54/12,J67))</f>
        <v/>
      </c>
      <c r="M67" s="1482"/>
      <c r="N67" s="1483"/>
    </row>
    <row r="68" spans="1:14" ht="13.35" customHeight="1">
      <c r="A68" s="678" t="s">
        <v>3667</v>
      </c>
      <c r="B68" s="1592" t="str">
        <f>IF('Part III A-Sources of Funds'!$H$34="","",-FV('Part III A-Sources of Funds'!$J$34/12,12,B55/12,K38))</f>
        <v/>
      </c>
      <c r="C68" s="1592" t="str">
        <f>IF('Part III A-Sources of Funds'!$H$34="","",-FV('Part III A-Sources of Funds'!$J$34/12,12,C55/12,B68))</f>
        <v/>
      </c>
      <c r="D68" s="1592" t="str">
        <f>IF('Part III A-Sources of Funds'!$H$34="","",-FV('Part III A-Sources of Funds'!$J$34/12,12,D55/12,C68))</f>
        <v/>
      </c>
      <c r="E68" s="1592" t="str">
        <f>IF('Part III A-Sources of Funds'!$H$34="","",-FV('Part III A-Sources of Funds'!$J$34/12,12,E55/12,D68))</f>
        <v/>
      </c>
      <c r="F68" s="1592" t="str">
        <f>IF('Part III A-Sources of Funds'!$H$34="","",-FV('Part III A-Sources of Funds'!$J$34/12,12,F55/12,E68))</f>
        <v/>
      </c>
      <c r="G68" s="1592" t="str">
        <f>IF('Part III A-Sources of Funds'!$H$34="","",-FV('Part III A-Sources of Funds'!$J$34/12,12,G55/12,F68))</f>
        <v/>
      </c>
      <c r="H68" s="1592" t="str">
        <f>IF('Part III A-Sources of Funds'!$H$34="","",-FV('Part III A-Sources of Funds'!$J$34/12,12,H55/12,G68))</f>
        <v/>
      </c>
      <c r="I68" s="1592" t="str">
        <f>IF('Part III A-Sources of Funds'!$H$34="","",-FV('Part III A-Sources of Funds'!$J$34/12,12,I55/12,H68))</f>
        <v/>
      </c>
      <c r="J68" s="1592" t="str">
        <f>IF('Part III A-Sources of Funds'!$H$34="","",-FV('Part III A-Sources of Funds'!$J$34/12,12,J55/12,I68))</f>
        <v/>
      </c>
      <c r="K68" s="1592" t="str">
        <f>IF('Part III A-Sources of Funds'!$H$34="","",-FV('Part III A-Sources of Funds'!$J$34/12,12,K55/12,J68))</f>
        <v/>
      </c>
      <c r="M68" s="1482"/>
      <c r="N68" s="1483"/>
    </row>
    <row r="69" spans="1:14" ht="13.35" customHeight="1">
      <c r="A69" s="24" t="s">
        <v>1268</v>
      </c>
      <c r="B69" s="1592">
        <f ca="1">IF('Part III A-Sources of Funds'!$H$35="","",-FV('Part III A-Sources of Funds'!$J$35/12,12,B56/12,K39))-K30</f>
        <v>754579.53516285063</v>
      </c>
      <c r="C69" s="1592">
        <f ca="1">IF('Part III A-Sources of Funds'!$H$35="","",-FV('Part III A-Sources of Funds'!$J$35/12,12,C56/12,B69))-B60</f>
        <v>732265.63823003508</v>
      </c>
      <c r="D69" s="1592">
        <f ca="1">IF('Part III A-Sources of Funds'!$H$35="","",-FV('Part III A-Sources of Funds'!$J$35/12,12,D56/12,C69))-C60</f>
        <v>671295.627695353</v>
      </c>
      <c r="E69" s="1592">
        <f ca="1">IF('Part III A-Sources of Funds'!$H$35="","",-FV('Part III A-Sources of Funds'!$J$35/12,12,E56/12,D69))-D60</f>
        <v>645404.00505148876</v>
      </c>
      <c r="F69" s="1592">
        <f ca="1">IF('Part III A-Sources of Funds'!$H$35="","",-FV('Part III A-Sources of Funds'!$J$35/12,12,F56/12,E69))-E60</f>
        <v>580743.58571431856</v>
      </c>
      <c r="G69" s="1592">
        <f ca="1">IF('Part III A-Sources of Funds'!$H$35="","",-FV('Part III A-Sources of Funds'!$J$35/12,12,G56/12,F69))-F60</f>
        <v>551045.30360210186</v>
      </c>
      <c r="H69" s="1592">
        <f ca="1">IF('Part III A-Sources of Funds'!$H$35="","",-FV('Part III A-Sources of Funds'!$J$35/12,12,H56/12,G69))-G60</f>
        <v>458791.1608041721</v>
      </c>
      <c r="I69" s="1592">
        <f ca="1">IF('Part III A-Sources of Funds'!$H$35="","",-FV('Part III A-Sources of Funds'!$J$35/12,12,I56/12,H69))-H60</f>
        <v>424924.77647179068</v>
      </c>
      <c r="J69" s="1592">
        <f ca="1">IF('Part III A-Sources of Funds'!$H$35="","",-FV('Part III A-Sources of Funds'!$J$35/12,12,J56/12,I69))-I60</f>
        <v>328374.79673490726</v>
      </c>
      <c r="K69" s="1592">
        <f ca="1">IF('Part III A-Sources of Funds'!$H$35="","",-FV('Part III A-Sources of Funds'!$J$35/12,12,K56/12,J69))-J60</f>
        <v>290081.25863598444</v>
      </c>
      <c r="M69" s="1482"/>
      <c r="N69" s="1483"/>
    </row>
    <row r="70" spans="1:14" ht="13.35" customHeight="1">
      <c r="A70" s="678" t="s">
        <v>3650</v>
      </c>
      <c r="B70" s="1592">
        <f>'Part III A-Sources of Funds'!$H$36</f>
        <v>0</v>
      </c>
      <c r="C70" s="1592">
        <f>B70</f>
        <v>0</v>
      </c>
      <c r="D70" s="1592">
        <f t="shared" ref="D70:K70" si="29">C70</f>
        <v>0</v>
      </c>
      <c r="E70" s="1592">
        <f t="shared" si="29"/>
        <v>0</v>
      </c>
      <c r="F70" s="1592">
        <f t="shared" si="29"/>
        <v>0</v>
      </c>
      <c r="G70" s="1592">
        <f t="shared" si="29"/>
        <v>0</v>
      </c>
      <c r="H70" s="1592">
        <f t="shared" si="29"/>
        <v>0</v>
      </c>
      <c r="I70" s="1592">
        <f t="shared" si="29"/>
        <v>0</v>
      </c>
      <c r="J70" s="1592">
        <f t="shared" si="29"/>
        <v>0</v>
      </c>
      <c r="K70" s="1592">
        <f t="shared" si="29"/>
        <v>0</v>
      </c>
      <c r="M70" s="1482"/>
      <c r="N70" s="1483"/>
    </row>
    <row r="71" spans="1:14" ht="13.35" customHeight="1">
      <c r="A71" s="29" t="s">
        <v>1776</v>
      </c>
      <c r="B71" s="1594">
        <f>IF('Part III A-Sources of Funds'!$H$37="","",-FV('Part III A-Sources of Funds'!$J$37/12,12,B59/12,K41))</f>
        <v>27775.521215034121</v>
      </c>
      <c r="C71" s="1594">
        <f>IF('Part III A-Sources of Funds'!$H$37="","",-FV('Part III A-Sources of Funds'!$J$37/12,12,C59/12,B71))</f>
        <v>21100.793159797307</v>
      </c>
      <c r="D71" s="1594">
        <f>IF('Part III A-Sources of Funds'!$H$37="","",-FV('Part III A-Sources of Funds'!$J$37/12,12,D59/12,C71))</f>
        <v>14249.755527243105</v>
      </c>
      <c r="E71" s="1594">
        <f>INT(IF('Part III A-Sources of Funds'!$H$37="","",-FV('Part III A-Sources of Funds'!$J$37/12,12,E59/12,D71)))</f>
        <v>7217</v>
      </c>
      <c r="F71" s="1594">
        <f>INT(IF('Part III A-Sources of Funds'!$H$37="","",-FV('Part III A-Sources of Funds'!$J$37/12,12,F59/12,E71)))*0</f>
        <v>0</v>
      </c>
      <c r="G71" s="1594">
        <f>INT(IF('Part III A-Sources of Funds'!$H$37="","",-FV('Part III A-Sources of Funds'!$J$37/12,12,G59/12,F71)))</f>
        <v>0</v>
      </c>
      <c r="H71" s="1594">
        <f>IF('Part III A-Sources of Funds'!$H$37="","",MAX(0,-FV('Part III A-Sources of Funds'!$J$37/12,12,H59/12,G71)))</f>
        <v>0</v>
      </c>
      <c r="I71" s="1594">
        <f>IF('Part III A-Sources of Funds'!$H$37="","",MAX(0,-FV('Part III A-Sources of Funds'!$J$37/12,12,I59/12,H71)))</f>
        <v>0</v>
      </c>
      <c r="J71" s="1594">
        <f>IF('Part III A-Sources of Funds'!$H$37="","",MAX(0,-FV('Part III A-Sources of Funds'!$J$37/12,12,J59/12,I71)))</f>
        <v>0</v>
      </c>
      <c r="K71" s="1594">
        <f>IF('Part III A-Sources of Funds'!$H$37="","",MAX(0,-FV('Part III A-Sources of Funds'!$J$37/12,12,K59/12,J71)))</f>
        <v>0</v>
      </c>
      <c r="M71" s="1485"/>
      <c r="N71" s="1486"/>
    </row>
    <row r="72" spans="1:14" ht="4.3499999999999996"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4" t="s">
        <v>3672</v>
      </c>
      <c r="N73" s="974"/>
    </row>
    <row r="74" spans="1:14" ht="13.35" customHeight="1">
      <c r="A74" s="21" t="s">
        <v>3384</v>
      </c>
      <c r="B74" s="22">
        <f t="shared" ref="B74:K74" si="31">$B$14*(1+$B$5)^(B73-1)</f>
        <v>0</v>
      </c>
      <c r="C74" s="22">
        <f t="shared" si="31"/>
        <v>0</v>
      </c>
      <c r="D74" s="22">
        <f t="shared" si="31"/>
        <v>0</v>
      </c>
      <c r="E74" s="22">
        <f t="shared" si="31"/>
        <v>0</v>
      </c>
      <c r="F74" s="22">
        <f t="shared" si="31"/>
        <v>0</v>
      </c>
      <c r="G74" s="22">
        <f t="shared" si="31"/>
        <v>0</v>
      </c>
      <c r="H74" s="22">
        <f t="shared" si="31"/>
        <v>0</v>
      </c>
      <c r="I74" s="22">
        <f t="shared" si="31"/>
        <v>0</v>
      </c>
      <c r="J74" s="22">
        <f t="shared" si="31"/>
        <v>0</v>
      </c>
      <c r="K74" s="23">
        <f t="shared" si="31"/>
        <v>0</v>
      </c>
      <c r="M74" s="1480"/>
      <c r="N74" s="1481"/>
    </row>
    <row r="75" spans="1:14" ht="13.35" customHeight="1">
      <c r="A75" s="24" t="s">
        <v>1519</v>
      </c>
      <c r="B75" s="25">
        <f t="shared" ref="B75:K75" si="32">$B$15*(1+$B$5)^(B73-1)</f>
        <v>0</v>
      </c>
      <c r="C75" s="25">
        <f t="shared" si="32"/>
        <v>0</v>
      </c>
      <c r="D75" s="25">
        <f t="shared" si="32"/>
        <v>0</v>
      </c>
      <c r="E75" s="25">
        <f t="shared" si="32"/>
        <v>0</v>
      </c>
      <c r="F75" s="25">
        <f t="shared" si="32"/>
        <v>0</v>
      </c>
      <c r="G75" s="25">
        <f t="shared" si="32"/>
        <v>0</v>
      </c>
      <c r="H75" s="25">
        <f t="shared" si="32"/>
        <v>0</v>
      </c>
      <c r="I75" s="25">
        <f t="shared" si="32"/>
        <v>0</v>
      </c>
      <c r="J75" s="25">
        <f t="shared" si="32"/>
        <v>0</v>
      </c>
      <c r="K75" s="26">
        <f t="shared" si="32"/>
        <v>0</v>
      </c>
      <c r="M75" s="1482"/>
      <c r="N75" s="1483"/>
    </row>
    <row r="76" spans="1:14" ht="13.35" customHeight="1">
      <c r="A76" s="24" t="s">
        <v>3385</v>
      </c>
      <c r="B76" s="25">
        <f t="shared" ref="B76:K76" si="33">-(B74+B75)*$B$8</f>
        <v>0</v>
      </c>
      <c r="C76" s="25">
        <f t="shared" si="33"/>
        <v>0</v>
      </c>
      <c r="D76" s="25">
        <f t="shared" si="33"/>
        <v>0</v>
      </c>
      <c r="E76" s="25">
        <f t="shared" si="33"/>
        <v>0</v>
      </c>
      <c r="F76" s="25">
        <f t="shared" si="33"/>
        <v>0</v>
      </c>
      <c r="G76" s="25">
        <f t="shared" si="33"/>
        <v>0</v>
      </c>
      <c r="H76" s="25">
        <f t="shared" si="33"/>
        <v>0</v>
      </c>
      <c r="I76" s="25">
        <f t="shared" si="33"/>
        <v>0</v>
      </c>
      <c r="J76" s="25">
        <f t="shared" si="33"/>
        <v>0</v>
      </c>
      <c r="K76" s="26">
        <f t="shared" si="33"/>
        <v>0</v>
      </c>
      <c r="M76" s="1482"/>
      <c r="N76" s="1483"/>
    </row>
    <row r="77" spans="1:14" ht="13.35" customHeight="1">
      <c r="A77" s="24" t="s">
        <v>58</v>
      </c>
      <c r="B77" s="25">
        <f ca="1">'Part VI-Revenues &amp; Expenses'!G131</f>
        <v>819304.03316563193</v>
      </c>
      <c r="C77" s="25">
        <f ca="1">'Part VI-Revenues &amp; Expenses'!H131</f>
        <v>843747.81564060075</v>
      </c>
      <c r="D77" s="25">
        <f ca="1">'Part VI-Revenues &amp; Expenses'!I131</f>
        <v>868925.97082981863</v>
      </c>
      <c r="E77" s="25">
        <f ca="1">'Part VI-Revenues &amp; Expenses'!J131</f>
        <v>894858.54247471341</v>
      </c>
      <c r="F77" s="25">
        <f ca="1">'Part VI-Revenues &amp; Expenses'!K131</f>
        <v>921569.41886895464</v>
      </c>
      <c r="G77" s="25">
        <f ca="1">'Part VI-Revenues &amp; Expenses'!L131</f>
        <v>949080.88991502335</v>
      </c>
      <c r="H77" s="25">
        <f ca="1">'Part VI-Revenues &amp; Expenses'!M131</f>
        <v>977419.12469247403</v>
      </c>
      <c r="I77" s="25">
        <f ca="1">'Part VI-Revenues &amp; Expenses'!N131</f>
        <v>1006606.5455532483</v>
      </c>
      <c r="J77" s="25">
        <f ca="1">'Part VI-Revenues &amp; Expenses'!O131</f>
        <v>1036669.4907598457</v>
      </c>
      <c r="K77" s="26">
        <f ca="1">'Part VI-Revenues &amp; Expenses'!P131</f>
        <v>1067634.957682641</v>
      </c>
      <c r="M77" s="1482"/>
      <c r="N77" s="1483"/>
    </row>
    <row r="78" spans="1:14" ht="13.3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82"/>
      <c r="N78" s="1483"/>
    </row>
    <row r="79" spans="1:14" ht="13.35" customHeight="1">
      <c r="A79" s="24" t="s">
        <v>871</v>
      </c>
      <c r="B79" s="25">
        <f t="shared" ref="B79:K79" si="34">$B$19*(1+$B$6)^(B73-1)</f>
        <v>-610722.06511358474</v>
      </c>
      <c r="C79" s="25">
        <f t="shared" si="34"/>
        <v>-629043.7270669922</v>
      </c>
      <c r="D79" s="25">
        <f t="shared" si="34"/>
        <v>-647915.03887900198</v>
      </c>
      <c r="E79" s="25">
        <f t="shared" si="34"/>
        <v>-667352.49004537216</v>
      </c>
      <c r="F79" s="25">
        <f t="shared" si="34"/>
        <v>-687373.06474673317</v>
      </c>
      <c r="G79" s="25">
        <f t="shared" si="34"/>
        <v>-707994.25668913522</v>
      </c>
      <c r="H79" s="25">
        <f t="shared" si="34"/>
        <v>-729234.08438980929</v>
      </c>
      <c r="I79" s="25">
        <f t="shared" si="34"/>
        <v>-751111.10692150355</v>
      </c>
      <c r="J79" s="25">
        <f t="shared" si="34"/>
        <v>-773644.44012914866</v>
      </c>
      <c r="K79" s="26">
        <f t="shared" si="34"/>
        <v>-796853.77333302307</v>
      </c>
      <c r="M79" s="1482"/>
      <c r="N79" s="1483"/>
    </row>
    <row r="80" spans="1:14" ht="13.35" customHeight="1">
      <c r="A80" s="24" t="s">
        <v>1628</v>
      </c>
      <c r="B80" s="25">
        <f>IF(AND('Part VII-Pro Forma'!$G$8="Yes",'Part VII-Pro Forma'!$G$9="Yes"),"Choose One!",IF('Part VII-Pro Forma'!$G$8="Yes",ROUND((-$K$8*(1+'Part VII-Pro Forma'!$B$6)^('Part VII-Pro Forma'!B73-1)),),IF('Part VII-Pro Forma'!$G$9="Yes",ROUND((-(SUM(B74:B77)*'Part VII-Pro Forma'!$K$9)),),"Choose mgt fee")))</f>
        <v>-103377</v>
      </c>
      <c r="C80" s="25">
        <f>IF(AND('Part VII-Pro Forma'!$G$8="Yes",'Part VII-Pro Forma'!$G$9="Yes"),"Choose One!",IF('Part VII-Pro Forma'!$G$8="Yes",ROUND((-$K$8*(1+'Part VII-Pro Forma'!$B$6)^('Part VII-Pro Forma'!C73-1)),),IF('Part VII-Pro Forma'!$G$9="Yes",ROUND((-(SUM(C74:C77)*'Part VII-Pro Forma'!$K$9)),),"Choose mgt fee")))</f>
        <v>-106478</v>
      </c>
      <c r="D80" s="25">
        <f>IF(AND('Part VII-Pro Forma'!$G$8="Yes",'Part VII-Pro Forma'!$G$9="Yes"),"Choose One!",IF('Part VII-Pro Forma'!$G$8="Yes",ROUND((-$K$8*(1+'Part VII-Pro Forma'!$B$6)^('Part VII-Pro Forma'!D73-1)),),IF('Part VII-Pro Forma'!$G$9="Yes",ROUND((-(SUM(D74:D77)*'Part VII-Pro Forma'!$K$9)),),"Choose mgt fee")))</f>
        <v>-109673</v>
      </c>
      <c r="E80" s="25">
        <f>IF(AND('Part VII-Pro Forma'!$G$8="Yes",'Part VII-Pro Forma'!$G$9="Yes"),"Choose One!",IF('Part VII-Pro Forma'!$G$8="Yes",ROUND((-$K$8*(1+'Part VII-Pro Forma'!$B$6)^('Part VII-Pro Forma'!E73-1)),),IF('Part VII-Pro Forma'!$G$9="Yes",ROUND((-(SUM(E74:E77)*'Part VII-Pro Forma'!$K$9)),),"Choose mgt fee")))</f>
        <v>-112963</v>
      </c>
      <c r="F80" s="25">
        <f>IF(AND('Part VII-Pro Forma'!$G$8="Yes",'Part VII-Pro Forma'!$G$9="Yes"),"Choose One!",IF('Part VII-Pro Forma'!$G$8="Yes",ROUND((-$K$8*(1+'Part VII-Pro Forma'!$B$6)^('Part VII-Pro Forma'!F73-1)),),IF('Part VII-Pro Forma'!$G$9="Yes",ROUND((-(SUM(F74:F77)*'Part VII-Pro Forma'!$K$9)),),"Choose mgt fee")))</f>
        <v>-116352</v>
      </c>
      <c r="G80" s="25">
        <f>IF(AND('Part VII-Pro Forma'!$G$8="Yes",'Part VII-Pro Forma'!$G$9="Yes"),"Choose One!",IF('Part VII-Pro Forma'!$G$8="Yes",ROUND((-$K$8*(1+'Part VII-Pro Forma'!$B$6)^('Part VII-Pro Forma'!G73-1)),),IF('Part VII-Pro Forma'!$G$9="Yes",ROUND((-(SUM(G74:G77)*'Part VII-Pro Forma'!$K$9)),),"Choose mgt fee")))</f>
        <v>-119842</v>
      </c>
      <c r="H80" s="25">
        <f>IF(AND('Part VII-Pro Forma'!$G$8="Yes",'Part VII-Pro Forma'!$G$9="Yes"),"Choose One!",IF('Part VII-Pro Forma'!$G$8="Yes",ROUND((-$K$8*(1+'Part VII-Pro Forma'!$B$6)^('Part VII-Pro Forma'!H73-1)),),IF('Part VII-Pro Forma'!$G$9="Yes",ROUND((-(SUM(H74:H77)*'Part VII-Pro Forma'!$K$9)),),"Choose mgt fee")))</f>
        <v>-123438</v>
      </c>
      <c r="I80" s="25">
        <f>IF(AND('Part VII-Pro Forma'!$G$8="Yes",'Part VII-Pro Forma'!$G$9="Yes"),"Choose One!",IF('Part VII-Pro Forma'!$G$8="Yes",ROUND((-$K$8*(1+'Part VII-Pro Forma'!$B$6)^('Part VII-Pro Forma'!I73-1)),),IF('Part VII-Pro Forma'!$G$9="Yes",ROUND((-(SUM(I74:I77)*'Part VII-Pro Forma'!$K$9)),),"Choose mgt fee")))</f>
        <v>-127141</v>
      </c>
      <c r="J80" s="25">
        <f>IF(AND('Part VII-Pro Forma'!$G$8="Yes",'Part VII-Pro Forma'!$G$9="Yes"),"Choose One!",IF('Part VII-Pro Forma'!$G$8="Yes",ROUND((-$K$8*(1+'Part VII-Pro Forma'!$B$6)^('Part VII-Pro Forma'!J73-1)),),IF('Part VII-Pro Forma'!$G$9="Yes",ROUND((-(SUM(J74:J77)*'Part VII-Pro Forma'!$K$9)),),"Choose mgt fee")))</f>
        <v>-130955</v>
      </c>
      <c r="K80" s="25">
        <f>IF(AND('Part VII-Pro Forma'!$G$8="Yes",'Part VII-Pro Forma'!$G$9="Yes"),"Choose One!",IF('Part VII-Pro Forma'!$G$8="Yes",ROUND((-$K$8*(1+'Part VII-Pro Forma'!$B$6)^('Part VII-Pro Forma'!K73-1)),),IF('Part VII-Pro Forma'!$G$9="Yes",ROUND((-(SUM(K74:K77)*'Part VII-Pro Forma'!$K$9)),),"Choose mgt fee")))</f>
        <v>-134884</v>
      </c>
      <c r="M80" s="1482"/>
      <c r="N80" s="1483"/>
    </row>
    <row r="81" spans="1:14" ht="13.35" customHeight="1">
      <c r="A81" s="24" t="s">
        <v>1739</v>
      </c>
      <c r="B81" s="25">
        <f t="shared" ref="B81:K81" si="35">$B$21*(1+$B$7)^(B73-1)</f>
        <v>-32058.474415382087</v>
      </c>
      <c r="C81" s="25">
        <f t="shared" si="35"/>
        <v>-33020.228647843542</v>
      </c>
      <c r="D81" s="25">
        <f t="shared" si="35"/>
        <v>-34010.835507278854</v>
      </c>
      <c r="E81" s="25">
        <f t="shared" si="35"/>
        <v>-35031.160572497218</v>
      </c>
      <c r="F81" s="25">
        <f t="shared" si="35"/>
        <v>-36082.095389672133</v>
      </c>
      <c r="G81" s="25">
        <f t="shared" si="35"/>
        <v>-37164.558251362294</v>
      </c>
      <c r="H81" s="25">
        <f t="shared" si="35"/>
        <v>-38279.494998903167</v>
      </c>
      <c r="I81" s="25">
        <f t="shared" si="35"/>
        <v>-39427.87984887026</v>
      </c>
      <c r="J81" s="25">
        <f t="shared" si="35"/>
        <v>-40610.71624433637</v>
      </c>
      <c r="K81" s="26">
        <f t="shared" si="35"/>
        <v>-41829.037731666453</v>
      </c>
      <c r="M81" s="1482"/>
      <c r="N81" s="1483"/>
    </row>
    <row r="82" spans="1:14" ht="13.35" customHeight="1">
      <c r="A82" s="24" t="s">
        <v>1740</v>
      </c>
      <c r="B82" s="25">
        <f t="shared" ref="B82:K82" ca="1" si="36">SUM(B74:B81)</f>
        <v>73146.493636665109</v>
      </c>
      <c r="C82" s="25">
        <f t="shared" ca="1" si="36"/>
        <v>75205.859925765006</v>
      </c>
      <c r="D82" s="25">
        <f t="shared" ca="1" si="36"/>
        <v>77327.096443537797</v>
      </c>
      <c r="E82" s="25">
        <f t="shared" ca="1" si="36"/>
        <v>79511.891856844028</v>
      </c>
      <c r="F82" s="25">
        <f t="shared" ca="1" si="36"/>
        <v>81762.258732549337</v>
      </c>
      <c r="G82" s="25">
        <f t="shared" ca="1" si="36"/>
        <v>84080.074974525836</v>
      </c>
      <c r="H82" s="25">
        <f t="shared" ca="1" si="36"/>
        <v>86467.545303761581</v>
      </c>
      <c r="I82" s="25">
        <f t="shared" ca="1" si="36"/>
        <v>88926.558782874446</v>
      </c>
      <c r="J82" s="25">
        <f t="shared" ca="1" si="36"/>
        <v>91459.334386360686</v>
      </c>
      <c r="K82" s="26">
        <f t="shared" ca="1" si="36"/>
        <v>94068.146617951468</v>
      </c>
      <c r="M82" s="1482"/>
      <c r="N82" s="1483"/>
    </row>
    <row r="83" spans="1:14" ht="13.35" customHeight="1">
      <c r="A83" s="24" t="str">
        <f>$A53</f>
        <v>Mortgage A</v>
      </c>
      <c r="B83" s="1591">
        <f>IF('Part III A-Sources of Funds'!$M$32="", 0,-'Part III A-Sources of Funds'!$M$32)</f>
        <v>0</v>
      </c>
      <c r="C83" s="1591">
        <f>IF('Part III A-Sources of Funds'!$M$32="", 0,-'Part III A-Sources of Funds'!$M$32)</f>
        <v>0</v>
      </c>
      <c r="D83" s="1591">
        <f>IF('Part III A-Sources of Funds'!$M$32="", 0,-'Part III A-Sources of Funds'!$M$32)</f>
        <v>0</v>
      </c>
      <c r="E83" s="1591">
        <f>IF('Part III A-Sources of Funds'!$M$32="", 0,-'Part III A-Sources of Funds'!$M$32)</f>
        <v>0</v>
      </c>
      <c r="F83" s="1591">
        <f>IF('Part III A-Sources of Funds'!$M$32="", 0,-'Part III A-Sources of Funds'!$M$32)</f>
        <v>0</v>
      </c>
      <c r="G83" s="1591">
        <f>IF('Part III A-Sources of Funds'!$M$32="", 0,-'Part III A-Sources of Funds'!$M$32)</f>
        <v>0</v>
      </c>
      <c r="H83" s="1591">
        <f>IF('Part III A-Sources of Funds'!$M$32="", 0,-'Part III A-Sources of Funds'!$M$32)</f>
        <v>0</v>
      </c>
      <c r="I83" s="1591">
        <f>IF('Part III A-Sources of Funds'!$M$32="", 0,-'Part III A-Sources of Funds'!$M$32)</f>
        <v>0</v>
      </c>
      <c r="J83" s="1591">
        <f>IF('Part III A-Sources of Funds'!$M$32="", 0,-'Part III A-Sources of Funds'!$M$32)</f>
        <v>0</v>
      </c>
      <c r="K83" s="1591">
        <f>IF('Part III A-Sources of Funds'!$M$32="", 0,-'Part III A-Sources of Funds'!$M$32)</f>
        <v>0</v>
      </c>
      <c r="M83" s="1482"/>
      <c r="N83" s="1483"/>
    </row>
    <row r="84" spans="1:14" ht="13.35" customHeight="1">
      <c r="A84" s="24" t="str">
        <f>$A54</f>
        <v>Mortgage B</v>
      </c>
      <c r="B84" s="1592">
        <f>IF('Part III A-Sources of Funds'!$M$33="", 0,-'Part III A-Sources of Funds'!$M$33)</f>
        <v>0</v>
      </c>
      <c r="C84" s="1592">
        <f>IF('Part III A-Sources of Funds'!$M$33="", 0,-'Part III A-Sources of Funds'!$M$33)</f>
        <v>0</v>
      </c>
      <c r="D84" s="1592">
        <f>IF('Part III A-Sources of Funds'!$M$33="", 0,-'Part III A-Sources of Funds'!$M$33)</f>
        <v>0</v>
      </c>
      <c r="E84" s="1592">
        <f>IF('Part III A-Sources of Funds'!$M$33="", 0,-'Part III A-Sources of Funds'!$M$33)</f>
        <v>0</v>
      </c>
      <c r="F84" s="1592">
        <f>IF('Part III A-Sources of Funds'!$M$33="", 0,-'Part III A-Sources of Funds'!$M$33)</f>
        <v>0</v>
      </c>
      <c r="G84" s="1592">
        <f>IF('Part III A-Sources of Funds'!$M$33="", 0,-'Part III A-Sources of Funds'!$M$33)</f>
        <v>0</v>
      </c>
      <c r="H84" s="1592">
        <f>IF('Part III A-Sources of Funds'!$M$33="", 0,-'Part III A-Sources of Funds'!$M$33)</f>
        <v>0</v>
      </c>
      <c r="I84" s="1592">
        <f>IF('Part III A-Sources of Funds'!$M$33="", 0,-'Part III A-Sources of Funds'!$M$33)</f>
        <v>0</v>
      </c>
      <c r="J84" s="1592">
        <f>IF('Part III A-Sources of Funds'!$M$33="", 0,-'Part III A-Sources of Funds'!$M$33)</f>
        <v>0</v>
      </c>
      <c r="K84" s="1592">
        <f>IF('Part III A-Sources of Funds'!$M$33="", 0,-'Part III A-Sources of Funds'!$M$33)</f>
        <v>0</v>
      </c>
      <c r="M84" s="1482"/>
      <c r="N84" s="1483"/>
    </row>
    <row r="85" spans="1:14" ht="13.35" customHeight="1">
      <c r="A85" s="24" t="str">
        <f>$A55</f>
        <v>Mortgage C</v>
      </c>
      <c r="B85" s="1592">
        <f>IF('Part III A-Sources of Funds'!$M$34="", 0,-'Part III A-Sources of Funds'!$M$34)</f>
        <v>0</v>
      </c>
      <c r="C85" s="1592">
        <f>IF('Part III A-Sources of Funds'!$M$34="", 0,-'Part III A-Sources of Funds'!$M$34)</f>
        <v>0</v>
      </c>
      <c r="D85" s="1592">
        <f>IF('Part III A-Sources of Funds'!$M$34="", 0,-'Part III A-Sources of Funds'!$M$34)</f>
        <v>0</v>
      </c>
      <c r="E85" s="1592">
        <f>IF('Part III A-Sources of Funds'!$M$34="", 0,-'Part III A-Sources of Funds'!$M$34)</f>
        <v>0</v>
      </c>
      <c r="F85" s="1592">
        <f>IF('Part III A-Sources of Funds'!$M$34="", 0,-'Part III A-Sources of Funds'!$M$34)</f>
        <v>0</v>
      </c>
      <c r="G85" s="1592">
        <f>IF('Part III A-Sources of Funds'!$M$34="", 0,-'Part III A-Sources of Funds'!$M$34)</f>
        <v>0</v>
      </c>
      <c r="H85" s="1592">
        <f>IF('Part III A-Sources of Funds'!$M$34="", 0,-'Part III A-Sources of Funds'!$M$34)</f>
        <v>0</v>
      </c>
      <c r="I85" s="1592">
        <f>IF('Part III A-Sources of Funds'!$M$34="", 0,-'Part III A-Sources of Funds'!$M$34)</f>
        <v>0</v>
      </c>
      <c r="J85" s="1592">
        <f>IF('Part III A-Sources of Funds'!$M$34="", 0,-'Part III A-Sources of Funds'!$M$34)</f>
        <v>0</v>
      </c>
      <c r="K85" s="1592">
        <f>IF('Part III A-Sources of Funds'!$M$34="", 0,-'Part III A-Sources of Funds'!$M$34)</f>
        <v>0</v>
      </c>
      <c r="M85" s="1482"/>
      <c r="N85" s="1483"/>
    </row>
    <row r="86" spans="1:14" ht="13.35" customHeight="1">
      <c r="A86" s="24" t="str">
        <f>$A56</f>
        <v>D/S Other Source</v>
      </c>
      <c r="B86" s="1592">
        <f>IF('Part III A-Sources of Funds'!$M$35="", 0,-'Part III A-Sources of Funds'!$M$35)</f>
        <v>-20910</v>
      </c>
      <c r="C86" s="1592">
        <f>IF('Part III A-Sources of Funds'!$M$35="", 0,-'Part III A-Sources of Funds'!$M$35)</f>
        <v>-20910</v>
      </c>
      <c r="D86" s="1592">
        <f>IF('Part III A-Sources of Funds'!$M$35="", 0,-'Part III A-Sources of Funds'!$M$35)</f>
        <v>-20910</v>
      </c>
      <c r="E86" s="1592">
        <f>IF('Part III A-Sources of Funds'!$M$35="", 0,-'Part III A-Sources of Funds'!$M$35)</f>
        <v>-20910</v>
      </c>
      <c r="F86" s="1592">
        <f>IF('Part III A-Sources of Funds'!$M$35="", 0,-'Part III A-Sources of Funds'!$M$35)*0</f>
        <v>0</v>
      </c>
      <c r="G86" s="1592">
        <f>IF('Part III A-Sources of Funds'!$M$35="", 0,-'Part III A-Sources of Funds'!$M$35)*0</f>
        <v>0</v>
      </c>
      <c r="H86" s="1592">
        <f>IF('Part III A-Sources of Funds'!$M$35="", 0,-'Part III A-Sources of Funds'!$M$35)*0</f>
        <v>0</v>
      </c>
      <c r="I86" s="1592">
        <f>IF('Part III A-Sources of Funds'!$M$35="", 0,-'Part III A-Sources of Funds'!$M$35)*0</f>
        <v>0</v>
      </c>
      <c r="J86" s="1592">
        <f>IF('Part III A-Sources of Funds'!$M$35="", 0,-'Part III A-Sources of Funds'!$M$35)*0</f>
        <v>0</v>
      </c>
      <c r="K86" s="1592">
        <f>IF('Part III A-Sources of Funds'!$M$35="", 0,-'Part III A-Sources of Funds'!$M$35)*0</f>
        <v>0</v>
      </c>
      <c r="M86" s="1482"/>
      <c r="N86" s="1483"/>
    </row>
    <row r="87" spans="1:14" ht="13.35" customHeight="1">
      <c r="A87" s="24" t="s">
        <v>1241</v>
      </c>
      <c r="B87" s="1593"/>
      <c r="C87" s="1593"/>
      <c r="D87" s="1593"/>
      <c r="E87" s="1593"/>
      <c r="F87" s="1593"/>
      <c r="G87" s="1593"/>
      <c r="H87" s="1593"/>
      <c r="I87" s="1593"/>
      <c r="J87" s="1593"/>
      <c r="K87" s="1593"/>
      <c r="M87" s="1482"/>
      <c r="N87" s="1483"/>
    </row>
    <row r="88" spans="1:14" ht="13.35" customHeight="1">
      <c r="A88" s="24" t="s">
        <v>1686</v>
      </c>
      <c r="B88" s="1592">
        <f>+K58</f>
        <v>0</v>
      </c>
      <c r="C88" s="1592">
        <f t="shared" ref="C88:K88" si="37">+B88</f>
        <v>0</v>
      </c>
      <c r="D88" s="1592">
        <f t="shared" si="37"/>
        <v>0</v>
      </c>
      <c r="E88" s="1592">
        <f t="shared" si="37"/>
        <v>0</v>
      </c>
      <c r="F88" s="1592">
        <f t="shared" si="37"/>
        <v>0</v>
      </c>
      <c r="G88" s="1592">
        <f t="shared" si="37"/>
        <v>0</v>
      </c>
      <c r="H88" s="1592">
        <f t="shared" si="37"/>
        <v>0</v>
      </c>
      <c r="I88" s="1592">
        <f t="shared" si="37"/>
        <v>0</v>
      </c>
      <c r="J88" s="1592">
        <f t="shared" si="37"/>
        <v>0</v>
      </c>
      <c r="K88" s="1592">
        <f t="shared" si="37"/>
        <v>0</v>
      </c>
      <c r="M88" s="1482"/>
      <c r="N88" s="1483"/>
    </row>
    <row r="89" spans="1:14" ht="13.35" customHeight="1">
      <c r="A89" s="24" t="s">
        <v>1741</v>
      </c>
      <c r="B89" s="1594">
        <f>IF('Part III A-Sources of Funds'!$M$37="", 0,MAX(0,-'Part III A-Sources of Funds'!$M$37))</f>
        <v>0</v>
      </c>
      <c r="C89" s="1594">
        <f>IF('Part III A-Sources of Funds'!$M$37="", 0,MAX(0,-'Part III A-Sources of Funds'!$M$37))</f>
        <v>0</v>
      </c>
      <c r="D89" s="1594">
        <f>IF('Part III A-Sources of Funds'!$M$37="", 0,MAX(0,-'Part III A-Sources of Funds'!$M$37))</f>
        <v>0</v>
      </c>
      <c r="E89" s="1594">
        <f>IF('Part III A-Sources of Funds'!$M$37="", 0,MAX(0,-'Part III A-Sources of Funds'!$M$37))</f>
        <v>0</v>
      </c>
      <c r="F89" s="1594">
        <f>IF('Part III A-Sources of Funds'!$M$37="", 0,MAX(0,-'Part III A-Sources of Funds'!$M$37))</f>
        <v>0</v>
      </c>
      <c r="G89" s="1594">
        <f>IF('Part III A-Sources of Funds'!$M$37="", 0,MAX(0,-'Part III A-Sources of Funds'!$M$37))</f>
        <v>0</v>
      </c>
      <c r="H89" s="1594">
        <f>IF('Part III A-Sources of Funds'!$M$37="", 0,MAX(0,-'Part III A-Sources of Funds'!$M$37))</f>
        <v>0</v>
      </c>
      <c r="I89" s="1594">
        <f>IF('Part III A-Sources of Funds'!$M$37="", 0,MAX(0,-'Part III A-Sources of Funds'!$M$37))</f>
        <v>0</v>
      </c>
      <c r="J89" s="1594">
        <f>IF('Part III A-Sources of Funds'!$M$37="", 0,MAX(0,-'Part III A-Sources of Funds'!$M$37))</f>
        <v>0</v>
      </c>
      <c r="K89" s="1594">
        <f>IF('Part III A-Sources of Funds'!$M$37="", 0,MAX(0,-'Part III A-Sources of Funds'!$M$37))</f>
        <v>0</v>
      </c>
      <c r="M89" s="1482"/>
      <c r="N89" s="1483"/>
    </row>
    <row r="90" spans="1:14" ht="13.35" customHeight="1">
      <c r="A90" s="24" t="s">
        <v>1687</v>
      </c>
      <c r="B90" s="25">
        <f t="shared" ref="B90:K90" ca="1" si="38">SUM(B82:B89)</f>
        <v>52236.493636665109</v>
      </c>
      <c r="C90" s="25">
        <f t="shared" ca="1" si="38"/>
        <v>54295.859925765006</v>
      </c>
      <c r="D90" s="25">
        <f t="shared" ca="1" si="38"/>
        <v>56417.096443537797</v>
      </c>
      <c r="E90" s="25">
        <f t="shared" ca="1" si="38"/>
        <v>58601.891856844028</v>
      </c>
      <c r="F90" s="25">
        <f t="shared" ca="1" si="38"/>
        <v>81762.258732549337</v>
      </c>
      <c r="G90" s="25">
        <f t="shared" ca="1" si="38"/>
        <v>84080.074974525836</v>
      </c>
      <c r="H90" s="25">
        <f t="shared" ca="1" si="38"/>
        <v>86467.545303761581</v>
      </c>
      <c r="I90" s="25">
        <f t="shared" ca="1" si="38"/>
        <v>88926.558782874446</v>
      </c>
      <c r="J90" s="25">
        <f t="shared" ca="1" si="38"/>
        <v>91459.334386360686</v>
      </c>
      <c r="K90" s="23">
        <f t="shared" ca="1" si="38"/>
        <v>94068.146617951468</v>
      </c>
      <c r="M90" s="1482"/>
      <c r="N90" s="1483"/>
    </row>
    <row r="91" spans="1:14" ht="13.3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2"/>
      <c r="N91" s="1483"/>
    </row>
    <row r="92" spans="1:14" ht="13.3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2"/>
      <c r="N92" s="1483"/>
    </row>
    <row r="93" spans="1:14" ht="13.3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82"/>
      <c r="N93" s="1483"/>
    </row>
    <row r="94" spans="1:14" ht="13.35" customHeight="1">
      <c r="A94" s="24" t="str">
        <f>$A64</f>
        <v>DCR Other Source</v>
      </c>
      <c r="B94" s="27">
        <f ca="1">IF(OR(B86=0,AND(B83=0,B84=0,B85=0,B86=0)),"",-B82/(B83+B84+B85+B86))</f>
        <v>3.4981584713852274</v>
      </c>
      <c r="C94" s="27">
        <f t="shared" ref="C94:K94" ca="1" si="42">IF(OR(C86=0,AND(C83=0,C84=0,C85=0,C86=0)),"",-C82/(C83+C84+C85+C86))</f>
        <v>3.596645620553085</v>
      </c>
      <c r="D94" s="27">
        <f t="shared" ca="1" si="42"/>
        <v>3.6980916520104161</v>
      </c>
      <c r="E94" s="27">
        <f t="shared" ca="1" si="42"/>
        <v>3.8025773245740808</v>
      </c>
      <c r="F94" s="27" t="str">
        <f t="shared" si="42"/>
        <v/>
      </c>
      <c r="G94" s="27" t="str">
        <f t="shared" si="42"/>
        <v/>
      </c>
      <c r="H94" s="27" t="str">
        <f t="shared" si="42"/>
        <v/>
      </c>
      <c r="I94" s="27" t="str">
        <f t="shared" si="42"/>
        <v/>
      </c>
      <c r="J94" s="27" t="str">
        <f t="shared" si="42"/>
        <v/>
      </c>
      <c r="K94" s="28" t="str">
        <f t="shared" si="42"/>
        <v/>
      </c>
      <c r="M94" s="1482"/>
      <c r="N94" s="1483"/>
    </row>
    <row r="95" spans="1:14" ht="13.35" customHeight="1">
      <c r="A95" s="24" t="s">
        <v>1250</v>
      </c>
      <c r="B95" s="378">
        <f ca="1">IF(OR(B80="Choose mgt fee",B80="Choose One!"),"",(B74+B75+B76+B77+B78) / -(B79+B80+B81))</f>
        <v>1.0980308979828051</v>
      </c>
      <c r="C95" s="378">
        <f t="shared" ref="C95:K95" ca="1" si="43">IF(OR(C80="Choose mgt fee",C80="Choose One!"),"",(C74+C75+C76+C77+C78) / -(C79+C80+C81))</f>
        <v>1.0978552431217818</v>
      </c>
      <c r="D95" s="378">
        <f t="shared" ca="1" si="43"/>
        <v>1.09768469732033</v>
      </c>
      <c r="E95" s="378">
        <f t="shared" ca="1" si="43"/>
        <v>1.0975191248980909</v>
      </c>
      <c r="F95" s="378">
        <f t="shared" ca="1" si="43"/>
        <v>1.097358372985614</v>
      </c>
      <c r="G95" s="378">
        <f t="shared" ca="1" si="43"/>
        <v>1.0972023072374903</v>
      </c>
      <c r="H95" s="378">
        <f t="shared" ca="1" si="43"/>
        <v>1.0970507795306761</v>
      </c>
      <c r="I95" s="378">
        <f t="shared" ca="1" si="43"/>
        <v>1.0969036701953554</v>
      </c>
      <c r="J95" s="378">
        <f t="shared" ca="1" si="43"/>
        <v>1.0967608460083262</v>
      </c>
      <c r="K95" s="379">
        <f t="shared" ca="1" si="43"/>
        <v>1.096622178928921</v>
      </c>
      <c r="M95" s="1482"/>
      <c r="N95" s="1483"/>
    </row>
    <row r="96" spans="1:14" ht="13.35" customHeight="1">
      <c r="A96" s="678" t="s">
        <v>3665</v>
      </c>
      <c r="B96" s="1595" t="str">
        <f>IF('Part III A-Sources of Funds'!$H$32="","",-FV('Part III A-Sources of Funds'!$J$32/12,12,B83/12,K66))</f>
        <v/>
      </c>
      <c r="C96" s="1595" t="str">
        <f>IF('Part III A-Sources of Funds'!$H$32="","",-FV('Part III A-Sources of Funds'!$J$32/12,12,C83/12,B96))</f>
        <v/>
      </c>
      <c r="D96" s="1595" t="str">
        <f>IF('Part III A-Sources of Funds'!$H$32="","",-FV('Part III A-Sources of Funds'!$J$32/12,12,D83/12,C96))</f>
        <v/>
      </c>
      <c r="E96" s="1595" t="str">
        <f>IF('Part III A-Sources of Funds'!$H$32="","",-FV('Part III A-Sources of Funds'!$J$32/12,12,E83/12,D96))</f>
        <v/>
      </c>
      <c r="F96" s="1595" t="str">
        <f>IF('Part III A-Sources of Funds'!$H$32="","",-FV('Part III A-Sources of Funds'!$J$32/12,12,F83/12,E96))</f>
        <v/>
      </c>
      <c r="G96" s="1595" t="str">
        <f>IF('Part III A-Sources of Funds'!$H$32="","",-FV('Part III A-Sources of Funds'!$J$32/12,12,G83/12,F96))</f>
        <v/>
      </c>
      <c r="H96" s="1595" t="str">
        <f>IF('Part III A-Sources of Funds'!$H$32="","",-FV('Part III A-Sources of Funds'!$J$32/12,12,H83/12,G96))</f>
        <v/>
      </c>
      <c r="I96" s="1595" t="str">
        <f>IF('Part III A-Sources of Funds'!$H$32="","",-FV('Part III A-Sources of Funds'!$J$32/12,12,I83/12,H96))</f>
        <v/>
      </c>
      <c r="J96" s="1595" t="str">
        <f>IF('Part III A-Sources of Funds'!$H$32="","",-FV('Part III A-Sources of Funds'!$J$32/12,12,J83/12,I96))</f>
        <v/>
      </c>
      <c r="K96" s="1595" t="str">
        <f>IF('Part III A-Sources of Funds'!$H$32="","",-FV('Part III A-Sources of Funds'!$J$32/12,12,K83/12,J96))</f>
        <v/>
      </c>
      <c r="M96" s="1482"/>
      <c r="N96" s="1483"/>
    </row>
    <row r="97" spans="1:14" ht="13.35" customHeight="1">
      <c r="A97" s="678" t="s">
        <v>3666</v>
      </c>
      <c r="B97" s="1592" t="str">
        <f>IF('Part III A-Sources of Funds'!$H$33="","",-FV('Part III A-Sources of Funds'!$J$33/12,12,B84/12,K67))</f>
        <v/>
      </c>
      <c r="C97" s="1592" t="str">
        <f>IF('Part III A-Sources of Funds'!$H$33="","",-FV('Part III A-Sources of Funds'!$J$33/12,12,C84/12,B97))</f>
        <v/>
      </c>
      <c r="D97" s="1592" t="str">
        <f>IF('Part III A-Sources of Funds'!$H$33="","",-FV('Part III A-Sources of Funds'!$J$33/12,12,D84/12,C97))</f>
        <v/>
      </c>
      <c r="E97" s="1592" t="str">
        <f>IF('Part III A-Sources of Funds'!$H$33="","",-FV('Part III A-Sources of Funds'!$J$33/12,12,E84/12,D97))</f>
        <v/>
      </c>
      <c r="F97" s="1592" t="str">
        <f>IF('Part III A-Sources of Funds'!$H$33="","",-FV('Part III A-Sources of Funds'!$J$33/12,12,F84/12,E97))</f>
        <v/>
      </c>
      <c r="G97" s="1592" t="str">
        <f>IF('Part III A-Sources of Funds'!$H$33="","",-FV('Part III A-Sources of Funds'!$J$33/12,12,G84/12,F97))</f>
        <v/>
      </c>
      <c r="H97" s="1592" t="str">
        <f>IF('Part III A-Sources of Funds'!$H$33="","",-FV('Part III A-Sources of Funds'!$J$33/12,12,H84/12,G97))</f>
        <v/>
      </c>
      <c r="I97" s="1592" t="str">
        <f>IF('Part III A-Sources of Funds'!$H$33="","",-FV('Part III A-Sources of Funds'!$J$33/12,12,I84/12,H97))</f>
        <v/>
      </c>
      <c r="J97" s="1592" t="str">
        <f>IF('Part III A-Sources of Funds'!$H$33="","",-FV('Part III A-Sources of Funds'!$J$33/12,12,J84/12,I97))</f>
        <v/>
      </c>
      <c r="K97" s="1592" t="str">
        <f>IF('Part III A-Sources of Funds'!$H$33="","",-FV('Part III A-Sources of Funds'!$J$33/12,12,K84/12,J97))</f>
        <v/>
      </c>
      <c r="M97" s="1482"/>
      <c r="N97" s="1483"/>
    </row>
    <row r="98" spans="1:14" ht="13.35" customHeight="1">
      <c r="A98" s="678" t="s">
        <v>3667</v>
      </c>
      <c r="B98" s="1592" t="str">
        <f>IF('Part III A-Sources of Funds'!$H$34="","",-FV('Part III A-Sources of Funds'!$J$34/12,12,B85/12,K68))</f>
        <v/>
      </c>
      <c r="C98" s="1592" t="str">
        <f>IF('Part III A-Sources of Funds'!$H$34="","",-FV('Part III A-Sources of Funds'!$J$34/12,12,C85/12,B98))</f>
        <v/>
      </c>
      <c r="D98" s="1592" t="str">
        <f>IF('Part III A-Sources of Funds'!$H$34="","",-FV('Part III A-Sources of Funds'!$J$34/12,12,D85/12,C98))</f>
        <v/>
      </c>
      <c r="E98" s="1592" t="str">
        <f>IF('Part III A-Sources of Funds'!$H$34="","",-FV('Part III A-Sources of Funds'!$J$34/12,12,E85/12,D98))</f>
        <v/>
      </c>
      <c r="F98" s="1592" t="str">
        <f>IF('Part III A-Sources of Funds'!$H$34="","",-FV('Part III A-Sources of Funds'!$J$34/12,12,F85/12,E98))</f>
        <v/>
      </c>
      <c r="G98" s="1592" t="str">
        <f>IF('Part III A-Sources of Funds'!$H$34="","",-FV('Part III A-Sources of Funds'!$J$34/12,12,G85/12,F98))</f>
        <v/>
      </c>
      <c r="H98" s="1592" t="str">
        <f>IF('Part III A-Sources of Funds'!$H$34="","",-FV('Part III A-Sources of Funds'!$J$34/12,12,H85/12,G98))</f>
        <v/>
      </c>
      <c r="I98" s="1592" t="str">
        <f>IF('Part III A-Sources of Funds'!$H$34="","",-FV('Part III A-Sources of Funds'!$J$34/12,12,I85/12,H98))</f>
        <v/>
      </c>
      <c r="J98" s="1592" t="str">
        <f>IF('Part III A-Sources of Funds'!$H$34="","",-FV('Part III A-Sources of Funds'!$J$34/12,12,J85/12,I98))</f>
        <v/>
      </c>
      <c r="K98" s="1592" t="str">
        <f>IF('Part III A-Sources of Funds'!$H$34="","",-FV('Part III A-Sources of Funds'!$J$34/12,12,K85/12,J98))</f>
        <v/>
      </c>
      <c r="M98" s="1482"/>
      <c r="N98" s="1483"/>
    </row>
    <row r="99" spans="1:14" ht="13.35" customHeight="1">
      <c r="A99" s="24" t="s">
        <v>1268</v>
      </c>
      <c r="B99" s="1592">
        <f ca="1">IF('Part III A-Sources of Funds'!$H$35="","",-FV('Part III A-Sources of Funds'!$J$35/12,12,B86/12,K69))-K90</f>
        <v>176508.86141349719</v>
      </c>
      <c r="C99" s="1592">
        <f ca="1">IF('Part III A-Sources of Funds'!$H$35="","",-FV('Part III A-Sources of Funds'!$J$35/12,12,C86/12,B99))-B90</f>
        <v>104198.95202667225</v>
      </c>
      <c r="D99" s="1592">
        <f ca="1">IF('Part III A-Sources of Funds'!$H$35="","",-FV('Part III A-Sources of Funds'!$J$35/12,12,D86/12,C99))-C90</f>
        <v>29467.297100923301</v>
      </c>
      <c r="E99" s="1592">
        <f ca="1">IF('Part III A-Sources of Funds'!$H$35="","",-FV('Part III A-Sources of Funds'!$J$35/12,12,E86/12,D99))*0</f>
        <v>0</v>
      </c>
      <c r="F99" s="1592">
        <f ca="1">IF('Part III A-Sources of Funds'!$H$35="","",-FV('Part III A-Sources of Funds'!$J$35/12,12,F86/12,E99))*0</f>
        <v>0</v>
      </c>
      <c r="G99" s="1592">
        <f ca="1">IF('Part III A-Sources of Funds'!$H$35="","",-FV('Part III A-Sources of Funds'!$J$35/12,12,G86/12,F99))*0</f>
        <v>0</v>
      </c>
      <c r="H99" s="1592">
        <f ca="1">IF('Part III A-Sources of Funds'!$H$35="","",-FV('Part III A-Sources of Funds'!$J$35/12,12,H86/12,G99))*0</f>
        <v>0</v>
      </c>
      <c r="I99" s="1592">
        <f ca="1">IF('Part III A-Sources of Funds'!$H$35="","",-FV('Part III A-Sources of Funds'!$J$35/12,12,I86/12,H99))*0</f>
        <v>0</v>
      </c>
      <c r="J99" s="1592">
        <f ca="1">IF('Part III A-Sources of Funds'!$H$35="","",-FV('Part III A-Sources of Funds'!$J$35/12,12,J86/12,I99))*0</f>
        <v>0</v>
      </c>
      <c r="K99" s="1592">
        <f ca="1">IF('Part III A-Sources of Funds'!$H$35="","",-FV('Part III A-Sources of Funds'!$J$35/12,12,K86/12,J99))*0</f>
        <v>0</v>
      </c>
      <c r="M99" s="1482"/>
      <c r="N99" s="1483"/>
    </row>
    <row r="100" spans="1:14" ht="13.35" customHeight="1">
      <c r="A100" s="678" t="s">
        <v>3650</v>
      </c>
      <c r="B100" s="1592">
        <f>'Part III A-Sources of Funds'!$H$36</f>
        <v>0</v>
      </c>
      <c r="C100" s="1592">
        <f>B100</f>
        <v>0</v>
      </c>
      <c r="D100" s="1592">
        <f t="shared" ref="D100:K100" si="44">C100</f>
        <v>0</v>
      </c>
      <c r="E100" s="1592">
        <f t="shared" si="44"/>
        <v>0</v>
      </c>
      <c r="F100" s="1592">
        <f t="shared" si="44"/>
        <v>0</v>
      </c>
      <c r="G100" s="1592">
        <f t="shared" si="44"/>
        <v>0</v>
      </c>
      <c r="H100" s="1592">
        <f t="shared" si="44"/>
        <v>0</v>
      </c>
      <c r="I100" s="1592">
        <f t="shared" si="44"/>
        <v>0</v>
      </c>
      <c r="J100" s="1592">
        <f t="shared" si="44"/>
        <v>0</v>
      </c>
      <c r="K100" s="1592">
        <f t="shared" si="44"/>
        <v>0</v>
      </c>
      <c r="M100" s="1482"/>
      <c r="N100" s="1483"/>
    </row>
    <row r="101" spans="1:14" ht="13.35" customHeight="1">
      <c r="A101" s="29" t="s">
        <v>1776</v>
      </c>
      <c r="B101" s="1594">
        <f>IF('Part III A-Sources of Funds'!$H$37="","",-FV('Part III A-Sources of Funds'!$J$37/12,12,B89/12,K71))</f>
        <v>0</v>
      </c>
      <c r="C101" s="1594">
        <f>IF('Part III A-Sources of Funds'!$H$37="","",-FV('Part III A-Sources of Funds'!$J$37/12,12,C89/12,B101))</f>
        <v>0</v>
      </c>
      <c r="D101" s="1594">
        <f>IF('Part III A-Sources of Funds'!$H$37="","",-FV('Part III A-Sources of Funds'!$J$37/12,12,D89/12,C101))</f>
        <v>0</v>
      </c>
      <c r="E101" s="1594">
        <f>IF('Part III A-Sources of Funds'!$H$37="","",-FV('Part III A-Sources of Funds'!$J$37/12,12,E89/12,D101))</f>
        <v>0</v>
      </c>
      <c r="F101" s="1594">
        <f>IF('Part III A-Sources of Funds'!$H$37="","",-FV('Part III A-Sources of Funds'!$J$37/12,12,F89/12,E101))</f>
        <v>0</v>
      </c>
      <c r="G101" s="1594">
        <f>IF('Part III A-Sources of Funds'!$H$37="","",-FV('Part III A-Sources of Funds'!$J$37/12,12,G89/12,F101))</f>
        <v>0</v>
      </c>
      <c r="H101" s="1594">
        <f>IF('Part III A-Sources of Funds'!$H$37="","",-FV('Part III A-Sources of Funds'!$J$37/12,12,H89/12,G101))</f>
        <v>0</v>
      </c>
      <c r="I101" s="1594">
        <f>IF('Part III A-Sources of Funds'!$H$37="","",-FV('Part III A-Sources of Funds'!$J$37/12,12,I89/12,H101))</f>
        <v>0</v>
      </c>
      <c r="J101" s="1594">
        <f>IF('Part III A-Sources of Funds'!$H$37="","",-FV('Part III A-Sources of Funds'!$J$37/12,12,J89/12,I101))</f>
        <v>0</v>
      </c>
      <c r="K101" s="1594">
        <f>IF('Part III A-Sources of Funds'!$H$37="","",-FV('Part III A-Sources of Funds'!$J$37/12,12,K89/12,J101))</f>
        <v>0</v>
      </c>
      <c r="M101" s="1485"/>
      <c r="N101" s="1486"/>
    </row>
    <row r="102" spans="1:14" ht="4.3499999999999996" customHeight="1">
      <c r="B102" s="20"/>
      <c r="C102" s="20"/>
      <c r="D102" s="20"/>
      <c r="E102" s="20"/>
      <c r="F102" s="20"/>
      <c r="G102" s="20"/>
      <c r="H102" s="20"/>
      <c r="I102" s="20"/>
      <c r="J102" s="20"/>
      <c r="K102" s="20"/>
    </row>
    <row r="103" spans="1:14" ht="4.3499999999999996" customHeight="1"/>
    <row r="104" spans="1:14" ht="12" customHeight="1">
      <c r="A104" s="16" t="s">
        <v>814</v>
      </c>
      <c r="B104" s="16"/>
      <c r="G104" s="16" t="s">
        <v>1540</v>
      </c>
    </row>
    <row r="105" spans="1:14" ht="12" customHeight="1">
      <c r="B105" s="35"/>
    </row>
    <row r="106" spans="1:14" ht="231" customHeight="1">
      <c r="A106" s="1366" t="s">
        <v>4135</v>
      </c>
      <c r="B106" s="1596"/>
      <c r="C106" s="1596"/>
      <c r="D106" s="1596"/>
      <c r="E106" s="1596"/>
      <c r="F106" s="1597"/>
      <c r="G106" s="1369"/>
      <c r="H106" s="1596"/>
      <c r="I106" s="1596"/>
      <c r="J106" s="1596"/>
      <c r="K106" s="1597"/>
      <c r="M106" s="987" t="s">
        <v>3964</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3.xml><?xml version="1.0" encoding="utf-8"?>
<worksheet xmlns="http://schemas.openxmlformats.org/spreadsheetml/2006/main" xmlns:r="http://schemas.openxmlformats.org/officeDocument/2006/relationships">
  <sheetPr codeName="Sheet12" enableFormatConditionsCalculation="0">
    <pageSetUpPr fitToPage="1"/>
  </sheetPr>
  <dimension ref="A1:IV700"/>
  <sheetViews>
    <sheetView workbookViewId="0">
      <selection sqref="A1:XFD1048576"/>
    </sheetView>
  </sheetViews>
  <sheetFormatPr defaultColWidth="9.140625" defaultRowHeight="12.75"/>
  <cols>
    <col min="1" max="1" width="3" style="43" customWidth="1"/>
    <col min="2" max="2" width="2.42578125" style="43" customWidth="1"/>
    <col min="3" max="3" width="2.28515625" style="43" customWidth="1"/>
    <col min="4" max="10" width="8.85546875" style="43" customWidth="1"/>
    <col min="11" max="11" width="7.42578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4.1" customHeight="1">
      <c r="A1" s="993" t="str">
        <f>CONCATENATE("PART EIGHT - THRESHOLD CRITERIA","  -  ",'Part I-Project Information'!$O$4," ",'Part I-Project Information'!$F$22,", ",'Part I-Project Information'!F24,", ",'Part I-Project Information'!J25," County")</f>
        <v>PART EIGHT - THRESHOLD CRITERIA  -  2012-059 Allen Wilson - Phase III, Decatur, DeKalb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48"/>
      <c r="B4" s="1149"/>
      <c r="C4" s="1149"/>
      <c r="D4" s="1149"/>
      <c r="E4" s="848"/>
      <c r="F4" s="848"/>
      <c r="G4" s="848"/>
      <c r="H4" s="848"/>
      <c r="I4" s="848"/>
      <c r="J4" s="848"/>
      <c r="K4" s="848"/>
      <c r="L4" s="848"/>
      <c r="M4" s="848"/>
      <c r="N4" s="848"/>
      <c r="P4" s="848"/>
      <c r="Q4" s="848"/>
    </row>
    <row r="5" spans="1:32" ht="11.1"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2913</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2900</v>
      </c>
      <c r="B15" s="1141"/>
      <c r="C15" s="1141"/>
      <c r="D15" s="1141"/>
      <c r="E15" s="1141"/>
      <c r="F15" s="1141"/>
      <c r="G15" s="1141"/>
      <c r="H15" s="1141"/>
      <c r="I15" s="1141"/>
      <c r="J15" s="1141"/>
      <c r="K15" s="1141"/>
      <c r="L15" s="1141"/>
      <c r="M15" s="1141"/>
      <c r="N15" s="1141"/>
      <c r="O15" s="1141"/>
      <c r="P15" s="1141"/>
      <c r="Q15" s="1142"/>
      <c r="R15" s="886" t="s">
        <v>2913</v>
      </c>
      <c r="S15" s="886"/>
    </row>
    <row r="16" spans="1:32" ht="24.6" customHeight="1">
      <c r="A16" s="1140" t="s">
        <v>2901</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2902</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2903</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2904</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2905</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2906</v>
      </c>
      <c r="B21" s="1141"/>
      <c r="C21" s="1141"/>
      <c r="D21" s="1141"/>
      <c r="E21" s="1141"/>
      <c r="F21" s="1141"/>
      <c r="G21" s="1141"/>
      <c r="H21" s="1141"/>
      <c r="I21" s="1141"/>
      <c r="J21" s="1141"/>
      <c r="K21" s="1141"/>
      <c r="L21" s="1141"/>
      <c r="M21" s="1141"/>
      <c r="N21" s="1141"/>
      <c r="O21" s="1141"/>
      <c r="P21" s="1141"/>
      <c r="Q21" s="1142"/>
    </row>
    <row r="22" spans="1:19" ht="24.6" customHeight="1">
      <c r="A22" s="1140" t="s">
        <v>2907</v>
      </c>
      <c r="B22" s="1141"/>
      <c r="C22" s="1141"/>
      <c r="D22" s="1141"/>
      <c r="E22" s="1141"/>
      <c r="F22" s="1141"/>
      <c r="G22" s="1141"/>
      <c r="H22" s="1141"/>
      <c r="I22" s="1141"/>
      <c r="J22" s="1141"/>
      <c r="K22" s="1141"/>
      <c r="L22" s="1141"/>
      <c r="M22" s="1141"/>
      <c r="N22" s="1141"/>
      <c r="O22" s="1141"/>
      <c r="P22" s="1141"/>
      <c r="Q22" s="1142"/>
      <c r="R22" s="886" t="s">
        <v>2913</v>
      </c>
      <c r="S22" s="886"/>
    </row>
    <row r="23" spans="1:19" ht="24.6" customHeight="1">
      <c r="A23" s="1140" t="s">
        <v>2908</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2909</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2910</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2911</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2912</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4.1" customHeight="1">
      <c r="A29" s="177">
        <v>1</v>
      </c>
      <c r="B29" s="178" t="s">
        <v>3789</v>
      </c>
      <c r="C29" s="179"/>
      <c r="D29" s="115"/>
      <c r="E29" s="115"/>
      <c r="F29" s="115"/>
      <c r="G29" s="115"/>
      <c r="I29" s="180"/>
      <c r="J29" s="180"/>
      <c r="K29" s="180"/>
      <c r="L29" s="848"/>
      <c r="M29" s="848"/>
      <c r="O29" s="181" t="s">
        <v>2740</v>
      </c>
      <c r="P29" s="1114"/>
      <c r="Q29" s="1119"/>
    </row>
    <row r="30" spans="1:19" ht="3" customHeight="1"/>
    <row r="31" spans="1:19" ht="12" customHeight="1">
      <c r="B31" s="192" t="s">
        <v>2863</v>
      </c>
      <c r="C31" s="62" t="s">
        <v>3867</v>
      </c>
      <c r="E31" s="38"/>
      <c r="F31" s="38"/>
      <c r="G31" s="38"/>
      <c r="H31" s="38"/>
      <c r="I31" s="50"/>
      <c r="J31" s="40"/>
      <c r="K31" s="50"/>
      <c r="L31" s="40"/>
      <c r="M31" s="40"/>
      <c r="O31" s="79" t="s">
        <v>849</v>
      </c>
      <c r="P31" s="1598" t="s">
        <v>3975</v>
      </c>
      <c r="Q31" s="232"/>
    </row>
    <row r="32" spans="1:19" ht="12" customHeight="1">
      <c r="B32" s="55" t="s">
        <v>2866</v>
      </c>
      <c r="C32" s="62" t="s">
        <v>994</v>
      </c>
      <c r="E32" s="38"/>
      <c r="F32" s="38"/>
      <c r="G32" s="38"/>
      <c r="H32" s="38"/>
      <c r="J32" s="1599" t="s">
        <v>3050</v>
      </c>
      <c r="K32" s="1600"/>
      <c r="L32" s="1600"/>
      <c r="M32" s="1600"/>
      <c r="N32" s="1601"/>
      <c r="O32" s="79"/>
      <c r="P32" s="79"/>
      <c r="Q32" s="79"/>
    </row>
    <row r="33" spans="1:31" ht="11.25" customHeight="1">
      <c r="B33" s="80" t="s">
        <v>2738</v>
      </c>
      <c r="C33" s="80"/>
      <c r="D33" s="80"/>
      <c r="E33" s="80"/>
      <c r="F33" s="80"/>
      <c r="G33" s="180"/>
      <c r="H33" s="180"/>
      <c r="I33" s="180"/>
      <c r="J33" s="180"/>
      <c r="K33" s="848"/>
      <c r="L33" s="848"/>
      <c r="M33" s="848"/>
      <c r="N33" s="848"/>
      <c r="O33" s="848"/>
      <c r="P33" s="60"/>
      <c r="S33" s="215"/>
      <c r="T33" s="215"/>
    </row>
    <row r="34" spans="1:31" ht="207" customHeight="1">
      <c r="A34" s="1602" t="s">
        <v>4140</v>
      </c>
      <c r="B34" s="1603"/>
      <c r="C34" s="1603"/>
      <c r="D34" s="1603"/>
      <c r="E34" s="1603"/>
      <c r="F34" s="1603"/>
      <c r="G34" s="1603"/>
      <c r="H34" s="1603"/>
      <c r="I34" s="1603"/>
      <c r="J34" s="1603"/>
      <c r="K34" s="1603"/>
      <c r="L34" s="1603"/>
      <c r="M34" s="1603"/>
      <c r="N34" s="1603"/>
      <c r="O34" s="1603"/>
      <c r="P34" s="1603"/>
      <c r="Q34" s="1604"/>
      <c r="R34" s="736" t="s">
        <v>1806</v>
      </c>
      <c r="S34" s="737"/>
      <c r="T34" s="215"/>
      <c r="U34" s="186"/>
      <c r="V34" s="186"/>
      <c r="W34" s="186"/>
      <c r="X34" s="186"/>
      <c r="Y34" s="186"/>
      <c r="Z34" s="186"/>
      <c r="AA34" s="186"/>
      <c r="AB34" s="186"/>
      <c r="AC34" s="186"/>
      <c r="AD34" s="186"/>
      <c r="AE34" s="805"/>
    </row>
    <row r="35" spans="1:31" ht="11.25" customHeight="1">
      <c r="B35" s="187" t="s">
        <v>2739</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4.1" customHeight="1">
      <c r="A41" s="857">
        <v>2</v>
      </c>
      <c r="B41" s="5" t="s">
        <v>1714</v>
      </c>
      <c r="C41" s="5"/>
      <c r="D41" s="5"/>
      <c r="E41" s="856"/>
      <c r="F41" s="856"/>
      <c r="G41" s="856"/>
      <c r="H41" s="856"/>
      <c r="K41" s="856"/>
      <c r="L41" s="856"/>
      <c r="M41" s="856"/>
      <c r="O41" s="181" t="s">
        <v>2740</v>
      </c>
      <c r="P41" s="1114"/>
      <c r="Q41" s="1119"/>
    </row>
    <row r="42" spans="1:31" ht="3" customHeight="1"/>
    <row r="43" spans="1:31" ht="11.45" customHeight="1">
      <c r="A43" s="189"/>
      <c r="C43" s="190" t="s">
        <v>108</v>
      </c>
      <c r="D43" s="190"/>
      <c r="E43" s="190"/>
      <c r="F43" s="190"/>
      <c r="G43" s="190"/>
      <c r="H43" s="190"/>
      <c r="J43" s="1605" t="str">
        <f>'Part I-Project Information'!$H$65</f>
        <v>Family</v>
      </c>
      <c r="K43" s="1606"/>
      <c r="L43" s="1607"/>
      <c r="M43" s="856"/>
      <c r="N43" s="856"/>
      <c r="P43" s="1598" t="s">
        <v>3974</v>
      </c>
      <c r="Q43" s="232"/>
    </row>
    <row r="44" spans="1:31" ht="11.25" customHeight="1">
      <c r="B44" s="127" t="s">
        <v>2738</v>
      </c>
      <c r="D44" s="127"/>
      <c r="E44" s="127"/>
      <c r="F44" s="127"/>
      <c r="G44" s="127"/>
      <c r="H44" s="48"/>
      <c r="I44" s="180"/>
      <c r="J44" s="180"/>
      <c r="K44" s="187" t="s">
        <v>2739</v>
      </c>
      <c r="L44" s="848"/>
      <c r="M44" s="848"/>
      <c r="N44" s="848"/>
      <c r="O44" s="848"/>
      <c r="P44" s="848"/>
      <c r="Q44" s="60"/>
    </row>
    <row r="45" spans="1:31" ht="37.5" customHeight="1">
      <c r="A45" s="1602" t="s">
        <v>4109</v>
      </c>
      <c r="B45" s="1603"/>
      <c r="C45" s="1603"/>
      <c r="D45" s="1603"/>
      <c r="E45" s="1603"/>
      <c r="F45" s="1603"/>
      <c r="G45" s="1603"/>
      <c r="H45" s="1603"/>
      <c r="I45" s="1603"/>
      <c r="J45" s="1604"/>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4.1" customHeight="1">
      <c r="A47" s="857">
        <v>3</v>
      </c>
      <c r="B47" s="857" t="s">
        <v>3790</v>
      </c>
      <c r="C47" s="154"/>
      <c r="D47" s="856"/>
      <c r="E47" s="856"/>
      <c r="F47" s="856"/>
      <c r="G47" s="856"/>
      <c r="H47" s="856"/>
      <c r="I47" s="856"/>
      <c r="J47" s="856"/>
      <c r="K47" s="856"/>
      <c r="L47" s="856"/>
      <c r="M47" s="856"/>
      <c r="O47" s="181" t="s">
        <v>2740</v>
      </c>
      <c r="P47" s="1114"/>
      <c r="Q47" s="1119"/>
    </row>
    <row r="48" spans="1:31" ht="3" customHeight="1"/>
    <row r="49" spans="1:31" ht="12.6" customHeight="1">
      <c r="B49" s="192" t="s">
        <v>2863</v>
      </c>
      <c r="C49" s="1146" t="s">
        <v>373</v>
      </c>
      <c r="D49" s="1146"/>
      <c r="E49" s="1146"/>
      <c r="F49" s="1146"/>
      <c r="G49" s="1146"/>
      <c r="H49" s="1146"/>
      <c r="I49" s="1146"/>
      <c r="J49" s="1146"/>
      <c r="K49" s="1146"/>
      <c r="L49" s="1146"/>
      <c r="M49" s="1146"/>
      <c r="O49" s="193"/>
      <c r="P49" s="1598" t="s">
        <v>4041</v>
      </c>
      <c r="Q49" s="232"/>
    </row>
    <row r="50" spans="1:31" ht="12" customHeight="1">
      <c r="B50" s="55" t="s">
        <v>2866</v>
      </c>
      <c r="C50" s="38" t="s">
        <v>3888</v>
      </c>
      <c r="D50" s="38"/>
      <c r="E50" s="38"/>
      <c r="F50" s="38"/>
      <c r="G50" s="38"/>
      <c r="H50" s="38"/>
      <c r="I50" s="38"/>
      <c r="J50" s="38"/>
      <c r="K50" s="38"/>
      <c r="L50" s="38"/>
      <c r="M50" s="38"/>
      <c r="O50" s="38"/>
      <c r="P50" s="38"/>
      <c r="Q50" s="38"/>
    </row>
    <row r="51" spans="1:31" ht="11.1" customHeight="1">
      <c r="A51" s="194"/>
      <c r="B51" s="50"/>
      <c r="C51" s="79" t="s">
        <v>2590</v>
      </c>
      <c r="D51" s="38" t="s">
        <v>818</v>
      </c>
      <c r="E51" s="853"/>
      <c r="F51" s="853"/>
      <c r="G51" s="853"/>
      <c r="H51" s="40"/>
      <c r="I51" s="50"/>
      <c r="J51" s="50"/>
      <c r="K51" s="50"/>
      <c r="L51" s="40"/>
      <c r="M51" s="40"/>
      <c r="O51" s="79" t="s">
        <v>2590</v>
      </c>
      <c r="P51" s="1598" t="s">
        <v>3974</v>
      </c>
      <c r="Q51" s="232"/>
    </row>
    <row r="52" spans="1:31" ht="11.1" customHeight="1">
      <c r="A52" s="194"/>
      <c r="B52" s="50"/>
      <c r="C52" s="79" t="s">
        <v>2591</v>
      </c>
      <c r="D52" s="38" t="s">
        <v>2669</v>
      </c>
      <c r="E52" s="853"/>
      <c r="F52" s="853"/>
      <c r="G52" s="853"/>
      <c r="H52" s="40"/>
      <c r="I52" s="50"/>
      <c r="J52" s="50"/>
      <c r="O52" s="79" t="s">
        <v>2591</v>
      </c>
      <c r="P52" s="1598" t="s">
        <v>3974</v>
      </c>
      <c r="Q52" s="232"/>
    </row>
    <row r="53" spans="1:31" ht="11.1" customHeight="1">
      <c r="A53" s="194"/>
      <c r="B53" s="50"/>
      <c r="C53" s="79" t="s">
        <v>2592</v>
      </c>
      <c r="D53" s="38" t="s">
        <v>374</v>
      </c>
      <c r="E53" s="853"/>
      <c r="J53" s="79"/>
      <c r="K53" s="79" t="s">
        <v>2592</v>
      </c>
      <c r="L53" s="1608" t="s">
        <v>4042</v>
      </c>
      <c r="M53" s="1609"/>
      <c r="N53" s="1609"/>
      <c r="O53" s="1609"/>
      <c r="P53" s="1610"/>
      <c r="Q53" s="232"/>
    </row>
    <row r="54" spans="1:31" ht="11.25" customHeight="1">
      <c r="B54" s="127" t="s">
        <v>2738</v>
      </c>
      <c r="D54" s="127"/>
      <c r="E54" s="127"/>
      <c r="F54" s="127"/>
      <c r="G54" s="127"/>
      <c r="H54" s="48"/>
      <c r="I54" s="180"/>
      <c r="J54" s="180"/>
      <c r="K54" s="180"/>
      <c r="L54" s="848"/>
      <c r="M54" s="848"/>
      <c r="N54" s="848"/>
      <c r="O54" s="848"/>
      <c r="P54" s="848"/>
      <c r="Q54" s="60"/>
    </row>
    <row r="55" spans="1:31" ht="162" customHeight="1">
      <c r="A55" s="1602" t="s">
        <v>4136</v>
      </c>
      <c r="B55" s="1603"/>
      <c r="C55" s="1603"/>
      <c r="D55" s="1603"/>
      <c r="E55" s="1603"/>
      <c r="F55" s="1603"/>
      <c r="G55" s="1603"/>
      <c r="H55" s="1603"/>
      <c r="I55" s="1603"/>
      <c r="J55" s="1603"/>
      <c r="K55" s="1603"/>
      <c r="L55" s="1603"/>
      <c r="M55" s="1603"/>
      <c r="N55" s="1603"/>
      <c r="O55" s="1603"/>
      <c r="P55" s="1603"/>
      <c r="Q55" s="1604"/>
      <c r="U55" s="186"/>
      <c r="V55" s="186"/>
      <c r="W55" s="186"/>
      <c r="X55" s="186"/>
      <c r="Y55" s="186"/>
      <c r="Z55" s="186"/>
      <c r="AA55" s="186"/>
      <c r="AB55" s="186"/>
      <c r="AC55" s="186"/>
      <c r="AD55" s="186"/>
      <c r="AE55" s="805"/>
    </row>
    <row r="56" spans="1:31" ht="11.25" customHeight="1">
      <c r="B56" s="187" t="s">
        <v>2739</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5.0999999999999996" customHeight="1">
      <c r="A58" s="848"/>
      <c r="B58" s="180"/>
      <c r="C58" s="856"/>
      <c r="D58" s="856"/>
      <c r="E58" s="856"/>
      <c r="F58" s="856"/>
      <c r="G58" s="856"/>
      <c r="H58" s="856"/>
      <c r="I58" s="856"/>
      <c r="J58" s="856"/>
      <c r="K58" s="856"/>
      <c r="L58" s="856"/>
      <c r="M58" s="856"/>
      <c r="N58" s="856"/>
      <c r="O58" s="856"/>
      <c r="P58" s="856"/>
      <c r="Q58" s="848"/>
    </row>
    <row r="59" spans="1:31" ht="14.1" customHeight="1">
      <c r="A59" s="857">
        <v>4</v>
      </c>
      <c r="B59" s="857" t="s">
        <v>3791</v>
      </c>
      <c r="C59" s="857"/>
      <c r="D59" s="856"/>
      <c r="E59" s="856"/>
      <c r="F59" s="856"/>
      <c r="G59" s="856"/>
      <c r="H59" s="856"/>
      <c r="I59" s="856"/>
      <c r="J59" s="856"/>
      <c r="K59" s="856"/>
      <c r="O59" s="181" t="s">
        <v>2740</v>
      </c>
      <c r="P59" s="1114"/>
      <c r="Q59" s="1119"/>
    </row>
    <row r="60" spans="1:31" ht="3" customHeight="1"/>
    <row r="61" spans="1:31" ht="12" customHeight="1">
      <c r="B61" s="55" t="s">
        <v>2863</v>
      </c>
      <c r="C61" s="195" t="s">
        <v>3461</v>
      </c>
      <c r="D61" s="183"/>
      <c r="E61" s="183"/>
      <c r="F61" s="183"/>
      <c r="G61" s="183"/>
      <c r="H61" s="183"/>
      <c r="I61" s="50"/>
      <c r="J61" s="50"/>
      <c r="K61" s="50"/>
      <c r="L61" s="803" t="s">
        <v>2863</v>
      </c>
      <c r="M61" s="1608" t="s">
        <v>4045</v>
      </c>
      <c r="N61" s="1609"/>
      <c r="O61" s="1609"/>
      <c r="P61" s="1611"/>
      <c r="Q61" s="232"/>
    </row>
    <row r="62" spans="1:31" ht="12" customHeight="1">
      <c r="B62" s="55" t="s">
        <v>2866</v>
      </c>
      <c r="C62" s="62" t="s">
        <v>2919</v>
      </c>
      <c r="D62" s="183"/>
      <c r="E62" s="183"/>
      <c r="F62" s="183"/>
      <c r="L62" s="803" t="s">
        <v>2866</v>
      </c>
      <c r="M62" s="1608" t="s">
        <v>4043</v>
      </c>
      <c r="N62" s="1609"/>
      <c r="O62" s="1609"/>
      <c r="P62" s="1611"/>
      <c r="Q62" s="232"/>
    </row>
    <row r="63" spans="1:31" ht="12" customHeight="1">
      <c r="B63" s="55" t="s">
        <v>1145</v>
      </c>
      <c r="C63" s="62" t="s">
        <v>3462</v>
      </c>
      <c r="D63" s="183"/>
      <c r="E63" s="183"/>
      <c r="F63" s="183"/>
      <c r="L63" s="803" t="s">
        <v>1145</v>
      </c>
      <c r="M63" s="1608" t="s">
        <v>4043</v>
      </c>
      <c r="N63" s="1609"/>
      <c r="O63" s="1609"/>
      <c r="P63" s="1611"/>
      <c r="Q63" s="352"/>
    </row>
    <row r="64" spans="1:31" ht="12" customHeight="1">
      <c r="B64" s="55" t="s">
        <v>3005</v>
      </c>
      <c r="C64" s="62" t="s">
        <v>3463</v>
      </c>
      <c r="D64" s="183"/>
      <c r="E64" s="183"/>
      <c r="F64" s="183"/>
      <c r="L64" s="803" t="s">
        <v>3005</v>
      </c>
      <c r="M64" s="1608" t="s">
        <v>4044</v>
      </c>
      <c r="N64" s="1609"/>
      <c r="O64" s="1609"/>
      <c r="P64" s="1611"/>
      <c r="Q64" s="232"/>
    </row>
    <row r="65" spans="1:31" ht="22.35" customHeight="1">
      <c r="B65" s="192" t="s">
        <v>2588</v>
      </c>
      <c r="C65" s="1118" t="s">
        <v>3868</v>
      </c>
      <c r="D65" s="1118"/>
      <c r="E65" s="1118"/>
      <c r="F65" s="1118"/>
      <c r="G65" s="1118"/>
      <c r="H65" s="1118"/>
      <c r="I65" s="1118"/>
      <c r="J65" s="1118"/>
      <c r="K65" s="1118"/>
      <c r="L65" s="1118"/>
      <c r="M65" s="853"/>
      <c r="O65" s="803" t="s">
        <v>2588</v>
      </c>
      <c r="P65" s="1598" t="s">
        <v>3974</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612" t="s">
        <v>4077</v>
      </c>
      <c r="E67" s="1613" t="s">
        <v>4137</v>
      </c>
      <c r="F67" s="1613"/>
      <c r="G67" s="1613"/>
      <c r="H67" s="62">
        <v>3</v>
      </c>
      <c r="I67" s="1612"/>
      <c r="J67" s="1613"/>
      <c r="K67" s="1613"/>
      <c r="L67" s="1613"/>
      <c r="M67" s="62">
        <v>5</v>
      </c>
      <c r="N67" s="1612"/>
      <c r="O67" s="1613"/>
      <c r="P67" s="1613"/>
      <c r="Q67" s="1613"/>
    </row>
    <row r="68" spans="1:31" ht="12" customHeight="1">
      <c r="B68" s="55"/>
      <c r="C68" s="62">
        <v>2</v>
      </c>
      <c r="D68" s="1612" t="s">
        <v>4076</v>
      </c>
      <c r="E68" s="1613" t="s">
        <v>4138</v>
      </c>
      <c r="F68" s="1613"/>
      <c r="G68" s="1613"/>
      <c r="H68" s="62">
        <v>4</v>
      </c>
      <c r="I68" s="1612"/>
      <c r="J68" s="1613"/>
      <c r="K68" s="1613"/>
      <c r="L68" s="1613"/>
      <c r="M68" s="62">
        <v>6</v>
      </c>
      <c r="N68" s="1612"/>
      <c r="O68" s="1613"/>
      <c r="P68" s="1613"/>
      <c r="Q68" s="1613"/>
    </row>
    <row r="69" spans="1:31" ht="12" customHeight="1">
      <c r="B69" s="55" t="s">
        <v>2589</v>
      </c>
      <c r="C69" s="62" t="s">
        <v>0</v>
      </c>
      <c r="D69" s="183"/>
      <c r="E69" s="183"/>
      <c r="F69" s="183"/>
      <c r="G69" s="183"/>
      <c r="H69" s="183"/>
      <c r="I69" s="50"/>
      <c r="J69" s="50"/>
      <c r="K69" s="183"/>
      <c r="L69" s="853"/>
      <c r="M69" s="853"/>
      <c r="O69" s="803" t="s">
        <v>2589</v>
      </c>
      <c r="P69" s="1614" t="s">
        <v>3974</v>
      </c>
      <c r="Q69" s="352"/>
    </row>
    <row r="70" spans="1:31" ht="11.25" customHeight="1">
      <c r="B70" s="191" t="s">
        <v>2738</v>
      </c>
      <c r="D70" s="191"/>
      <c r="E70" s="191"/>
      <c r="F70" s="191"/>
      <c r="G70" s="191"/>
      <c r="H70" s="48"/>
      <c r="I70" s="180"/>
      <c r="J70" s="180"/>
      <c r="K70" s="180"/>
      <c r="L70" s="848"/>
      <c r="M70" s="848"/>
      <c r="N70" s="848"/>
      <c r="O70" s="848"/>
      <c r="P70" s="848"/>
      <c r="Q70" s="60"/>
    </row>
    <row r="71" spans="1:31" ht="66" customHeight="1">
      <c r="A71" s="1602" t="s">
        <v>4139</v>
      </c>
      <c r="B71" s="1603"/>
      <c r="C71" s="1603"/>
      <c r="D71" s="1603"/>
      <c r="E71" s="1603"/>
      <c r="F71" s="1603"/>
      <c r="G71" s="1603"/>
      <c r="H71" s="1603"/>
      <c r="I71" s="1603"/>
      <c r="J71" s="1603"/>
      <c r="K71" s="1603"/>
      <c r="L71" s="1603"/>
      <c r="M71" s="1603"/>
      <c r="N71" s="1603"/>
      <c r="O71" s="1603"/>
      <c r="P71" s="1603"/>
      <c r="Q71" s="1604"/>
      <c r="U71" s="186"/>
      <c r="V71" s="186"/>
      <c r="W71" s="186"/>
      <c r="X71" s="186"/>
      <c r="Y71" s="186"/>
      <c r="Z71" s="186"/>
      <c r="AA71" s="186"/>
      <c r="AB71" s="186"/>
      <c r="AC71" s="186"/>
      <c r="AD71" s="186"/>
      <c r="AE71" s="805"/>
    </row>
    <row r="72" spans="1:31" ht="11.25" customHeight="1">
      <c r="B72" s="187" t="s">
        <v>2739</v>
      </c>
      <c r="C72" s="188"/>
      <c r="D72" s="856"/>
      <c r="E72" s="856"/>
      <c r="F72" s="856"/>
      <c r="G72" s="856"/>
      <c r="H72" s="856"/>
      <c r="I72" s="856"/>
      <c r="J72" s="856"/>
      <c r="K72" s="856"/>
      <c r="L72" s="856"/>
      <c r="M72" s="856"/>
      <c r="N72" s="856"/>
      <c r="O72" s="856"/>
      <c r="P72" s="856"/>
      <c r="Q72" s="856"/>
    </row>
    <row r="73" spans="1:31" ht="23.1" customHeight="1">
      <c r="A73" s="1110"/>
      <c r="B73" s="1111"/>
      <c r="C73" s="1111"/>
      <c r="D73" s="1111"/>
      <c r="E73" s="1111"/>
      <c r="F73" s="1111"/>
      <c r="G73" s="1111"/>
      <c r="H73" s="1111"/>
      <c r="I73" s="1111"/>
      <c r="J73" s="1111"/>
      <c r="K73" s="1111"/>
      <c r="L73" s="1111"/>
      <c r="M73" s="1111"/>
      <c r="N73" s="1111"/>
      <c r="O73" s="1111"/>
      <c r="P73" s="1111"/>
      <c r="Q73" s="1112"/>
    </row>
    <row r="74" spans="1:31" ht="14.1" customHeight="1">
      <c r="A74" s="857">
        <v>5</v>
      </c>
      <c r="B74" s="857" t="s">
        <v>3792</v>
      </c>
      <c r="C74" s="857"/>
      <c r="D74" s="856"/>
      <c r="E74" s="856"/>
      <c r="F74" s="856"/>
      <c r="G74" s="856"/>
      <c r="H74" s="856"/>
      <c r="I74" s="856"/>
      <c r="J74" s="856"/>
      <c r="K74" s="856"/>
      <c r="L74" s="856"/>
      <c r="M74" s="856"/>
      <c r="O74" s="181" t="s">
        <v>2740</v>
      </c>
      <c r="P74" s="1114"/>
      <c r="Q74" s="1119"/>
    </row>
    <row r="75" spans="1:31" ht="3" customHeight="1"/>
    <row r="76" spans="1:31" ht="12" customHeight="1">
      <c r="B76" s="55" t="s">
        <v>2863</v>
      </c>
      <c r="C76" s="62" t="s">
        <v>684</v>
      </c>
      <c r="D76" s="62"/>
      <c r="E76" s="62"/>
      <c r="F76" s="62"/>
      <c r="G76" s="62"/>
      <c r="H76" s="62"/>
      <c r="I76" s="62"/>
      <c r="J76" s="62"/>
      <c r="K76" s="62"/>
      <c r="L76" s="62"/>
      <c r="M76" s="62"/>
      <c r="O76" s="803" t="s">
        <v>2863</v>
      </c>
      <c r="P76" s="1598" t="s">
        <v>3975</v>
      </c>
      <c r="Q76" s="232"/>
    </row>
    <row r="77" spans="1:31" ht="12" customHeight="1">
      <c r="B77" s="55" t="s">
        <v>2866</v>
      </c>
      <c r="C77" s="62" t="s">
        <v>1871</v>
      </c>
      <c r="D77" s="62"/>
      <c r="E77" s="62"/>
      <c r="F77" s="62"/>
      <c r="G77" s="62"/>
      <c r="H77" s="62"/>
      <c r="I77" s="62"/>
      <c r="J77" s="62"/>
      <c r="K77" s="62"/>
      <c r="L77" s="38"/>
      <c r="M77" s="38"/>
      <c r="O77" s="803" t="s">
        <v>2866</v>
      </c>
      <c r="P77" s="1598" t="s">
        <v>3975</v>
      </c>
      <c r="Q77" s="232"/>
    </row>
    <row r="78" spans="1:31" ht="12" customHeight="1">
      <c r="A78" s="182"/>
      <c r="B78" s="44"/>
      <c r="D78" s="47" t="s">
        <v>790</v>
      </c>
      <c r="E78" s="50"/>
      <c r="F78" s="50"/>
      <c r="G78" s="50"/>
      <c r="H78" s="50"/>
      <c r="I78" s="50"/>
      <c r="K78" s="47" t="s">
        <v>791</v>
      </c>
      <c r="M78" s="1615"/>
      <c r="N78" s="1616"/>
      <c r="O78" s="1616"/>
      <c r="P78" s="1617"/>
      <c r="Q78" s="232"/>
    </row>
    <row r="79" spans="1:31" ht="23.1" customHeight="1">
      <c r="A79" s="194"/>
      <c r="B79" s="180"/>
      <c r="C79" s="201" t="s">
        <v>2590</v>
      </c>
      <c r="D79" s="1097" t="s">
        <v>638</v>
      </c>
      <c r="E79" s="1618"/>
      <c r="F79" s="1618"/>
      <c r="G79" s="1618"/>
      <c r="H79" s="1618"/>
      <c r="I79" s="1618"/>
      <c r="J79" s="1618"/>
      <c r="K79" s="1618"/>
      <c r="L79" s="1618"/>
      <c r="M79" s="1618"/>
      <c r="N79" s="1618"/>
      <c r="O79" s="201" t="s">
        <v>2590</v>
      </c>
      <c r="P79" s="1598"/>
      <c r="Q79" s="232"/>
    </row>
    <row r="80" spans="1:31" ht="12" customHeight="1">
      <c r="A80" s="194"/>
      <c r="B80" s="180"/>
      <c r="C80" s="79" t="s">
        <v>2591</v>
      </c>
      <c r="D80" s="62" t="s">
        <v>171</v>
      </c>
      <c r="E80" s="62"/>
      <c r="F80" s="62"/>
      <c r="G80" s="62"/>
      <c r="H80" s="62"/>
      <c r="I80" s="62"/>
      <c r="J80" s="62"/>
      <c r="K80" s="62"/>
      <c r="L80" s="62"/>
      <c r="M80" s="62"/>
      <c r="O80" s="79" t="s">
        <v>2591</v>
      </c>
      <c r="P80" s="1598"/>
      <c r="Q80" s="232"/>
    </row>
    <row r="81" spans="1:32" s="182" customFormat="1" ht="24.75" customHeight="1">
      <c r="A81" s="194"/>
      <c r="B81" s="711"/>
      <c r="C81" s="201" t="s">
        <v>2592</v>
      </c>
      <c r="D81" s="1118" t="s">
        <v>3943</v>
      </c>
      <c r="E81" s="1118"/>
      <c r="F81" s="1118"/>
      <c r="G81" s="1118"/>
      <c r="H81" s="1118"/>
      <c r="I81" s="1118"/>
      <c r="J81" s="1118"/>
      <c r="K81" s="1118"/>
      <c r="L81" s="1118"/>
      <c r="M81" s="1118"/>
      <c r="N81" s="1118"/>
      <c r="O81" s="201" t="s">
        <v>2592</v>
      </c>
      <c r="P81" s="1619"/>
      <c r="Q81" s="354"/>
      <c r="AE81" s="806"/>
      <c r="AF81" s="806"/>
    </row>
    <row r="82" spans="1:32" ht="12" customHeight="1">
      <c r="B82" s="55" t="s">
        <v>1145</v>
      </c>
      <c r="C82" s="62" t="s">
        <v>173</v>
      </c>
      <c r="D82" s="62"/>
      <c r="E82" s="62"/>
      <c r="F82" s="62"/>
      <c r="G82" s="62"/>
      <c r="H82" s="62"/>
      <c r="I82" s="62"/>
      <c r="J82" s="62"/>
      <c r="K82" s="62"/>
      <c r="L82" s="62"/>
      <c r="M82" s="62"/>
      <c r="O82" s="803" t="s">
        <v>1145</v>
      </c>
      <c r="P82" s="1598" t="s">
        <v>3975</v>
      </c>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98" t="s">
        <v>3974</v>
      </c>
      <c r="Q84" s="232"/>
    </row>
    <row r="85" spans="1:32" ht="12" customHeight="1">
      <c r="B85" s="55"/>
      <c r="C85" s="79" t="s">
        <v>2591</v>
      </c>
      <c r="D85" s="62" t="s">
        <v>2011</v>
      </c>
      <c r="E85" s="62"/>
      <c r="F85" s="62"/>
      <c r="G85" s="62"/>
      <c r="H85" s="62"/>
      <c r="I85" s="62"/>
      <c r="J85" s="62"/>
      <c r="K85" s="62"/>
      <c r="L85" s="38"/>
      <c r="M85" s="38"/>
      <c r="O85" s="79" t="s">
        <v>2591</v>
      </c>
      <c r="P85" s="1598" t="s">
        <v>3974</v>
      </c>
      <c r="Q85" s="232"/>
    </row>
    <row r="86" spans="1:32" ht="12" customHeight="1">
      <c r="B86" s="55"/>
      <c r="C86" s="79" t="s">
        <v>2592</v>
      </c>
      <c r="D86" s="62" t="s">
        <v>2012</v>
      </c>
      <c r="E86" s="62"/>
      <c r="F86" s="62"/>
      <c r="G86" s="62"/>
      <c r="H86" s="62"/>
      <c r="I86" s="62"/>
      <c r="J86" s="62"/>
      <c r="K86" s="62"/>
      <c r="L86" s="38"/>
      <c r="M86" s="38"/>
      <c r="O86" s="79" t="s">
        <v>2592</v>
      </c>
      <c r="P86" s="1598" t="s">
        <v>3974</v>
      </c>
      <c r="Q86" s="232"/>
    </row>
    <row r="87" spans="1:32" ht="11.25" customHeight="1">
      <c r="B87" s="191" t="s">
        <v>2738</v>
      </c>
      <c r="D87" s="191"/>
      <c r="E87" s="191"/>
      <c r="F87" s="191"/>
      <c r="G87" s="191"/>
      <c r="H87" s="48"/>
      <c r="I87" s="180"/>
      <c r="J87" s="180"/>
      <c r="K87" s="180"/>
      <c r="L87" s="848"/>
      <c r="M87" s="848"/>
      <c r="N87" s="848"/>
      <c r="O87" s="848"/>
      <c r="P87" s="848"/>
      <c r="Q87" s="60"/>
    </row>
    <row r="88" spans="1:32" ht="91.5" customHeight="1">
      <c r="A88" s="1602" t="s">
        <v>4084</v>
      </c>
      <c r="B88" s="1603"/>
      <c r="C88" s="1603"/>
      <c r="D88" s="1603"/>
      <c r="E88" s="1603"/>
      <c r="F88" s="1603"/>
      <c r="G88" s="1603"/>
      <c r="H88" s="1603"/>
      <c r="I88" s="1603"/>
      <c r="J88" s="1603"/>
      <c r="K88" s="1603"/>
      <c r="L88" s="1603"/>
      <c r="M88" s="1603"/>
      <c r="N88" s="1603"/>
      <c r="O88" s="1603"/>
      <c r="P88" s="1603"/>
      <c r="Q88" s="1604"/>
      <c r="U88" s="186"/>
      <c r="V88" s="186"/>
      <c r="W88" s="186"/>
      <c r="X88" s="186"/>
      <c r="Y88" s="186"/>
      <c r="Z88" s="186"/>
      <c r="AA88" s="186"/>
      <c r="AB88" s="186"/>
      <c r="AC88" s="186"/>
      <c r="AD88" s="186"/>
      <c r="AE88" s="805"/>
    </row>
    <row r="89" spans="1:32" ht="11.25" customHeight="1">
      <c r="B89" s="187" t="s">
        <v>2739</v>
      </c>
      <c r="C89" s="188"/>
      <c r="D89" s="856"/>
      <c r="E89" s="856"/>
      <c r="F89" s="856"/>
      <c r="G89" s="856"/>
      <c r="H89" s="856"/>
      <c r="I89" s="856"/>
      <c r="J89" s="856"/>
      <c r="K89" s="856"/>
      <c r="L89" s="856"/>
      <c r="M89" s="856"/>
      <c r="N89" s="856"/>
      <c r="O89" s="856"/>
      <c r="P89" s="856"/>
      <c r="Q89" s="856"/>
    </row>
    <row r="90" spans="1:32" ht="13.35" customHeight="1">
      <c r="A90" s="1110"/>
      <c r="B90" s="1111"/>
      <c r="C90" s="1111"/>
      <c r="D90" s="1111"/>
      <c r="E90" s="1111"/>
      <c r="F90" s="1111"/>
      <c r="G90" s="1111"/>
      <c r="H90" s="1111"/>
      <c r="I90" s="1111"/>
      <c r="J90" s="1111"/>
      <c r="K90" s="1111"/>
      <c r="L90" s="1111"/>
      <c r="M90" s="1111"/>
      <c r="N90" s="1111"/>
      <c r="O90" s="1111"/>
      <c r="P90" s="1111"/>
      <c r="Q90" s="1112"/>
    </row>
    <row r="91" spans="1:32" ht="5.0999999999999996" customHeight="1">
      <c r="A91" s="848"/>
      <c r="B91" s="180"/>
      <c r="C91" s="856"/>
      <c r="D91" s="856"/>
      <c r="E91" s="856"/>
      <c r="F91" s="856"/>
      <c r="G91" s="856"/>
      <c r="H91" s="856"/>
      <c r="I91" s="856"/>
      <c r="J91" s="856"/>
      <c r="K91" s="856"/>
      <c r="L91" s="856"/>
      <c r="M91" s="856"/>
      <c r="N91" s="856"/>
      <c r="O91" s="856"/>
      <c r="P91" s="856"/>
      <c r="Q91" s="848"/>
    </row>
    <row r="92" spans="1:32" ht="14.1" customHeight="1">
      <c r="A92" s="857">
        <v>6</v>
      </c>
      <c r="B92" s="857" t="s">
        <v>3793</v>
      </c>
      <c r="C92" s="48"/>
      <c r="D92" s="856"/>
      <c r="E92" s="856"/>
      <c r="F92" s="856"/>
      <c r="G92" s="856"/>
      <c r="H92" s="856"/>
      <c r="I92" s="856"/>
      <c r="J92" s="856"/>
      <c r="K92" s="856"/>
      <c r="L92" s="856"/>
      <c r="M92" s="856"/>
      <c r="O92" s="181" t="s">
        <v>2740</v>
      </c>
      <c r="P92" s="1114"/>
      <c r="Q92" s="1119"/>
    </row>
    <row r="93" spans="1:32" ht="6.6" customHeight="1"/>
    <row r="94" spans="1:32" ht="12" customHeight="1">
      <c r="B94" s="55" t="s">
        <v>2863</v>
      </c>
      <c r="C94" s="62" t="s">
        <v>3935</v>
      </c>
      <c r="D94" s="183"/>
      <c r="E94" s="183"/>
      <c r="F94" s="183"/>
      <c r="G94" s="183"/>
      <c r="H94" s="183"/>
      <c r="I94" s="50"/>
      <c r="J94" s="50"/>
      <c r="K94" s="50"/>
      <c r="L94" s="803" t="s">
        <v>2863</v>
      </c>
      <c r="M94" s="1608" t="s">
        <v>4046</v>
      </c>
      <c r="N94" s="1609"/>
      <c r="O94" s="1609"/>
      <c r="P94" s="1610"/>
      <c r="Q94" s="232"/>
    </row>
    <row r="95" spans="1:32" ht="12" customHeight="1">
      <c r="B95" s="55" t="s">
        <v>2866</v>
      </c>
      <c r="C95" s="62" t="s">
        <v>2141</v>
      </c>
      <c r="D95" s="183"/>
      <c r="E95" s="183"/>
      <c r="F95" s="183"/>
      <c r="G95" s="183"/>
      <c r="H95" s="183"/>
      <c r="I95" s="50"/>
      <c r="J95" s="50"/>
      <c r="K95" s="183"/>
      <c r="L95" s="183"/>
      <c r="M95" s="853"/>
      <c r="O95" s="803" t="s">
        <v>2866</v>
      </c>
      <c r="P95" s="1598" t="s">
        <v>3975</v>
      </c>
      <c r="Q95" s="352"/>
    </row>
    <row r="96" spans="1:32" ht="12" customHeight="1">
      <c r="B96" s="55" t="s">
        <v>1145</v>
      </c>
      <c r="C96" s="62" t="s">
        <v>186</v>
      </c>
      <c r="D96" s="183"/>
      <c r="E96" s="183"/>
      <c r="F96" s="183"/>
      <c r="G96" s="183"/>
      <c r="H96" s="183"/>
      <c r="I96" s="50"/>
      <c r="J96" s="50"/>
      <c r="K96" s="183"/>
      <c r="L96" s="853"/>
      <c r="M96" s="853"/>
      <c r="O96" s="803" t="s">
        <v>1145</v>
      </c>
      <c r="P96" s="1598" t="s">
        <v>3974</v>
      </c>
      <c r="Q96" s="232"/>
    </row>
    <row r="97" spans="2:17" ht="12" customHeight="1">
      <c r="B97" s="55"/>
      <c r="C97" s="78" t="s">
        <v>2590</v>
      </c>
      <c r="D97" s="62" t="s">
        <v>3936</v>
      </c>
      <c r="E97" s="183"/>
      <c r="F97" s="183"/>
      <c r="G97" s="183"/>
      <c r="H97" s="183"/>
      <c r="I97" s="50"/>
      <c r="J97" s="50"/>
      <c r="K97" s="183"/>
      <c r="L97" s="79" t="s">
        <v>2590</v>
      </c>
      <c r="M97" s="1608" t="s">
        <v>4046</v>
      </c>
      <c r="N97" s="1609"/>
      <c r="O97" s="1609"/>
      <c r="P97" s="1610"/>
      <c r="Q97" s="352"/>
    </row>
    <row r="98" spans="2:17" ht="12" customHeight="1">
      <c r="B98" s="189"/>
      <c r="C98" s="79" t="s">
        <v>2591</v>
      </c>
      <c r="D98" s="44" t="s">
        <v>3643</v>
      </c>
      <c r="E98" s="50"/>
      <c r="F98" s="50"/>
      <c r="G98" s="50"/>
      <c r="H98" s="62"/>
      <c r="I98" s="50"/>
      <c r="J98" s="50"/>
      <c r="K98" s="183"/>
      <c r="L98" s="853"/>
      <c r="M98" s="853"/>
      <c r="O98" s="803" t="s">
        <v>2591</v>
      </c>
      <c r="P98" s="1614">
        <v>61.5</v>
      </c>
      <c r="Q98" s="352"/>
    </row>
    <row r="99" spans="2:17" ht="12" customHeight="1">
      <c r="B99" s="189"/>
      <c r="C99" s="803" t="s">
        <v>2592</v>
      </c>
      <c r="D99" s="62" t="s">
        <v>1953</v>
      </c>
      <c r="E99" s="50"/>
      <c r="F99" s="50"/>
      <c r="G99" s="50"/>
      <c r="H99" s="62"/>
      <c r="I99" s="50"/>
      <c r="J99" s="50"/>
      <c r="K99" s="183"/>
      <c r="L99" s="853"/>
      <c r="M99" s="853"/>
      <c r="N99" s="853"/>
      <c r="O99" s="853"/>
    </row>
    <row r="100" spans="2:17" ht="27.75" customHeight="1">
      <c r="B100" s="848"/>
      <c r="C100" s="79"/>
      <c r="D100" s="1620" t="s">
        <v>4047</v>
      </c>
      <c r="E100" s="1621"/>
      <c r="F100" s="1621"/>
      <c r="G100" s="1621"/>
      <c r="H100" s="1621"/>
      <c r="I100" s="1621"/>
      <c r="J100" s="1621"/>
      <c r="K100" s="1621"/>
      <c r="L100" s="1621"/>
      <c r="M100" s="1621"/>
      <c r="N100" s="1621"/>
      <c r="O100" s="1622"/>
      <c r="P100" s="856"/>
      <c r="Q100" s="848"/>
    </row>
    <row r="101" spans="2:17" ht="12" customHeight="1">
      <c r="B101" s="55" t="s">
        <v>3005</v>
      </c>
      <c r="C101" s="62" t="s">
        <v>1815</v>
      </c>
      <c r="D101" s="183"/>
      <c r="E101" s="183"/>
      <c r="F101" s="183"/>
      <c r="G101" s="183"/>
      <c r="H101" s="183"/>
      <c r="I101" s="50"/>
      <c r="J101" s="50"/>
      <c r="K101" s="183"/>
      <c r="L101" s="853"/>
      <c r="M101" s="853"/>
      <c r="N101" s="853"/>
      <c r="O101" s="803" t="s">
        <v>3005</v>
      </c>
    </row>
    <row r="102" spans="2:17" ht="12" customHeight="1">
      <c r="B102" s="55"/>
      <c r="C102" s="79" t="s">
        <v>2590</v>
      </c>
      <c r="D102" s="62" t="s">
        <v>184</v>
      </c>
      <c r="E102" s="183"/>
      <c r="F102" s="183"/>
      <c r="G102" s="183"/>
      <c r="H102" s="183"/>
      <c r="I102" s="50"/>
      <c r="J102" s="50"/>
      <c r="K102" s="183"/>
      <c r="L102" s="853"/>
      <c r="M102" s="853"/>
      <c r="O102" s="79" t="s">
        <v>2590</v>
      </c>
      <c r="P102" s="1598" t="s">
        <v>3975</v>
      </c>
      <c r="Q102" s="232"/>
    </row>
    <row r="103" spans="2:17" ht="12" customHeight="1">
      <c r="B103" s="55"/>
      <c r="C103" s="79" t="s">
        <v>2591</v>
      </c>
      <c r="D103" s="62" t="s">
        <v>1816</v>
      </c>
      <c r="E103" s="183"/>
      <c r="F103" s="183"/>
      <c r="G103" s="183"/>
      <c r="H103" s="50"/>
      <c r="I103" s="50"/>
      <c r="J103" s="50"/>
      <c r="K103" s="183"/>
      <c r="L103" s="853"/>
      <c r="M103" s="853"/>
      <c r="O103" s="79" t="s">
        <v>2591</v>
      </c>
      <c r="P103" s="1614" t="s">
        <v>3975</v>
      </c>
      <c r="Q103" s="352"/>
    </row>
    <row r="104" spans="2:17" ht="12" customHeight="1">
      <c r="B104" s="55"/>
      <c r="C104" s="79"/>
      <c r="D104" s="62" t="s">
        <v>3763</v>
      </c>
      <c r="E104" s="728" t="s">
        <v>3418</v>
      </c>
      <c r="F104" s="62" t="s">
        <v>3764</v>
      </c>
      <c r="G104" s="50"/>
      <c r="H104" s="62"/>
      <c r="I104" s="50"/>
      <c r="J104" s="50"/>
      <c r="K104" s="183"/>
      <c r="L104" s="853"/>
      <c r="M104" s="853"/>
      <c r="O104" s="728" t="s">
        <v>3418</v>
      </c>
      <c r="P104" s="1623" t="s">
        <v>2104</v>
      </c>
      <c r="Q104" s="448"/>
    </row>
    <row r="105" spans="2:17" ht="12" customHeight="1">
      <c r="B105" s="55"/>
      <c r="C105" s="79"/>
      <c r="E105" s="728" t="s">
        <v>3419</v>
      </c>
      <c r="F105" s="62" t="s">
        <v>3765</v>
      </c>
      <c r="G105" s="50"/>
      <c r="H105" s="62"/>
      <c r="I105" s="50"/>
      <c r="J105" s="50"/>
      <c r="K105" s="183"/>
      <c r="L105" s="853"/>
      <c r="M105" s="853"/>
      <c r="O105" s="728" t="s">
        <v>3419</v>
      </c>
      <c r="P105" s="1614" t="s">
        <v>2104</v>
      </c>
      <c r="Q105" s="352"/>
    </row>
    <row r="106" spans="2:17" ht="12" customHeight="1">
      <c r="B106" s="55"/>
      <c r="C106" s="79"/>
      <c r="E106" s="728" t="s">
        <v>3420</v>
      </c>
      <c r="F106" s="62" t="s">
        <v>3766</v>
      </c>
      <c r="G106" s="50"/>
      <c r="H106" s="62"/>
      <c r="I106" s="50"/>
      <c r="J106" s="50"/>
      <c r="K106" s="183"/>
      <c r="L106" s="853"/>
      <c r="M106" s="853"/>
      <c r="O106" s="728" t="s">
        <v>3420</v>
      </c>
      <c r="P106" s="1614" t="s">
        <v>3975</v>
      </c>
      <c r="Q106" s="352"/>
    </row>
    <row r="107" spans="2:17" ht="12" customHeight="1">
      <c r="B107" s="55"/>
      <c r="C107" s="79" t="s">
        <v>2592</v>
      </c>
      <c r="D107" s="62" t="s">
        <v>1817</v>
      </c>
      <c r="E107" s="183"/>
      <c r="F107" s="183"/>
      <c r="G107" s="183"/>
      <c r="H107" s="62"/>
      <c r="I107" s="50"/>
      <c r="J107" s="50"/>
      <c r="K107" s="183"/>
      <c r="L107" s="853"/>
      <c r="M107" s="853"/>
      <c r="O107" s="79" t="s">
        <v>2592</v>
      </c>
      <c r="P107" s="1598" t="s">
        <v>3975</v>
      </c>
      <c r="Q107" s="232"/>
    </row>
    <row r="108" spans="2:17" ht="12" customHeight="1">
      <c r="B108" s="55"/>
      <c r="C108" s="79"/>
      <c r="D108" s="62" t="s">
        <v>3763</v>
      </c>
      <c r="E108" s="728" t="s">
        <v>3418</v>
      </c>
      <c r="F108" s="62" t="s">
        <v>3767</v>
      </c>
      <c r="G108" s="50"/>
      <c r="H108" s="62"/>
      <c r="I108" s="50"/>
      <c r="J108" s="50"/>
      <c r="K108" s="183"/>
      <c r="L108" s="853"/>
      <c r="O108" s="728" t="s">
        <v>3418</v>
      </c>
      <c r="P108" s="1623" t="s">
        <v>2104</v>
      </c>
      <c r="Q108" s="353"/>
    </row>
    <row r="109" spans="2:17" ht="12" customHeight="1">
      <c r="B109" s="55"/>
      <c r="C109" s="79"/>
      <c r="E109" s="728" t="s">
        <v>3419</v>
      </c>
      <c r="F109" s="62" t="s">
        <v>3768</v>
      </c>
      <c r="G109" s="50"/>
      <c r="H109" s="62"/>
      <c r="I109" s="50"/>
      <c r="J109" s="50"/>
      <c r="K109" s="183"/>
      <c r="L109" s="853"/>
      <c r="O109" s="728" t="s">
        <v>3419</v>
      </c>
      <c r="P109" s="1614" t="s">
        <v>2104</v>
      </c>
      <c r="Q109" s="352"/>
    </row>
    <row r="110" spans="2:17" ht="12" customHeight="1">
      <c r="B110" s="55"/>
      <c r="C110" s="79"/>
      <c r="E110" s="728" t="s">
        <v>3420</v>
      </c>
      <c r="F110" s="62" t="s">
        <v>3766</v>
      </c>
      <c r="G110" s="50"/>
      <c r="H110" s="62"/>
      <c r="I110" s="50"/>
      <c r="J110" s="50"/>
      <c r="K110" s="183"/>
      <c r="L110" s="853"/>
      <c r="O110" s="728" t="s">
        <v>3420</v>
      </c>
      <c r="P110" s="1614" t="s">
        <v>3975</v>
      </c>
      <c r="Q110" s="352"/>
    </row>
    <row r="111" spans="2:17" ht="12" customHeight="1">
      <c r="B111" s="44"/>
      <c r="C111" s="79" t="s">
        <v>3331</v>
      </c>
      <c r="D111" s="62" t="s">
        <v>3769</v>
      </c>
      <c r="E111" s="183"/>
      <c r="F111" s="183"/>
      <c r="G111" s="183"/>
      <c r="H111" s="183"/>
      <c r="I111" s="50"/>
      <c r="J111" s="50"/>
      <c r="K111" s="183"/>
      <c r="L111" s="853"/>
      <c r="M111" s="853"/>
      <c r="O111" s="79" t="s">
        <v>3331</v>
      </c>
      <c r="P111" s="1598" t="s">
        <v>3975</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98" t="s">
        <v>3974</v>
      </c>
      <c r="G113" s="232"/>
      <c r="H113" s="79" t="s">
        <v>3331</v>
      </c>
      <c r="I113" s="62" t="s">
        <v>2156</v>
      </c>
      <c r="J113" s="1598" t="s">
        <v>3975</v>
      </c>
      <c r="K113" s="232"/>
      <c r="L113" s="803" t="s">
        <v>107</v>
      </c>
      <c r="M113" s="62" t="s">
        <v>2157</v>
      </c>
      <c r="O113" s="1598" t="s">
        <v>3975</v>
      </c>
      <c r="P113" s="232"/>
    </row>
    <row r="114" spans="1:31" ht="12" customHeight="1">
      <c r="B114" s="44"/>
      <c r="C114" s="79" t="s">
        <v>2591</v>
      </c>
      <c r="D114" s="62" t="s">
        <v>3501</v>
      </c>
      <c r="E114" s="183"/>
      <c r="F114" s="1598" t="s">
        <v>3975</v>
      </c>
      <c r="G114" s="232"/>
      <c r="H114" s="79" t="s">
        <v>2153</v>
      </c>
      <c r="I114" s="62" t="s">
        <v>3771</v>
      </c>
      <c r="J114" s="1624" t="s">
        <v>3975</v>
      </c>
      <c r="K114" s="663"/>
      <c r="L114" s="803" t="s">
        <v>743</v>
      </c>
      <c r="M114" s="65" t="s">
        <v>3772</v>
      </c>
      <c r="O114" s="1624" t="s">
        <v>3975</v>
      </c>
      <c r="P114" s="663"/>
    </row>
    <row r="115" spans="1:31" ht="12" customHeight="1">
      <c r="B115" s="44"/>
      <c r="C115" s="79" t="s">
        <v>2592</v>
      </c>
      <c r="D115" s="62" t="s">
        <v>3770</v>
      </c>
      <c r="E115" s="183"/>
      <c r="F115" s="1598" t="s">
        <v>3975</v>
      </c>
      <c r="G115" s="232"/>
      <c r="H115" s="79" t="s">
        <v>2154</v>
      </c>
      <c r="I115" s="62" t="s">
        <v>2155</v>
      </c>
      <c r="J115" s="1624" t="s">
        <v>3974</v>
      </c>
      <c r="K115" s="663"/>
      <c r="L115" s="803" t="s">
        <v>744</v>
      </c>
      <c r="M115" s="65" t="s">
        <v>3773</v>
      </c>
      <c r="O115" s="1624" t="s">
        <v>3975</v>
      </c>
      <c r="P115" s="663"/>
    </row>
    <row r="116" spans="1:31" ht="12" customHeight="1">
      <c r="B116" s="44"/>
      <c r="C116" s="803" t="s">
        <v>745</v>
      </c>
      <c r="D116" s="62" t="s">
        <v>3774</v>
      </c>
      <c r="E116" s="183"/>
      <c r="F116" s="183"/>
      <c r="G116" s="183"/>
      <c r="H116" s="183"/>
      <c r="J116" s="1608" t="s">
        <v>4048</v>
      </c>
      <c r="K116" s="1609"/>
      <c r="L116" s="1609"/>
      <c r="M116" s="1609"/>
      <c r="N116" s="1609"/>
      <c r="O116" s="1609"/>
      <c r="P116" s="1610"/>
      <c r="Q116" s="232"/>
    </row>
    <row r="117" spans="1:31" ht="12" customHeight="1">
      <c r="B117" s="55" t="s">
        <v>2589</v>
      </c>
      <c r="C117" s="62" t="s">
        <v>1851</v>
      </c>
      <c r="D117" s="183"/>
      <c r="E117" s="183"/>
      <c r="F117" s="183"/>
      <c r="G117" s="183"/>
      <c r="H117" s="183"/>
      <c r="I117" s="50"/>
      <c r="J117" s="50"/>
      <c r="K117" s="183"/>
      <c r="L117" s="183"/>
      <c r="M117" s="853"/>
      <c r="O117" s="803" t="s">
        <v>2589</v>
      </c>
      <c r="P117" s="1598" t="s">
        <v>1469</v>
      </c>
      <c r="Q117" s="232"/>
    </row>
    <row r="118" spans="1:31" ht="12" customHeight="1">
      <c r="A118" s="194"/>
      <c r="B118" s="50"/>
      <c r="C118" s="79" t="s">
        <v>2590</v>
      </c>
      <c r="D118" s="62" t="s">
        <v>995</v>
      </c>
      <c r="E118" s="183"/>
      <c r="F118" s="183"/>
      <c r="G118" s="183"/>
      <c r="H118" s="183"/>
      <c r="O118" s="79" t="s">
        <v>2590</v>
      </c>
      <c r="P118" s="1598" t="s">
        <v>1469</v>
      </c>
      <c r="Q118" s="232"/>
    </row>
    <row r="119" spans="1:31" ht="12" customHeight="1">
      <c r="A119" s="194"/>
      <c r="B119" s="180"/>
      <c r="C119" s="79" t="s">
        <v>2591</v>
      </c>
      <c r="D119" s="62" t="s">
        <v>681</v>
      </c>
      <c r="E119" s="62"/>
      <c r="F119" s="62"/>
      <c r="G119" s="62"/>
      <c r="H119" s="62"/>
      <c r="I119" s="50"/>
      <c r="J119" s="50"/>
      <c r="K119" s="62"/>
      <c r="L119" s="62"/>
      <c r="M119" s="62"/>
      <c r="O119" s="79" t="s">
        <v>2591</v>
      </c>
      <c r="P119" s="1598" t="s">
        <v>3974</v>
      </c>
      <c r="Q119" s="232"/>
    </row>
    <row r="120" spans="1:31" ht="12" customHeight="1">
      <c r="A120" s="194"/>
      <c r="B120" s="180"/>
      <c r="C120" s="79" t="s">
        <v>2592</v>
      </c>
      <c r="D120" s="62" t="s">
        <v>951</v>
      </c>
      <c r="E120" s="62"/>
      <c r="F120" s="62"/>
      <c r="G120" s="62"/>
      <c r="H120" s="62"/>
      <c r="I120" s="50"/>
      <c r="J120" s="50"/>
      <c r="K120" s="62"/>
      <c r="L120" s="62"/>
      <c r="M120" s="62"/>
      <c r="O120" s="79" t="s">
        <v>2592</v>
      </c>
      <c r="P120" s="1598" t="s">
        <v>1469</v>
      </c>
      <c r="Q120" s="232"/>
    </row>
    <row r="121" spans="1:31" ht="12" customHeight="1">
      <c r="B121" s="55" t="s">
        <v>2826</v>
      </c>
      <c r="C121" s="62" t="s">
        <v>2607</v>
      </c>
      <c r="D121" s="183"/>
      <c r="E121" s="183"/>
      <c r="F121" s="183"/>
      <c r="G121" s="183"/>
      <c r="H121" s="183"/>
      <c r="I121" s="50"/>
      <c r="J121" s="50"/>
      <c r="K121" s="183"/>
      <c r="L121" s="183"/>
      <c r="M121" s="853"/>
      <c r="O121" s="803" t="s">
        <v>2826</v>
      </c>
      <c r="P121" s="1598"/>
      <c r="Q121" s="232"/>
    </row>
    <row r="122" spans="1:31" ht="5.0999999999999996" customHeight="1"/>
    <row r="123" spans="1:31" ht="11.25" customHeight="1">
      <c r="B123" s="191" t="s">
        <v>2738</v>
      </c>
      <c r="D123" s="191"/>
      <c r="E123" s="191"/>
      <c r="F123" s="191"/>
      <c r="G123" s="191"/>
      <c r="H123" s="48"/>
      <c r="I123" s="180"/>
      <c r="J123" s="180"/>
      <c r="K123" s="180"/>
      <c r="L123" s="848"/>
      <c r="M123" s="848"/>
      <c r="N123" s="848"/>
      <c r="O123" s="848"/>
      <c r="P123" s="848"/>
      <c r="Q123" s="60"/>
    </row>
    <row r="124" spans="1:31" ht="159" customHeight="1">
      <c r="A124" s="1602" t="s">
        <v>4110</v>
      </c>
      <c r="B124" s="1603"/>
      <c r="C124" s="1603"/>
      <c r="D124" s="1603"/>
      <c r="E124" s="1603"/>
      <c r="F124" s="1603"/>
      <c r="G124" s="1603"/>
      <c r="H124" s="1603"/>
      <c r="I124" s="1603"/>
      <c r="J124" s="1603"/>
      <c r="K124" s="1603"/>
      <c r="L124" s="1603"/>
      <c r="M124" s="1603"/>
      <c r="N124" s="1603"/>
      <c r="O124" s="1603"/>
      <c r="P124" s="1603"/>
      <c r="Q124" s="1604"/>
      <c r="R124" s="736" t="s">
        <v>1806</v>
      </c>
      <c r="S124" s="737"/>
      <c r="U124" s="186"/>
      <c r="V124" s="186"/>
      <c r="W124" s="186"/>
      <c r="X124" s="186"/>
      <c r="Y124" s="186"/>
      <c r="Z124" s="186"/>
      <c r="AA124" s="186"/>
      <c r="AB124" s="186"/>
      <c r="AC124" s="186"/>
      <c r="AD124" s="186"/>
      <c r="AE124" s="805"/>
    </row>
    <row r="125" spans="1:31" ht="11.25" customHeight="1">
      <c r="B125" s="187" t="s">
        <v>2739</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4.1" customHeight="1">
      <c r="A128" s="857">
        <v>7</v>
      </c>
      <c r="B128" s="857" t="s">
        <v>3794</v>
      </c>
      <c r="C128" s="857"/>
      <c r="D128" s="856"/>
      <c r="E128" s="856"/>
      <c r="F128" s="856"/>
      <c r="G128" s="856"/>
      <c r="H128" s="856"/>
      <c r="I128" s="856"/>
      <c r="J128" s="856"/>
      <c r="K128" s="856"/>
      <c r="O128" s="181" t="s">
        <v>2740</v>
      </c>
      <c r="P128" s="1114"/>
      <c r="Q128" s="1119"/>
    </row>
    <row r="129" spans="1:31" ht="11.1" customHeight="1">
      <c r="B129" s="55" t="s">
        <v>2863</v>
      </c>
      <c r="C129" s="62" t="s">
        <v>3775</v>
      </c>
      <c r="D129" s="62"/>
      <c r="E129" s="62"/>
      <c r="F129" s="62"/>
      <c r="G129" s="62"/>
      <c r="H129" s="62"/>
      <c r="N129" s="62"/>
      <c r="O129" s="803" t="s">
        <v>2863</v>
      </c>
      <c r="P129" s="1598" t="s">
        <v>3974</v>
      </c>
      <c r="Q129" s="232"/>
    </row>
    <row r="130" spans="1:31" ht="12" customHeight="1">
      <c r="A130" s="189"/>
      <c r="B130" s="55" t="s">
        <v>2866</v>
      </c>
      <c r="C130" s="190" t="s">
        <v>185</v>
      </c>
      <c r="D130" s="190"/>
      <c r="E130" s="190"/>
      <c r="F130" s="190"/>
      <c r="G130" s="190"/>
      <c r="H130" s="190"/>
      <c r="M130" s="803" t="s">
        <v>2866</v>
      </c>
      <c r="N130" s="1625" t="s">
        <v>4049</v>
      </c>
      <c r="O130" s="1626"/>
      <c r="P130" s="1130"/>
      <c r="Q130" s="1131"/>
    </row>
    <row r="131" spans="1:31" ht="12" customHeight="1">
      <c r="A131" s="189"/>
      <c r="B131" s="55" t="s">
        <v>1145</v>
      </c>
      <c r="C131" s="190" t="s">
        <v>952</v>
      </c>
      <c r="D131" s="190"/>
      <c r="E131" s="190"/>
      <c r="F131" s="190"/>
      <c r="G131" s="190"/>
      <c r="H131" s="190"/>
      <c r="J131" s="803" t="s">
        <v>1145</v>
      </c>
      <c r="K131" s="1627" t="s">
        <v>4050</v>
      </c>
      <c r="L131" s="1628"/>
      <c r="M131" s="1628"/>
      <c r="N131" s="1628"/>
      <c r="O131" s="1628"/>
      <c r="P131" s="1629"/>
      <c r="Q131" s="232"/>
    </row>
    <row r="132" spans="1:31" ht="12" customHeight="1">
      <c r="B132" s="191" t="s">
        <v>2738</v>
      </c>
      <c r="D132" s="191"/>
      <c r="E132" s="191"/>
      <c r="F132" s="191"/>
      <c r="G132" s="191"/>
      <c r="H132" s="48"/>
      <c r="I132" s="180"/>
      <c r="J132" s="180"/>
      <c r="K132" s="180"/>
      <c r="L132" s="848"/>
      <c r="M132" s="848"/>
      <c r="N132" s="848"/>
      <c r="O132" s="848"/>
      <c r="P132" s="848"/>
      <c r="Q132" s="60"/>
    </row>
    <row r="133" spans="1:31" ht="36" customHeight="1">
      <c r="A133" s="1602" t="s">
        <v>4085</v>
      </c>
      <c r="B133" s="1603"/>
      <c r="C133" s="1603"/>
      <c r="D133" s="1603"/>
      <c r="E133" s="1603"/>
      <c r="F133" s="1603"/>
      <c r="G133" s="1603"/>
      <c r="H133" s="1603"/>
      <c r="I133" s="1603"/>
      <c r="J133" s="1603"/>
      <c r="K133" s="1603"/>
      <c r="L133" s="1603"/>
      <c r="M133" s="1603"/>
      <c r="N133" s="1603"/>
      <c r="O133" s="1603"/>
      <c r="P133" s="1603"/>
      <c r="Q133" s="1604"/>
      <c r="U133" s="186"/>
      <c r="V133" s="186"/>
      <c r="W133" s="186"/>
      <c r="X133" s="186"/>
      <c r="Y133" s="186"/>
      <c r="Z133" s="186"/>
      <c r="AA133" s="186"/>
      <c r="AB133" s="186"/>
      <c r="AC133" s="186"/>
      <c r="AD133" s="186"/>
      <c r="AE133" s="805"/>
    </row>
    <row r="134" spans="1:31" ht="12" customHeight="1">
      <c r="B134" s="187" t="s">
        <v>2739</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4.1" customHeight="1">
      <c r="A137" s="857">
        <v>8</v>
      </c>
      <c r="B137" s="857" t="s">
        <v>3795</v>
      </c>
      <c r="C137" s="857"/>
      <c r="D137" s="856"/>
      <c r="E137" s="856"/>
      <c r="F137" s="856"/>
      <c r="G137" s="856"/>
      <c r="H137" s="856"/>
      <c r="I137" s="856"/>
      <c r="J137" s="856"/>
      <c r="K137" s="856"/>
      <c r="L137" s="856"/>
      <c r="M137" s="856"/>
      <c r="O137" s="181" t="s">
        <v>2740</v>
      </c>
      <c r="P137" s="1114"/>
      <c r="Q137" s="1119"/>
    </row>
    <row r="138" spans="1:31" ht="12" customHeight="1">
      <c r="B138" s="192" t="s">
        <v>2863</v>
      </c>
      <c r="C138" s="190" t="s">
        <v>104</v>
      </c>
      <c r="D138" s="190"/>
      <c r="E138" s="190"/>
      <c r="F138" s="190"/>
      <c r="G138" s="190"/>
      <c r="H138" s="190"/>
      <c r="I138" s="190"/>
      <c r="J138" s="190"/>
      <c r="K138" s="190"/>
      <c r="L138" s="197"/>
      <c r="M138" s="197"/>
      <c r="N138" s="197"/>
      <c r="O138" s="219" t="s">
        <v>2863</v>
      </c>
      <c r="P138" s="1598" t="s">
        <v>3974</v>
      </c>
      <c r="Q138" s="232"/>
    </row>
    <row r="139" spans="1:31" ht="22.35" customHeight="1">
      <c r="B139" s="192" t="s">
        <v>2866</v>
      </c>
      <c r="C139" s="1118" t="s">
        <v>3517</v>
      </c>
      <c r="D139" s="1118"/>
      <c r="E139" s="1118"/>
      <c r="F139" s="1118"/>
      <c r="G139" s="1118"/>
      <c r="H139" s="1118"/>
      <c r="I139" s="1118"/>
      <c r="J139" s="1118"/>
      <c r="K139" s="1118"/>
      <c r="L139" s="1118"/>
      <c r="M139" s="1118"/>
      <c r="N139" s="1118"/>
      <c r="O139" s="219" t="s">
        <v>2866</v>
      </c>
      <c r="P139" s="1598" t="s">
        <v>1469</v>
      </c>
      <c r="Q139" s="232"/>
    </row>
    <row r="140" spans="1:31" ht="21.75" customHeight="1">
      <c r="B140" s="192" t="s">
        <v>1145</v>
      </c>
      <c r="C140" s="1118" t="s">
        <v>3777</v>
      </c>
      <c r="D140" s="1118"/>
      <c r="E140" s="1118"/>
      <c r="F140" s="1118"/>
      <c r="G140" s="1118"/>
      <c r="H140" s="1118"/>
      <c r="I140" s="1118"/>
      <c r="J140" s="1118"/>
      <c r="K140" s="1118"/>
      <c r="L140" s="1118"/>
      <c r="M140" s="1118"/>
      <c r="N140" s="1118"/>
      <c r="O140" s="219" t="s">
        <v>1145</v>
      </c>
      <c r="P140" s="1598" t="s">
        <v>1469</v>
      </c>
      <c r="Q140" s="232"/>
    </row>
    <row r="141" spans="1:31" ht="12" customHeight="1">
      <c r="B141" s="191" t="s">
        <v>2738</v>
      </c>
      <c r="D141" s="191"/>
      <c r="E141" s="191"/>
      <c r="F141" s="191"/>
      <c r="G141" s="191"/>
      <c r="H141" s="48"/>
      <c r="I141" s="180"/>
      <c r="J141" s="180"/>
      <c r="K141" s="180"/>
      <c r="L141" s="848"/>
      <c r="M141" s="848"/>
      <c r="N141" s="848"/>
      <c r="O141" s="848"/>
      <c r="P141" s="848"/>
      <c r="Q141" s="60"/>
    </row>
    <row r="142" spans="1:31" ht="32.25" customHeight="1">
      <c r="A142" s="1602" t="s">
        <v>4141</v>
      </c>
      <c r="B142" s="1603"/>
      <c r="C142" s="1603"/>
      <c r="D142" s="1603"/>
      <c r="E142" s="1603"/>
      <c r="F142" s="1603"/>
      <c r="G142" s="1603"/>
      <c r="H142" s="1603"/>
      <c r="I142" s="1603"/>
      <c r="J142" s="1603"/>
      <c r="K142" s="1603"/>
      <c r="L142" s="1603"/>
      <c r="M142" s="1603"/>
      <c r="N142" s="1603"/>
      <c r="O142" s="1603"/>
      <c r="P142" s="1603"/>
      <c r="Q142" s="1604"/>
      <c r="U142" s="186"/>
      <c r="V142" s="186"/>
      <c r="W142" s="186"/>
      <c r="X142" s="186"/>
      <c r="Y142" s="186"/>
      <c r="Z142" s="186"/>
      <c r="AA142" s="186"/>
      <c r="AB142" s="186"/>
      <c r="AC142" s="186"/>
      <c r="AD142" s="186"/>
      <c r="AE142" s="805"/>
    </row>
    <row r="143" spans="1:31" ht="12" customHeight="1">
      <c r="B143" s="187" t="s">
        <v>2739</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4.1" customHeight="1">
      <c r="A146" s="831">
        <v>9</v>
      </c>
      <c r="B146" s="1120" t="s">
        <v>3796</v>
      </c>
      <c r="C146" s="1120"/>
      <c r="D146" s="1120"/>
      <c r="O146" s="181" t="s">
        <v>2740</v>
      </c>
      <c r="P146" s="1114"/>
      <c r="Q146" s="1119"/>
    </row>
    <row r="147" spans="1:32" ht="12" customHeight="1">
      <c r="B147" s="192" t="s">
        <v>2863</v>
      </c>
      <c r="C147" s="197" t="s">
        <v>653</v>
      </c>
      <c r="D147" s="197"/>
      <c r="E147" s="197"/>
      <c r="F147" s="197"/>
      <c r="G147" s="197"/>
      <c r="H147" s="197"/>
      <c r="I147" s="197"/>
      <c r="J147" s="197"/>
      <c r="K147" s="197"/>
      <c r="L147" s="197"/>
      <c r="M147" s="197"/>
      <c r="O147" s="219" t="s">
        <v>2863</v>
      </c>
      <c r="P147" s="1598" t="s">
        <v>3974</v>
      </c>
      <c r="Q147" s="232"/>
    </row>
    <row r="148" spans="1:32" ht="12" customHeight="1">
      <c r="B148" s="192" t="s">
        <v>2866</v>
      </c>
      <c r="C148" s="197" t="s">
        <v>3778</v>
      </c>
      <c r="D148" s="197"/>
      <c r="E148" s="197"/>
      <c r="F148" s="197"/>
      <c r="G148" s="197"/>
      <c r="H148" s="197"/>
      <c r="I148" s="197"/>
      <c r="J148" s="197"/>
      <c r="K148" s="197"/>
      <c r="L148" s="197"/>
      <c r="M148" s="197"/>
      <c r="O148" s="219" t="s">
        <v>2866</v>
      </c>
      <c r="P148" s="1598" t="s">
        <v>3974</v>
      </c>
      <c r="Q148" s="232"/>
    </row>
    <row r="149" spans="1:32" ht="12" customHeight="1">
      <c r="B149" s="192" t="s">
        <v>1145</v>
      </c>
      <c r="C149" s="197" t="s">
        <v>3779</v>
      </c>
      <c r="D149" s="197"/>
      <c r="E149" s="197"/>
      <c r="F149" s="197"/>
      <c r="G149" s="197"/>
      <c r="H149" s="197"/>
      <c r="I149" s="197"/>
      <c r="J149" s="197"/>
      <c r="K149" s="197"/>
      <c r="L149" s="197"/>
      <c r="M149" s="197"/>
      <c r="O149" s="219" t="s">
        <v>1145</v>
      </c>
      <c r="P149" s="1598" t="s">
        <v>3974</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98" t="s">
        <v>3974</v>
      </c>
      <c r="Q150" s="232"/>
    </row>
    <row r="151" spans="1:32" ht="12" customHeight="1">
      <c r="B151" s="192"/>
      <c r="C151" s="197"/>
      <c r="D151" s="197"/>
      <c r="E151" s="728" t="s">
        <v>2591</v>
      </c>
      <c r="F151" s="197" t="s">
        <v>3781</v>
      </c>
      <c r="G151" s="197"/>
      <c r="H151" s="197"/>
      <c r="I151" s="197"/>
      <c r="J151" s="197"/>
      <c r="K151" s="197"/>
      <c r="L151" s="197"/>
      <c r="M151" s="197"/>
      <c r="O151" s="728" t="s">
        <v>2591</v>
      </c>
      <c r="P151" s="1598" t="s">
        <v>3974</v>
      </c>
      <c r="Q151" s="232"/>
    </row>
    <row r="152" spans="1:32" s="182" customFormat="1" ht="21.75" customHeight="1">
      <c r="B152" s="192"/>
      <c r="C152" s="197"/>
      <c r="D152" s="197"/>
      <c r="E152" s="219" t="s">
        <v>2592</v>
      </c>
      <c r="F152" s="1118" t="s">
        <v>3782</v>
      </c>
      <c r="G152" s="1118"/>
      <c r="H152" s="1118"/>
      <c r="I152" s="1118"/>
      <c r="J152" s="1118"/>
      <c r="K152" s="1118"/>
      <c r="L152" s="1118"/>
      <c r="M152" s="1118"/>
      <c r="N152" s="1118"/>
      <c r="O152" s="219" t="s">
        <v>2592</v>
      </c>
      <c r="P152" s="1619" t="s">
        <v>3974</v>
      </c>
      <c r="Q152" s="354"/>
      <c r="AE152" s="806"/>
      <c r="AF152" s="806"/>
    </row>
    <row r="153" spans="1:32" ht="12" customHeight="1">
      <c r="B153" s="192"/>
      <c r="C153" s="197"/>
      <c r="D153" s="197"/>
      <c r="E153" s="728" t="s">
        <v>3331</v>
      </c>
      <c r="F153" s="197" t="s">
        <v>3783</v>
      </c>
      <c r="G153" s="197"/>
      <c r="H153" s="197"/>
      <c r="I153" s="197"/>
      <c r="J153" s="197"/>
      <c r="K153" s="197"/>
      <c r="L153" s="197"/>
      <c r="M153" s="197"/>
      <c r="O153" s="728" t="s">
        <v>3331</v>
      </c>
      <c r="P153" s="1598" t="s">
        <v>3974</v>
      </c>
      <c r="Q153" s="232"/>
    </row>
    <row r="154" spans="1:32" s="182" customFormat="1" ht="21.75" customHeight="1">
      <c r="B154" s="192"/>
      <c r="C154" s="197"/>
      <c r="D154" s="197"/>
      <c r="E154" s="219" t="s">
        <v>2153</v>
      </c>
      <c r="F154" s="1118" t="s">
        <v>3784</v>
      </c>
      <c r="G154" s="1118"/>
      <c r="H154" s="1118"/>
      <c r="I154" s="1118"/>
      <c r="J154" s="1118"/>
      <c r="K154" s="1118"/>
      <c r="L154" s="1118"/>
      <c r="M154" s="1118"/>
      <c r="N154" s="1118"/>
      <c r="O154" s="219" t="s">
        <v>2153</v>
      </c>
      <c r="P154" s="1619" t="s">
        <v>1469</v>
      </c>
      <c r="Q154" s="354"/>
      <c r="AE154" s="806"/>
      <c r="AF154" s="806"/>
    </row>
    <row r="155" spans="1:32" ht="21.75" customHeight="1">
      <c r="B155" s="192" t="s">
        <v>3005</v>
      </c>
      <c r="C155" s="1118" t="s">
        <v>3785</v>
      </c>
      <c r="D155" s="1118"/>
      <c r="E155" s="1118"/>
      <c r="F155" s="1118"/>
      <c r="G155" s="1118"/>
      <c r="H155" s="1118"/>
      <c r="I155" s="1118"/>
      <c r="J155" s="1118"/>
      <c r="K155" s="1118"/>
      <c r="L155" s="1118"/>
      <c r="M155" s="1118"/>
      <c r="N155" s="1118"/>
      <c r="O155" s="219" t="s">
        <v>3005</v>
      </c>
      <c r="P155" s="1598" t="s">
        <v>3974</v>
      </c>
      <c r="Q155" s="232"/>
    </row>
    <row r="156" spans="1:32" ht="12" customHeight="1">
      <c r="B156" s="192" t="s">
        <v>2588</v>
      </c>
      <c r="C156" s="197" t="s">
        <v>3352</v>
      </c>
      <c r="D156" s="197"/>
      <c r="E156" s="197"/>
      <c r="F156" s="197"/>
      <c r="G156" s="197"/>
      <c r="H156" s="197"/>
      <c r="I156" s="197"/>
      <c r="J156" s="197"/>
      <c r="K156" s="197"/>
      <c r="L156" s="197"/>
      <c r="M156" s="197"/>
      <c r="O156" s="219" t="s">
        <v>2588</v>
      </c>
      <c r="P156" s="1598" t="s">
        <v>3974</v>
      </c>
      <c r="Q156" s="232"/>
    </row>
    <row r="157" spans="1:32" ht="12" customHeight="1">
      <c r="B157" s="191" t="s">
        <v>2738</v>
      </c>
      <c r="D157" s="191"/>
      <c r="E157" s="191"/>
      <c r="F157" s="191"/>
      <c r="G157" s="191"/>
      <c r="H157" s="48"/>
      <c r="I157" s="180"/>
      <c r="J157" s="180"/>
      <c r="K157" s="180"/>
      <c r="L157" s="848"/>
      <c r="M157" s="848"/>
      <c r="N157" s="848"/>
      <c r="O157" s="848"/>
      <c r="P157" s="848"/>
      <c r="Q157" s="60"/>
    </row>
    <row r="158" spans="1:32" ht="95.25" customHeight="1">
      <c r="A158" s="1602" t="s">
        <v>4101</v>
      </c>
      <c r="B158" s="1603"/>
      <c r="C158" s="1603"/>
      <c r="D158" s="1603"/>
      <c r="E158" s="1603"/>
      <c r="F158" s="1603"/>
      <c r="G158" s="1603"/>
      <c r="H158" s="1603"/>
      <c r="I158" s="1603"/>
      <c r="J158" s="1603"/>
      <c r="K158" s="1603"/>
      <c r="L158" s="1603"/>
      <c r="M158" s="1603"/>
      <c r="N158" s="1603"/>
      <c r="O158" s="1603"/>
      <c r="P158" s="1603"/>
      <c r="Q158" s="1604"/>
      <c r="U158" s="186"/>
      <c r="V158" s="186"/>
      <c r="W158" s="186"/>
      <c r="X158" s="186"/>
      <c r="Y158" s="186"/>
      <c r="Z158" s="186"/>
      <c r="AA158" s="186"/>
      <c r="AB158" s="186"/>
      <c r="AC158" s="186"/>
      <c r="AD158" s="186"/>
      <c r="AE158" s="805"/>
    </row>
    <row r="159" spans="1:32" ht="12" customHeight="1">
      <c r="B159" s="187" t="s">
        <v>2739</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4.1" customHeight="1">
      <c r="A162" s="857">
        <v>10</v>
      </c>
      <c r="B162" s="857" t="s">
        <v>3797</v>
      </c>
      <c r="C162" s="857"/>
      <c r="D162" s="856"/>
      <c r="E162" s="198"/>
      <c r="F162" s="198"/>
      <c r="G162" s="856"/>
      <c r="J162" s="1148"/>
      <c r="K162" s="1148"/>
      <c r="L162" s="1148"/>
      <c r="M162" s="1148"/>
      <c r="N162" s="1148"/>
      <c r="O162" s="181" t="s">
        <v>2740</v>
      </c>
      <c r="P162" s="1114"/>
      <c r="Q162" s="1119"/>
    </row>
    <row r="163" spans="1:31" ht="12" customHeight="1">
      <c r="A163" s="189"/>
      <c r="B163" s="55" t="s">
        <v>2863</v>
      </c>
      <c r="C163" s="1118" t="s">
        <v>105</v>
      </c>
      <c r="D163" s="1118"/>
      <c r="E163" s="1118"/>
      <c r="F163" s="1118"/>
      <c r="G163" s="1118"/>
      <c r="H163" s="79" t="s">
        <v>2590</v>
      </c>
      <c r="I163" s="62" t="s">
        <v>187</v>
      </c>
      <c r="J163" s="1608" t="s">
        <v>2711</v>
      </c>
      <c r="K163" s="1609"/>
      <c r="L163" s="1609"/>
      <c r="M163" s="1609"/>
      <c r="N163" s="1610"/>
      <c r="O163" s="79" t="s">
        <v>2590</v>
      </c>
      <c r="P163" s="1598" t="s">
        <v>1469</v>
      </c>
      <c r="Q163" s="232"/>
    </row>
    <row r="164" spans="1:31" ht="12" customHeight="1">
      <c r="A164" s="189"/>
      <c r="B164" s="180"/>
      <c r="C164" s="143"/>
      <c r="D164" s="143"/>
      <c r="E164" s="143"/>
      <c r="F164" s="143"/>
      <c r="H164" s="79" t="s">
        <v>2591</v>
      </c>
      <c r="I164" s="62" t="s">
        <v>2204</v>
      </c>
      <c r="J164" s="1608" t="s">
        <v>4001</v>
      </c>
      <c r="K164" s="1609"/>
      <c r="L164" s="1609"/>
      <c r="M164" s="1609"/>
      <c r="N164" s="1610"/>
      <c r="O164" s="79" t="s">
        <v>2591</v>
      </c>
      <c r="P164" s="1598" t="s">
        <v>3974</v>
      </c>
      <c r="Q164" s="232"/>
    </row>
    <row r="165" spans="1:31" ht="12" customHeight="1">
      <c r="B165" s="191" t="s">
        <v>2738</v>
      </c>
      <c r="D165" s="191"/>
      <c r="E165" s="191"/>
      <c r="F165" s="191"/>
      <c r="G165" s="191"/>
      <c r="J165" s="180"/>
      <c r="K165" s="180"/>
      <c r="L165" s="848"/>
      <c r="M165" s="848"/>
      <c r="N165" s="848"/>
      <c r="O165" s="848"/>
      <c r="P165" s="848"/>
      <c r="Q165" s="60"/>
    </row>
    <row r="166" spans="1:31" ht="11.45" customHeight="1">
      <c r="A166" s="1602" t="s">
        <v>4145</v>
      </c>
      <c r="B166" s="1603"/>
      <c r="C166" s="1603"/>
      <c r="D166" s="1603"/>
      <c r="E166" s="1603"/>
      <c r="F166" s="1603"/>
      <c r="G166" s="1603"/>
      <c r="H166" s="1603"/>
      <c r="I166" s="1603"/>
      <c r="J166" s="1603"/>
      <c r="K166" s="1603"/>
      <c r="L166" s="1603"/>
      <c r="M166" s="1603"/>
      <c r="N166" s="1603"/>
      <c r="O166" s="1603"/>
      <c r="P166" s="1603"/>
      <c r="Q166" s="1604"/>
      <c r="U166" s="186"/>
      <c r="V166" s="186"/>
      <c r="W166" s="186"/>
      <c r="X166" s="186"/>
      <c r="Y166" s="186"/>
      <c r="Z166" s="186"/>
      <c r="AA166" s="186"/>
      <c r="AB166" s="186"/>
      <c r="AC166" s="186"/>
      <c r="AD166" s="186"/>
      <c r="AE166" s="805"/>
    </row>
    <row r="167" spans="1:31" ht="12" customHeight="1">
      <c r="B167" s="187" t="s">
        <v>2739</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3499999999999996" customHeight="1">
      <c r="B169" s="180"/>
      <c r="C169" s="856"/>
      <c r="D169" s="856"/>
      <c r="E169" s="856"/>
      <c r="F169" s="856"/>
      <c r="G169" s="856"/>
      <c r="H169" s="856"/>
      <c r="I169" s="856"/>
      <c r="J169" s="856"/>
      <c r="K169" s="856"/>
      <c r="L169" s="856"/>
      <c r="M169" s="856"/>
      <c r="Q169" s="60"/>
    </row>
    <row r="170" spans="1:31" ht="14.1" customHeight="1">
      <c r="A170" s="857">
        <v>11</v>
      </c>
      <c r="B170" s="5" t="s">
        <v>3798</v>
      </c>
      <c r="C170" s="5"/>
      <c r="D170" s="115"/>
      <c r="E170" s="115"/>
      <c r="F170" s="115"/>
      <c r="G170" s="856"/>
      <c r="H170" s="856"/>
      <c r="I170" s="856"/>
      <c r="J170" s="856"/>
      <c r="K170" s="856"/>
      <c r="L170" s="856"/>
      <c r="M170" s="856"/>
      <c r="O170" s="181" t="s">
        <v>2740</v>
      </c>
      <c r="P170" s="1114"/>
      <c r="Q170" s="1119"/>
    </row>
    <row r="171" spans="1:31" ht="4.3499999999999996"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98" t="s">
        <v>1469</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98" t="s">
        <v>1469</v>
      </c>
      <c r="Q173" s="232"/>
    </row>
    <row r="174" spans="1:31" ht="11.45" customHeight="1">
      <c r="A174" s="189"/>
      <c r="B174" s="192" t="s">
        <v>2866</v>
      </c>
      <c r="C174" s="1118" t="s">
        <v>2721</v>
      </c>
      <c r="D174" s="1118"/>
      <c r="E174" s="1118"/>
      <c r="F174" s="1118"/>
      <c r="G174" s="1118"/>
      <c r="H174" s="79" t="s">
        <v>2590</v>
      </c>
      <c r="I174" s="62" t="s">
        <v>894</v>
      </c>
      <c r="J174" s="1608" t="s">
        <v>4051</v>
      </c>
      <c r="K174" s="1609"/>
      <c r="L174" s="1609"/>
      <c r="M174" s="1609"/>
      <c r="N174" s="1610"/>
      <c r="O174" s="79" t="s">
        <v>2030</v>
      </c>
      <c r="P174" s="1598" t="s">
        <v>3974</v>
      </c>
      <c r="Q174" s="232"/>
    </row>
    <row r="175" spans="1:31" ht="11.45" customHeight="1">
      <c r="A175" s="189"/>
      <c r="B175" s="859"/>
      <c r="C175" s="1118"/>
      <c r="D175" s="1118"/>
      <c r="E175" s="1118"/>
      <c r="F175" s="1118"/>
      <c r="G175" s="1118"/>
      <c r="H175" s="79" t="s">
        <v>2591</v>
      </c>
      <c r="I175" s="62" t="s">
        <v>125</v>
      </c>
      <c r="J175" s="1608" t="s">
        <v>4051</v>
      </c>
      <c r="K175" s="1609"/>
      <c r="L175" s="1609"/>
      <c r="M175" s="1609"/>
      <c r="N175" s="1610"/>
      <c r="O175" s="79" t="s">
        <v>2591</v>
      </c>
      <c r="P175" s="1598" t="s">
        <v>3974</v>
      </c>
      <c r="Q175" s="232"/>
    </row>
    <row r="176" spans="1:31" ht="11.25" customHeight="1">
      <c r="B176" s="191" t="s">
        <v>2738</v>
      </c>
      <c r="D176" s="191"/>
      <c r="E176" s="191"/>
      <c r="F176" s="191"/>
      <c r="G176" s="191"/>
      <c r="H176" s="48"/>
      <c r="I176" s="180"/>
      <c r="J176" s="180"/>
      <c r="K176" s="180"/>
      <c r="L176" s="848"/>
      <c r="M176" s="848"/>
      <c r="N176" s="848"/>
      <c r="O176" s="848"/>
      <c r="P176" s="848"/>
      <c r="Q176" s="60"/>
    </row>
    <row r="177" spans="1:32" ht="11.45" customHeight="1">
      <c r="A177" s="1602" t="s">
        <v>4052</v>
      </c>
      <c r="B177" s="1603"/>
      <c r="C177" s="1603"/>
      <c r="D177" s="1603"/>
      <c r="E177" s="1603"/>
      <c r="F177" s="1603"/>
      <c r="G177" s="1603"/>
      <c r="H177" s="1603"/>
      <c r="I177" s="1603"/>
      <c r="J177" s="1603"/>
      <c r="K177" s="1603"/>
      <c r="L177" s="1603"/>
      <c r="M177" s="1603"/>
      <c r="N177" s="1603"/>
      <c r="O177" s="1603"/>
      <c r="P177" s="1603"/>
      <c r="Q177" s="1604"/>
      <c r="U177" s="186"/>
      <c r="V177" s="186"/>
      <c r="W177" s="186"/>
      <c r="X177" s="186"/>
      <c r="Y177" s="186"/>
      <c r="Z177" s="186"/>
      <c r="AA177" s="186"/>
      <c r="AB177" s="186"/>
      <c r="AC177" s="186"/>
      <c r="AD177" s="186"/>
      <c r="AE177" s="805"/>
    </row>
    <row r="178" spans="1:32" ht="11.25" customHeight="1">
      <c r="B178" s="187" t="s">
        <v>2739</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4.1" customHeight="1">
      <c r="A181" s="857">
        <v>12</v>
      </c>
      <c r="B181" s="5" t="s">
        <v>3799</v>
      </c>
      <c r="C181" s="5"/>
      <c r="D181" s="115"/>
      <c r="E181" s="115"/>
      <c r="F181" s="115"/>
      <c r="G181" s="115"/>
      <c r="H181" s="856"/>
      <c r="I181" s="856"/>
      <c r="J181" s="856"/>
      <c r="K181" s="856"/>
      <c r="L181" s="856"/>
      <c r="M181" s="856"/>
      <c r="O181" s="181" t="s">
        <v>2740</v>
      </c>
      <c r="P181" s="1114"/>
      <c r="Q181" s="1119"/>
    </row>
    <row r="182" spans="1:32" ht="11.1"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98" t="s">
        <v>3974</v>
      </c>
      <c r="Q183" s="232"/>
    </row>
    <row r="184" spans="1:32" ht="11.45" customHeight="1">
      <c r="B184" s="55" t="s">
        <v>2866</v>
      </c>
      <c r="C184" s="62" t="s">
        <v>176</v>
      </c>
      <c r="D184" s="62"/>
      <c r="E184" s="62"/>
      <c r="F184" s="62"/>
      <c r="G184" s="62"/>
      <c r="H184" s="62"/>
      <c r="I184" s="50"/>
      <c r="J184" s="50"/>
      <c r="K184" s="50"/>
      <c r="L184" s="190"/>
      <c r="M184" s="190"/>
      <c r="O184" s="219" t="s">
        <v>2866</v>
      </c>
      <c r="P184" s="1598" t="s">
        <v>3974</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98" t="s">
        <v>3974</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98" t="s">
        <v>3974</v>
      </c>
      <c r="Q186" s="232"/>
      <c r="AE186" s="807"/>
      <c r="AF186" s="807"/>
    </row>
    <row r="187" spans="1:32" ht="11.25" customHeight="1">
      <c r="B187" s="191" t="s">
        <v>2738</v>
      </c>
      <c r="D187" s="191"/>
      <c r="E187" s="191"/>
      <c r="F187" s="191"/>
      <c r="G187" s="191"/>
      <c r="H187" s="48"/>
      <c r="I187" s="180"/>
      <c r="J187" s="180"/>
      <c r="K187" s="180"/>
      <c r="L187" s="848"/>
      <c r="M187" s="848"/>
      <c r="N187" s="848"/>
      <c r="O187" s="848"/>
      <c r="P187" s="848"/>
      <c r="Q187" s="60"/>
    </row>
    <row r="188" spans="1:32" ht="70.5" customHeight="1">
      <c r="A188" s="1602" t="s">
        <v>4111</v>
      </c>
      <c r="B188" s="1603"/>
      <c r="C188" s="1603"/>
      <c r="D188" s="1603"/>
      <c r="E188" s="1603"/>
      <c r="F188" s="1603"/>
      <c r="G188" s="1603"/>
      <c r="H188" s="1603"/>
      <c r="I188" s="1603"/>
      <c r="J188" s="1603"/>
      <c r="K188" s="1603"/>
      <c r="L188" s="1603"/>
      <c r="M188" s="1603"/>
      <c r="N188" s="1603"/>
      <c r="O188" s="1603"/>
      <c r="P188" s="1603"/>
      <c r="Q188" s="1604"/>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6"/>
      <c r="E190" s="856"/>
      <c r="F190" s="856"/>
      <c r="G190" s="856"/>
      <c r="H190" s="856"/>
      <c r="I190" s="856"/>
      <c r="J190" s="856"/>
      <c r="K190" s="856"/>
      <c r="L190" s="856"/>
      <c r="M190" s="856"/>
      <c r="N190" s="856"/>
      <c r="O190" s="856"/>
      <c r="P190" s="856"/>
      <c r="Q190" s="856"/>
    </row>
    <row r="191" spans="1:32" ht="13.3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4.1" customHeight="1">
      <c r="A193" s="857">
        <v>13</v>
      </c>
      <c r="B193" s="857" t="s">
        <v>3800</v>
      </c>
      <c r="C193" s="154"/>
      <c r="D193" s="856"/>
      <c r="E193" s="856"/>
      <c r="F193" s="856"/>
      <c r="G193" s="856"/>
      <c r="H193" s="856"/>
      <c r="I193" s="856"/>
      <c r="J193" s="856"/>
      <c r="K193" s="856"/>
      <c r="L193" s="856"/>
      <c r="M193" s="856"/>
      <c r="O193" s="181" t="s">
        <v>2740</v>
      </c>
      <c r="P193" s="1114"/>
      <c r="Q193" s="1119"/>
    </row>
    <row r="194" spans="1:32" s="31" customFormat="1" ht="11.45" customHeight="1">
      <c r="B194" s="195" t="s">
        <v>1716</v>
      </c>
      <c r="N194" s="166"/>
      <c r="P194" s="1598" t="s">
        <v>3974</v>
      </c>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608" t="s">
        <v>768</v>
      </c>
      <c r="N196" s="1609"/>
      <c r="O196" s="1610"/>
      <c r="P196" s="1598" t="s">
        <v>4041</v>
      </c>
      <c r="Q196" s="232"/>
    </row>
    <row r="197" spans="1:32" ht="11.45" customHeight="1">
      <c r="B197" s="55"/>
      <c r="C197" s="79" t="s">
        <v>2591</v>
      </c>
      <c r="D197" s="38" t="s">
        <v>180</v>
      </c>
      <c r="E197" s="38"/>
      <c r="F197" s="38"/>
      <c r="G197" s="38"/>
      <c r="H197" s="38"/>
      <c r="I197" s="50"/>
      <c r="J197" s="50"/>
      <c r="K197" s="50"/>
      <c r="L197" s="79" t="s">
        <v>2082</v>
      </c>
      <c r="M197" s="1608" t="s">
        <v>4053</v>
      </c>
      <c r="N197" s="1609"/>
      <c r="O197" s="1610"/>
      <c r="P197" s="1598" t="s">
        <v>4041</v>
      </c>
      <c r="Q197" s="232"/>
    </row>
    <row r="198" spans="1:32" ht="11.45" customHeight="1">
      <c r="B198" s="55"/>
      <c r="C198" s="79" t="s">
        <v>2592</v>
      </c>
      <c r="D198" s="38" t="s">
        <v>796</v>
      </c>
      <c r="E198" s="38"/>
      <c r="F198" s="38"/>
      <c r="G198" s="38"/>
      <c r="H198" s="38"/>
      <c r="I198" s="50"/>
      <c r="J198" s="50"/>
      <c r="K198" s="50"/>
      <c r="L198" s="79" t="s">
        <v>2083</v>
      </c>
      <c r="M198" s="1630" t="s">
        <v>4054</v>
      </c>
      <c r="N198" s="1631"/>
      <c r="O198" s="1632"/>
      <c r="P198" s="1598" t="s">
        <v>4041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3519</v>
      </c>
      <c r="D200" s="62"/>
      <c r="E200" s="62"/>
      <c r="F200" s="62"/>
      <c r="G200" s="62"/>
      <c r="H200" s="62"/>
      <c r="I200" s="62"/>
      <c r="J200" s="62"/>
      <c r="K200" s="50"/>
      <c r="L200" s="50"/>
      <c r="M200" s="50"/>
      <c r="N200" s="50"/>
      <c r="O200" s="803" t="s">
        <v>2866</v>
      </c>
      <c r="P200" s="1598" t="s">
        <v>4041</v>
      </c>
      <c r="Q200" s="232"/>
    </row>
    <row r="201" spans="1:32" ht="11.1" customHeight="1">
      <c r="B201" s="55"/>
      <c r="C201" s="62" t="s">
        <v>3518</v>
      </c>
      <c r="D201" s="62"/>
      <c r="E201" s="62"/>
      <c r="F201" s="62"/>
      <c r="G201" s="62"/>
      <c r="H201" s="62"/>
      <c r="I201" s="62"/>
      <c r="J201" s="62"/>
      <c r="K201" s="50"/>
      <c r="L201" s="50"/>
      <c r="M201" s="50"/>
      <c r="N201" s="50"/>
      <c r="O201" s="50"/>
      <c r="P201" s="1162" t="s">
        <v>3</v>
      </c>
      <c r="Q201" s="1162"/>
    </row>
    <row r="202" spans="1:32" ht="11.1"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35.25" customHeight="1">
      <c r="A203" s="126"/>
      <c r="B203" s="61"/>
      <c r="C203" s="79" t="s">
        <v>2590</v>
      </c>
      <c r="D203" s="1633" t="s">
        <v>4058</v>
      </c>
      <c r="E203" s="1634"/>
      <c r="F203" s="1634"/>
      <c r="G203" s="1634"/>
      <c r="H203" s="1635"/>
      <c r="I203" s="447"/>
      <c r="J203" s="292"/>
      <c r="K203" s="79" t="s">
        <v>2592</v>
      </c>
      <c r="L203" s="1633" t="s">
        <v>4056</v>
      </c>
      <c r="M203" s="1634"/>
      <c r="N203" s="1634"/>
      <c r="O203" s="1635"/>
      <c r="P203" s="355"/>
      <c r="Q203" s="292"/>
      <c r="AE203" s="64"/>
      <c r="AF203" s="64"/>
    </row>
    <row r="204" spans="1:32" s="51" customFormat="1" ht="37.5" customHeight="1">
      <c r="A204" s="126"/>
      <c r="B204" s="61"/>
      <c r="C204" s="79" t="s">
        <v>2591</v>
      </c>
      <c r="D204" s="1636" t="s">
        <v>4055</v>
      </c>
      <c r="E204" s="1637"/>
      <c r="F204" s="1637"/>
      <c r="G204" s="1637"/>
      <c r="H204" s="1638"/>
      <c r="I204" s="652"/>
      <c r="J204" s="293"/>
      <c r="K204" s="79" t="s">
        <v>3331</v>
      </c>
      <c r="L204" s="1636" t="s">
        <v>4057</v>
      </c>
      <c r="M204" s="1637"/>
      <c r="N204" s="1637"/>
      <c r="O204" s="1638"/>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98" t="s">
        <v>4041</v>
      </c>
      <c r="Q206" s="232"/>
    </row>
    <row r="207" spans="1:32" ht="11.45" customHeight="1">
      <c r="B207" s="55"/>
      <c r="C207" s="79" t="s">
        <v>2590</v>
      </c>
      <c r="D207" s="62" t="s">
        <v>188</v>
      </c>
      <c r="E207" s="62"/>
      <c r="F207" s="62"/>
      <c r="G207" s="62"/>
      <c r="H207" s="62"/>
      <c r="I207" s="50"/>
      <c r="J207" s="40"/>
      <c r="K207" s="50"/>
      <c r="L207" s="40"/>
      <c r="M207" s="40"/>
      <c r="O207" s="79" t="s">
        <v>2590</v>
      </c>
      <c r="P207" s="1598" t="s">
        <v>3974</v>
      </c>
      <c r="Q207" s="232"/>
    </row>
    <row r="208" spans="1:32" ht="11.45" customHeight="1">
      <c r="C208" s="79" t="s">
        <v>2591</v>
      </c>
      <c r="D208" s="38" t="s">
        <v>2490</v>
      </c>
      <c r="E208" s="38"/>
      <c r="F208" s="38"/>
      <c r="G208" s="38"/>
      <c r="H208" s="38"/>
      <c r="I208" s="50"/>
      <c r="J208" s="40"/>
      <c r="K208" s="50"/>
      <c r="L208" s="40"/>
      <c r="M208" s="40"/>
      <c r="O208" s="79" t="s">
        <v>2591</v>
      </c>
      <c r="P208" s="1598" t="s">
        <v>3974</v>
      </c>
      <c r="Q208" s="232"/>
    </row>
    <row r="209" spans="1:31" ht="11.45" customHeight="1">
      <c r="C209" s="79" t="s">
        <v>2592</v>
      </c>
      <c r="D209" s="38" t="s">
        <v>2107</v>
      </c>
      <c r="E209" s="38"/>
      <c r="F209" s="38"/>
      <c r="G209" s="38"/>
      <c r="H209" s="38"/>
      <c r="I209" s="50"/>
      <c r="J209" s="40"/>
      <c r="K209" s="50"/>
      <c r="L209" s="40"/>
      <c r="M209" s="40"/>
      <c r="O209" s="79" t="s">
        <v>2592</v>
      </c>
      <c r="P209" s="1598" t="s">
        <v>3974</v>
      </c>
      <c r="Q209" s="232"/>
    </row>
    <row r="210" spans="1:31" ht="11.45" customHeight="1">
      <c r="B210" s="55"/>
      <c r="C210" s="79" t="s">
        <v>3331</v>
      </c>
      <c r="D210" s="38" t="s">
        <v>189</v>
      </c>
      <c r="E210" s="38"/>
      <c r="F210" s="38"/>
      <c r="G210" s="38"/>
      <c r="H210" s="38"/>
      <c r="I210" s="50"/>
      <c r="J210" s="40"/>
      <c r="K210" s="50"/>
      <c r="L210" s="40"/>
      <c r="M210" s="40"/>
      <c r="O210" s="79" t="s">
        <v>3331</v>
      </c>
      <c r="P210" s="1598" t="s">
        <v>3974</v>
      </c>
      <c r="Q210" s="232"/>
    </row>
    <row r="211" spans="1:31" ht="11.45" customHeight="1">
      <c r="B211" s="55"/>
      <c r="C211" s="79" t="s">
        <v>2153</v>
      </c>
      <c r="D211" s="62" t="s">
        <v>1256</v>
      </c>
      <c r="E211" s="62"/>
      <c r="F211" s="62"/>
      <c r="G211" s="62"/>
      <c r="H211" s="62"/>
      <c r="I211" s="50"/>
      <c r="J211" s="40"/>
      <c r="K211" s="50"/>
      <c r="L211" s="40"/>
      <c r="M211" s="40"/>
      <c r="O211" s="79" t="s">
        <v>1257</v>
      </c>
      <c r="P211" s="1598" t="s">
        <v>3974</v>
      </c>
      <c r="Q211" s="232"/>
    </row>
    <row r="212" spans="1:31" ht="11.45" customHeight="1">
      <c r="B212" s="55"/>
      <c r="C212" s="79"/>
      <c r="D212" s="62" t="s">
        <v>2084</v>
      </c>
      <c r="E212" s="62"/>
      <c r="F212" s="62"/>
      <c r="G212" s="62"/>
      <c r="H212" s="62"/>
      <c r="I212" s="50"/>
      <c r="J212" s="40"/>
      <c r="K212" s="50"/>
      <c r="L212" s="40"/>
      <c r="M212" s="40"/>
      <c r="O212" s="79" t="s">
        <v>1258</v>
      </c>
      <c r="P212" s="1598" t="s">
        <v>3975</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3869</v>
      </c>
      <c r="D214" s="62"/>
      <c r="E214" s="62"/>
      <c r="F214" s="62"/>
      <c r="G214" s="62"/>
      <c r="H214" s="62"/>
      <c r="I214" s="62"/>
      <c r="J214" s="62"/>
      <c r="K214" s="50"/>
      <c r="L214" s="62"/>
      <c r="M214" s="62"/>
      <c r="O214" s="803" t="s">
        <v>3005</v>
      </c>
      <c r="P214" s="1598" t="s">
        <v>1469</v>
      </c>
      <c r="Q214" s="232"/>
    </row>
    <row r="215" spans="1:31" ht="11.45" customHeight="1">
      <c r="B215" s="55"/>
      <c r="C215" s="79" t="s">
        <v>2590</v>
      </c>
      <c r="D215" s="47" t="s">
        <v>1807</v>
      </c>
      <c r="E215" s="50"/>
      <c r="F215" s="50"/>
      <c r="G215" s="47"/>
      <c r="H215" s="38"/>
      <c r="I215" s="50"/>
      <c r="J215" s="38"/>
      <c r="K215" s="50"/>
      <c r="L215" s="38"/>
      <c r="M215" s="38"/>
      <c r="O215" s="79" t="s">
        <v>2590</v>
      </c>
      <c r="P215" s="1598" t="s">
        <v>1469</v>
      </c>
      <c r="Q215" s="232"/>
    </row>
    <row r="216" spans="1:31" ht="11.45" customHeight="1">
      <c r="B216" s="55"/>
      <c r="C216" s="79" t="s">
        <v>2591</v>
      </c>
      <c r="D216" s="47" t="s">
        <v>181</v>
      </c>
      <c r="E216" s="50"/>
      <c r="F216" s="50"/>
      <c r="G216" s="38"/>
      <c r="H216" s="38"/>
      <c r="I216" s="50"/>
      <c r="J216" s="38"/>
      <c r="K216" s="50"/>
      <c r="L216" s="38"/>
      <c r="M216" s="38"/>
      <c r="O216" s="79" t="s">
        <v>2591</v>
      </c>
      <c r="P216" s="1598" t="s">
        <v>1469</v>
      </c>
      <c r="Q216" s="232"/>
    </row>
    <row r="217" spans="1:31" ht="11.45" customHeight="1">
      <c r="B217" s="55"/>
      <c r="C217" s="79" t="s">
        <v>2592</v>
      </c>
      <c r="D217" s="38" t="s">
        <v>2468</v>
      </c>
      <c r="E217" s="50"/>
      <c r="F217" s="50"/>
      <c r="G217" s="38"/>
      <c r="H217" s="38"/>
      <c r="I217" s="50"/>
      <c r="J217" s="38"/>
      <c r="K217" s="50"/>
      <c r="L217" s="38"/>
      <c r="M217" s="38"/>
      <c r="O217" s="79" t="s">
        <v>3340</v>
      </c>
      <c r="P217" s="1598" t="s">
        <v>1469</v>
      </c>
      <c r="Q217" s="232"/>
    </row>
    <row r="218" spans="1:31" ht="11.45" customHeight="1">
      <c r="B218" s="44"/>
      <c r="C218" s="50"/>
      <c r="D218" s="38" t="s">
        <v>1852</v>
      </c>
      <c r="E218" s="50"/>
      <c r="F218" s="50"/>
      <c r="G218" s="38"/>
      <c r="H218" s="38"/>
      <c r="I218" s="50"/>
      <c r="J218" s="38"/>
      <c r="K218" s="50"/>
      <c r="L218" s="38"/>
      <c r="M218" s="38"/>
      <c r="O218" s="79" t="s">
        <v>3341</v>
      </c>
      <c r="P218" s="1598" t="s">
        <v>1469</v>
      </c>
      <c r="Q218" s="232"/>
    </row>
    <row r="219" spans="1:31" ht="11.25" customHeight="1">
      <c r="B219" s="191" t="s">
        <v>2738</v>
      </c>
      <c r="D219" s="191"/>
      <c r="E219" s="191"/>
      <c r="F219" s="191"/>
      <c r="G219" s="191"/>
      <c r="H219" s="48"/>
      <c r="I219" s="180"/>
      <c r="J219" s="180"/>
      <c r="K219" s="180"/>
      <c r="L219" s="848"/>
      <c r="M219" s="848"/>
      <c r="N219" s="848"/>
      <c r="O219" s="848"/>
      <c r="P219" s="848"/>
      <c r="Q219" s="60"/>
    </row>
    <row r="220" spans="1:31" ht="11.45" customHeight="1">
      <c r="A220" s="1602"/>
      <c r="B220" s="1603"/>
      <c r="C220" s="1603"/>
      <c r="D220" s="1603"/>
      <c r="E220" s="1603"/>
      <c r="F220" s="1603"/>
      <c r="G220" s="1603"/>
      <c r="H220" s="1603"/>
      <c r="I220" s="1603"/>
      <c r="J220" s="1603"/>
      <c r="K220" s="1603"/>
      <c r="L220" s="1603"/>
      <c r="M220" s="1603"/>
      <c r="N220" s="1603"/>
      <c r="O220" s="1603"/>
      <c r="P220" s="1603"/>
      <c r="Q220" s="1604"/>
      <c r="R220" s="736" t="s">
        <v>1806</v>
      </c>
      <c r="S220" s="737"/>
      <c r="U220" s="186"/>
      <c r="V220" s="186"/>
      <c r="W220" s="186"/>
      <c r="X220" s="186"/>
      <c r="Y220" s="186"/>
      <c r="Z220" s="186"/>
      <c r="AA220" s="186"/>
      <c r="AB220" s="186"/>
      <c r="AC220" s="186"/>
      <c r="AD220" s="186"/>
      <c r="AE220" s="805"/>
    </row>
    <row r="221" spans="1:31" ht="11.25" customHeight="1">
      <c r="B221" s="187" t="s">
        <v>2739</v>
      </c>
      <c r="C221" s="188"/>
      <c r="D221" s="856"/>
      <c r="E221" s="856"/>
      <c r="F221" s="856"/>
      <c r="G221" s="856"/>
      <c r="H221" s="856"/>
      <c r="I221" s="856"/>
      <c r="J221" s="856"/>
      <c r="K221" s="856"/>
      <c r="L221" s="856"/>
      <c r="M221" s="856"/>
      <c r="N221" s="856"/>
      <c r="O221" s="856"/>
      <c r="P221" s="856"/>
      <c r="Q221" s="856"/>
    </row>
    <row r="222" spans="1:31" ht="13.3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4.1" customHeight="1">
      <c r="A224" s="857">
        <v>14</v>
      </c>
      <c r="B224" s="5" t="s">
        <v>3801</v>
      </c>
      <c r="C224" s="5"/>
      <c r="D224" s="115"/>
      <c r="E224" s="115"/>
      <c r="F224" s="115"/>
      <c r="G224" s="115"/>
      <c r="H224" s="856"/>
      <c r="I224" s="856"/>
      <c r="J224" s="856"/>
      <c r="K224" s="856"/>
      <c r="L224" s="856"/>
      <c r="M224" s="856"/>
      <c r="O224" s="181" t="s">
        <v>2740</v>
      </c>
      <c r="P224" s="1114"/>
      <c r="Q224" s="1119"/>
    </row>
    <row r="225" spans="1:32" ht="5.0999999999999996" customHeight="1"/>
    <row r="226" spans="1:32" ht="11.45" customHeight="1">
      <c r="B226" s="55" t="s">
        <v>2863</v>
      </c>
      <c r="C226" s="62" t="s">
        <v>1823</v>
      </c>
      <c r="D226" s="50"/>
      <c r="E226" s="62"/>
      <c r="F226" s="62"/>
      <c r="G226" s="62"/>
      <c r="H226" s="62"/>
      <c r="I226" s="50"/>
      <c r="J226" s="50"/>
      <c r="K226" s="50"/>
      <c r="L226" s="803" t="s">
        <v>2863</v>
      </c>
      <c r="M226" s="1608" t="s">
        <v>2626</v>
      </c>
      <c r="N226" s="1609"/>
      <c r="O226" s="1610"/>
      <c r="P226" s="1132" t="s">
        <v>2626</v>
      </c>
      <c r="Q226" s="1133"/>
    </row>
    <row r="227" spans="1:32" ht="11.45" customHeight="1">
      <c r="B227" s="55" t="s">
        <v>2866</v>
      </c>
      <c r="C227" s="62" t="s">
        <v>1795</v>
      </c>
      <c r="D227" s="62"/>
      <c r="E227" s="62"/>
      <c r="F227" s="62"/>
      <c r="G227" s="62"/>
      <c r="H227" s="62"/>
      <c r="I227" s="50"/>
      <c r="J227" s="50"/>
      <c r="K227" s="50"/>
      <c r="L227" s="803" t="s">
        <v>2866</v>
      </c>
      <c r="M227" s="1639"/>
      <c r="N227" s="1640"/>
      <c r="O227" s="1641"/>
      <c r="P227" s="1163"/>
      <c r="Q227" s="1164"/>
    </row>
    <row r="228" spans="1:32" s="199" customFormat="1" ht="11.45" customHeight="1">
      <c r="B228" s="55" t="s">
        <v>1145</v>
      </c>
      <c r="C228" s="62" t="s">
        <v>2824</v>
      </c>
      <c r="D228" s="62"/>
      <c r="E228" s="62"/>
      <c r="F228" s="62"/>
      <c r="G228" s="62"/>
      <c r="H228" s="62"/>
      <c r="I228" s="126"/>
      <c r="J228" s="126"/>
      <c r="K228" s="126"/>
      <c r="L228" s="803" t="s">
        <v>1145</v>
      </c>
      <c r="M228" s="1608"/>
      <c r="N228" s="1609"/>
      <c r="O228" s="1610"/>
      <c r="P228" s="1132"/>
      <c r="Q228" s="1133"/>
      <c r="AE228" s="807"/>
      <c r="AF228" s="807"/>
    </row>
    <row r="229" spans="1:32" s="199" customFormat="1" ht="11.45" customHeight="1">
      <c r="B229" s="55" t="s">
        <v>3005</v>
      </c>
      <c r="C229" s="62" t="s">
        <v>3567</v>
      </c>
      <c r="D229" s="62"/>
      <c r="E229" s="62"/>
      <c r="F229" s="62"/>
      <c r="G229" s="62"/>
      <c r="H229" s="62"/>
      <c r="I229" s="126"/>
      <c r="J229" s="126"/>
      <c r="K229" s="126"/>
      <c r="L229" s="126"/>
      <c r="M229" s="126"/>
      <c r="O229" s="803" t="s">
        <v>3005</v>
      </c>
      <c r="P229" s="1598"/>
      <c r="Q229" s="232"/>
      <c r="AE229" s="807"/>
      <c r="AF229" s="807"/>
    </row>
    <row r="230" spans="1:32" s="199" customFormat="1" ht="22.35" customHeight="1">
      <c r="B230" s="192" t="s">
        <v>2588</v>
      </c>
      <c r="C230" s="1118" t="s">
        <v>1839</v>
      </c>
      <c r="D230" s="1118"/>
      <c r="E230" s="1118"/>
      <c r="F230" s="1118"/>
      <c r="G230" s="1118"/>
      <c r="H230" s="1118"/>
      <c r="I230" s="1118"/>
      <c r="J230" s="1118"/>
      <c r="K230" s="1118"/>
      <c r="L230" s="1118"/>
      <c r="M230" s="1118"/>
      <c r="N230" s="1118"/>
      <c r="O230" s="219" t="s">
        <v>2588</v>
      </c>
      <c r="P230" s="1598"/>
      <c r="Q230" s="232"/>
      <c r="AE230" s="807"/>
      <c r="AF230" s="807"/>
    </row>
    <row r="231" spans="1:32" ht="11.25" customHeight="1">
      <c r="B231" s="191" t="s">
        <v>2738</v>
      </c>
      <c r="D231" s="191"/>
      <c r="E231" s="191"/>
      <c r="F231" s="191"/>
      <c r="G231" s="191"/>
      <c r="H231" s="48"/>
      <c r="I231" s="180"/>
      <c r="J231" s="180"/>
      <c r="K231" s="180"/>
      <c r="L231" s="848"/>
      <c r="M231" s="848"/>
      <c r="N231" s="848"/>
      <c r="O231" s="848"/>
      <c r="P231" s="848"/>
      <c r="Q231" s="60"/>
    </row>
    <row r="232" spans="1:32" ht="13.35" customHeight="1">
      <c r="A232" s="1602"/>
      <c r="B232" s="1603"/>
      <c r="C232" s="1603"/>
      <c r="D232" s="1603"/>
      <c r="E232" s="1603"/>
      <c r="F232" s="1603"/>
      <c r="G232" s="1603"/>
      <c r="H232" s="1603"/>
      <c r="I232" s="1603"/>
      <c r="J232" s="1603"/>
      <c r="K232" s="1603"/>
      <c r="L232" s="1603"/>
      <c r="M232" s="1603"/>
      <c r="N232" s="1603"/>
      <c r="O232" s="1603"/>
      <c r="P232" s="1603"/>
      <c r="Q232" s="1604"/>
      <c r="R232" s="736" t="s">
        <v>1806</v>
      </c>
      <c r="S232" s="737"/>
      <c r="U232" s="186"/>
      <c r="V232" s="186"/>
      <c r="W232" s="186"/>
      <c r="X232" s="186"/>
      <c r="Y232" s="186"/>
      <c r="Z232" s="186"/>
      <c r="AA232" s="186"/>
      <c r="AB232" s="186"/>
      <c r="AC232" s="186"/>
      <c r="AD232" s="186"/>
      <c r="AE232" s="805"/>
    </row>
    <row r="233" spans="1:32" ht="11.1" customHeight="1">
      <c r="B233" s="187" t="s">
        <v>2739</v>
      </c>
      <c r="C233" s="188"/>
      <c r="D233" s="856"/>
      <c r="E233" s="856"/>
      <c r="F233" s="856"/>
      <c r="G233" s="856"/>
      <c r="H233" s="856"/>
      <c r="I233" s="856"/>
      <c r="J233" s="856"/>
      <c r="K233" s="856"/>
      <c r="L233" s="856"/>
      <c r="M233" s="856"/>
      <c r="N233" s="856"/>
      <c r="O233" s="856"/>
      <c r="P233" s="856"/>
      <c r="Q233" s="856"/>
    </row>
    <row r="234" spans="1:32" ht="13.3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4.1" customHeight="1">
      <c r="A236" s="857">
        <v>15</v>
      </c>
      <c r="B236" s="5" t="s">
        <v>3802</v>
      </c>
      <c r="C236" s="5"/>
      <c r="D236" s="115"/>
      <c r="E236" s="115"/>
      <c r="F236" s="115"/>
      <c r="G236" s="115"/>
      <c r="H236" s="856"/>
      <c r="I236" s="856"/>
      <c r="J236" s="856"/>
      <c r="K236" s="856"/>
      <c r="L236" s="856"/>
      <c r="M236" s="856"/>
      <c r="O236" s="181" t="s">
        <v>2740</v>
      </c>
      <c r="P236" s="1114"/>
      <c r="Q236" s="1119"/>
    </row>
    <row r="237" spans="1:32" ht="3" customHeight="1"/>
    <row r="238" spans="1:32" s="661" customFormat="1" ht="11.25" customHeight="1">
      <c r="B238" s="192" t="s">
        <v>2863</v>
      </c>
      <c r="C238" s="1118" t="s">
        <v>3845</v>
      </c>
      <c r="D238" s="1118"/>
      <c r="E238" s="1118"/>
      <c r="F238" s="1118"/>
      <c r="G238" s="1118"/>
      <c r="H238" s="1118"/>
      <c r="I238" s="1118"/>
      <c r="J238" s="1118"/>
      <c r="K238" s="1118"/>
      <c r="L238" s="1118"/>
      <c r="M238" s="1118"/>
      <c r="N238" s="1118"/>
      <c r="O238" s="219" t="s">
        <v>2863</v>
      </c>
      <c r="P238" s="1619" t="s">
        <v>3974</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98" t="s">
        <v>3974</v>
      </c>
      <c r="Q239" s="232"/>
      <c r="AE239" s="807"/>
      <c r="AF239" s="807"/>
    </row>
    <row r="240" spans="1:32" ht="11.25" customHeight="1">
      <c r="B240" s="191" t="s">
        <v>2738</v>
      </c>
      <c r="D240" s="191"/>
      <c r="E240" s="191"/>
      <c r="F240" s="191"/>
      <c r="G240" s="191"/>
      <c r="H240" s="48"/>
      <c r="I240" s="180"/>
      <c r="J240" s="180"/>
      <c r="K240" s="180"/>
      <c r="L240" s="848"/>
      <c r="M240" s="848"/>
      <c r="N240" s="848"/>
      <c r="O240" s="848"/>
      <c r="P240" s="848"/>
      <c r="Q240" s="60"/>
    </row>
    <row r="241" spans="1:32" ht="110.25" customHeight="1">
      <c r="A241" s="1602" t="s">
        <v>4082</v>
      </c>
      <c r="B241" s="1603"/>
      <c r="C241" s="1603"/>
      <c r="D241" s="1603"/>
      <c r="E241" s="1603"/>
      <c r="F241" s="1603"/>
      <c r="G241" s="1603"/>
      <c r="H241" s="1603"/>
      <c r="I241" s="1603"/>
      <c r="J241" s="1603"/>
      <c r="K241" s="1603"/>
      <c r="L241" s="1603"/>
      <c r="M241" s="1603"/>
      <c r="N241" s="1603"/>
      <c r="O241" s="1603"/>
      <c r="P241" s="1603"/>
      <c r="Q241" s="1604"/>
      <c r="R241" s="736" t="s">
        <v>1806</v>
      </c>
      <c r="S241" s="737"/>
      <c r="U241" s="186"/>
      <c r="V241" s="186"/>
      <c r="W241" s="186"/>
      <c r="X241" s="186"/>
      <c r="Y241" s="186"/>
      <c r="Z241" s="186"/>
      <c r="AA241" s="186"/>
      <c r="AB241" s="186"/>
      <c r="AC241" s="186"/>
      <c r="AD241" s="186"/>
      <c r="AE241" s="805"/>
    </row>
    <row r="242" spans="1:32" ht="11.25" customHeight="1">
      <c r="B242" s="187" t="s">
        <v>2739</v>
      </c>
      <c r="C242" s="188"/>
      <c r="D242" s="856"/>
      <c r="E242" s="856"/>
      <c r="F242" s="856"/>
      <c r="G242" s="856"/>
      <c r="H242" s="856"/>
      <c r="I242" s="856"/>
      <c r="J242" s="856"/>
      <c r="K242" s="856"/>
      <c r="L242" s="856"/>
      <c r="M242" s="856"/>
      <c r="N242" s="856"/>
      <c r="O242" s="856"/>
      <c r="P242" s="856"/>
      <c r="Q242" s="856"/>
    </row>
    <row r="243" spans="1:32" ht="13.3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4.1" customHeight="1">
      <c r="A245" s="857">
        <v>16</v>
      </c>
      <c r="B245" s="857" t="s">
        <v>3803</v>
      </c>
      <c r="C245" s="857"/>
      <c r="D245" s="856"/>
      <c r="E245" s="856"/>
      <c r="F245" s="856"/>
      <c r="G245" s="856"/>
      <c r="H245" s="856"/>
      <c r="I245" s="856"/>
      <c r="J245" s="856"/>
      <c r="K245" s="856"/>
      <c r="L245" s="856"/>
      <c r="M245" s="856"/>
      <c r="O245" s="181" t="s">
        <v>2740</v>
      </c>
      <c r="P245" s="1114"/>
      <c r="Q245" s="1119"/>
    </row>
    <row r="246" spans="1:32" ht="3" customHeight="1"/>
    <row r="247" spans="1:32" s="661" customFormat="1" ht="24" customHeight="1">
      <c r="B247" s="192" t="s">
        <v>2863</v>
      </c>
      <c r="C247" s="1113" t="s">
        <v>3889</v>
      </c>
      <c r="D247" s="1006"/>
      <c r="E247" s="1006"/>
      <c r="F247" s="1006"/>
      <c r="G247" s="1006"/>
      <c r="H247" s="1006"/>
      <c r="I247" s="1006"/>
      <c r="J247" s="1006"/>
      <c r="K247" s="1006"/>
      <c r="L247" s="1006"/>
      <c r="M247" s="1006"/>
      <c r="N247" s="1006"/>
      <c r="O247" s="219" t="s">
        <v>2863</v>
      </c>
      <c r="P247" s="1598" t="s">
        <v>4041</v>
      </c>
      <c r="Q247" s="232"/>
      <c r="AE247" s="808"/>
      <c r="AF247" s="808"/>
    </row>
    <row r="248" spans="1:32" s="661" customFormat="1" ht="24" customHeight="1">
      <c r="B248" s="192" t="s">
        <v>2866</v>
      </c>
      <c r="C248" s="1113" t="s">
        <v>3890</v>
      </c>
      <c r="D248" s="1006"/>
      <c r="E248" s="1006"/>
      <c r="F248" s="1006"/>
      <c r="G248" s="1006"/>
      <c r="H248" s="1006"/>
      <c r="I248" s="1006"/>
      <c r="J248" s="1006"/>
      <c r="K248" s="1006"/>
      <c r="L248" s="1006"/>
      <c r="M248" s="1006"/>
      <c r="N248" s="1006"/>
      <c r="O248" s="219" t="s">
        <v>2866</v>
      </c>
      <c r="P248" s="1598" t="s">
        <v>4041</v>
      </c>
      <c r="Q248" s="232"/>
      <c r="AE248" s="808"/>
      <c r="AF248" s="808"/>
    </row>
    <row r="249" spans="1:32" ht="11.25" customHeight="1">
      <c r="B249" s="191" t="s">
        <v>2738</v>
      </c>
      <c r="D249" s="191"/>
      <c r="E249" s="191"/>
      <c r="F249" s="191"/>
      <c r="G249" s="191"/>
      <c r="H249" s="48"/>
      <c r="I249" s="180"/>
      <c r="J249" s="180"/>
      <c r="K249" s="180"/>
      <c r="L249" s="848"/>
      <c r="M249" s="848"/>
      <c r="N249" s="848"/>
      <c r="O249" s="848"/>
      <c r="P249" s="848"/>
      <c r="Q249" s="60"/>
    </row>
    <row r="250" spans="1:32" ht="36.75" customHeight="1">
      <c r="A250" s="1602" t="s">
        <v>4083</v>
      </c>
      <c r="B250" s="1603"/>
      <c r="C250" s="1603"/>
      <c r="D250" s="1603"/>
      <c r="E250" s="1603"/>
      <c r="F250" s="1603"/>
      <c r="G250" s="1603"/>
      <c r="H250" s="1603"/>
      <c r="I250" s="1603"/>
      <c r="J250" s="1603"/>
      <c r="K250" s="1603"/>
      <c r="L250" s="1603"/>
      <c r="M250" s="1603"/>
      <c r="N250" s="1603"/>
      <c r="O250" s="1603"/>
      <c r="P250" s="1603"/>
      <c r="Q250" s="1604"/>
      <c r="R250" s="736" t="s">
        <v>1806</v>
      </c>
      <c r="S250" s="737"/>
      <c r="U250" s="186"/>
      <c r="V250" s="186"/>
      <c r="W250" s="186"/>
      <c r="X250" s="186"/>
      <c r="Y250" s="186"/>
      <c r="Z250" s="186"/>
      <c r="AA250" s="186"/>
      <c r="AB250" s="186"/>
      <c r="AC250" s="186"/>
      <c r="AD250" s="186"/>
      <c r="AE250" s="805"/>
    </row>
    <row r="251" spans="1:32" ht="11.25" customHeight="1">
      <c r="B251" s="187" t="s">
        <v>2739</v>
      </c>
      <c r="C251" s="188"/>
      <c r="D251" s="856"/>
      <c r="E251" s="856"/>
      <c r="F251" s="856"/>
      <c r="G251" s="856"/>
      <c r="H251" s="856"/>
      <c r="I251" s="856"/>
      <c r="J251" s="856"/>
      <c r="K251" s="856"/>
      <c r="L251" s="856"/>
      <c r="M251" s="856"/>
      <c r="N251" s="856"/>
      <c r="O251" s="856"/>
      <c r="P251" s="856"/>
      <c r="Q251" s="856"/>
    </row>
    <row r="252" spans="1:32" ht="13.3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4.1" customHeight="1">
      <c r="A254" s="857">
        <v>17</v>
      </c>
      <c r="B254" s="857" t="s">
        <v>3804</v>
      </c>
      <c r="C254" s="200"/>
      <c r="D254" s="855"/>
      <c r="E254" s="856"/>
      <c r="F254" s="856"/>
      <c r="G254" s="856"/>
      <c r="H254" s="856"/>
      <c r="I254" s="856"/>
      <c r="J254" s="856"/>
      <c r="K254" s="856"/>
      <c r="L254" s="856"/>
      <c r="M254" s="856"/>
      <c r="O254" s="181" t="s">
        <v>2740</v>
      </c>
      <c r="P254" s="1114"/>
      <c r="Q254" s="1119"/>
    </row>
    <row r="255" spans="1:32" s="199" customFormat="1" ht="46.5" customHeight="1">
      <c r="B255" s="192" t="s">
        <v>2863</v>
      </c>
      <c r="C255" s="1113" t="s">
        <v>3832</v>
      </c>
      <c r="D255" s="1113"/>
      <c r="E255" s="1113"/>
      <c r="F255" s="1113"/>
      <c r="G255" s="1113"/>
      <c r="H255" s="1113"/>
      <c r="I255" s="1113"/>
      <c r="J255" s="1113"/>
      <c r="K255" s="1113"/>
      <c r="L255" s="1113"/>
      <c r="M255" s="1113"/>
      <c r="N255" s="1113"/>
      <c r="O255" s="219" t="s">
        <v>2863</v>
      </c>
      <c r="P255" s="1619" t="s">
        <v>3974</v>
      </c>
      <c r="Q255" s="232"/>
      <c r="AE255" s="807"/>
      <c r="AF255" s="807"/>
    </row>
    <row r="256" spans="1:32" s="126" customFormat="1">
      <c r="B256" s="55" t="s">
        <v>2866</v>
      </c>
      <c r="C256" s="1097" t="s">
        <v>3833</v>
      </c>
      <c r="D256" s="1097"/>
      <c r="E256" s="1097"/>
      <c r="F256" s="1097"/>
      <c r="G256" s="1097"/>
      <c r="H256" s="1097"/>
      <c r="I256" s="1097"/>
      <c r="J256" s="1097"/>
      <c r="K256" s="1097"/>
      <c r="L256" s="1097"/>
      <c r="M256" s="1097"/>
      <c r="N256" s="1097"/>
      <c r="O256" s="803" t="s">
        <v>2866</v>
      </c>
      <c r="P256" s="1598" t="s">
        <v>3974</v>
      </c>
      <c r="Q256" s="232"/>
      <c r="AE256" s="809"/>
      <c r="AF256" s="809"/>
    </row>
    <row r="257" spans="1:256" s="661" customFormat="1" ht="23.1" customHeight="1">
      <c r="B257" s="192" t="s">
        <v>1145</v>
      </c>
      <c r="C257" s="1113" t="s">
        <v>2708</v>
      </c>
      <c r="D257" s="1006"/>
      <c r="E257" s="1006"/>
      <c r="F257" s="1006"/>
      <c r="G257" s="1006"/>
      <c r="H257" s="1006"/>
      <c r="I257" s="1006"/>
      <c r="J257" s="1006"/>
      <c r="K257" s="1006"/>
      <c r="L257" s="1006"/>
      <c r="M257" s="1006"/>
      <c r="N257" s="1006"/>
      <c r="O257" s="219" t="s">
        <v>1145</v>
      </c>
      <c r="P257" s="1619" t="s">
        <v>3974</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98" t="s">
        <v>3974</v>
      </c>
      <c r="Q258" s="232"/>
      <c r="AE258" s="807"/>
      <c r="AF258" s="807"/>
    </row>
    <row r="259" spans="1:256" s="661" customFormat="1" ht="24.75" customHeight="1">
      <c r="B259" s="192" t="s">
        <v>2588</v>
      </c>
      <c r="C259" s="1113" t="s">
        <v>3846</v>
      </c>
      <c r="D259" s="1006"/>
      <c r="E259" s="1006"/>
      <c r="F259" s="1006"/>
      <c r="G259" s="1006"/>
      <c r="H259" s="1006"/>
      <c r="I259" s="1006"/>
      <c r="J259" s="1006"/>
      <c r="K259" s="1006"/>
      <c r="L259" s="1006"/>
      <c r="M259" s="1006"/>
      <c r="N259" s="1006"/>
      <c r="O259" s="219" t="s">
        <v>2588</v>
      </c>
      <c r="P259" s="1619" t="s">
        <v>3974</v>
      </c>
      <c r="Q259" s="354"/>
      <c r="AE259" s="808"/>
      <c r="AF259" s="808"/>
    </row>
    <row r="260" spans="1:256" ht="11.25" customHeight="1">
      <c r="B260" s="191" t="s">
        <v>2738</v>
      </c>
      <c r="D260" s="191"/>
      <c r="E260" s="191"/>
      <c r="F260" s="191"/>
      <c r="G260" s="191"/>
      <c r="H260" s="48"/>
      <c r="I260" s="180"/>
      <c r="J260" s="180"/>
      <c r="K260" s="180"/>
      <c r="L260" s="848"/>
      <c r="M260" s="848"/>
      <c r="N260" s="848"/>
      <c r="O260" s="848"/>
      <c r="P260" s="848"/>
      <c r="Q260" s="60"/>
    </row>
    <row r="261" spans="1:256" ht="11.45" customHeight="1">
      <c r="A261" s="1602"/>
      <c r="B261" s="1603"/>
      <c r="C261" s="1603"/>
      <c r="D261" s="1603"/>
      <c r="E261" s="1603"/>
      <c r="F261" s="1603"/>
      <c r="G261" s="1603"/>
      <c r="H261" s="1603"/>
      <c r="I261" s="1603"/>
      <c r="J261" s="1603"/>
      <c r="K261" s="1603"/>
      <c r="L261" s="1603"/>
      <c r="M261" s="1603"/>
      <c r="N261" s="1603"/>
      <c r="O261" s="1603"/>
      <c r="P261" s="1603"/>
      <c r="Q261" s="1604"/>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4.1" customHeight="1">
      <c r="A264" s="857">
        <v>18</v>
      </c>
      <c r="B264" s="11" t="s">
        <v>3805</v>
      </c>
      <c r="C264" s="11"/>
      <c r="D264" s="11"/>
      <c r="E264" s="11"/>
      <c r="F264" s="11"/>
      <c r="G264" s="11"/>
      <c r="H264" s="856"/>
      <c r="I264" s="856"/>
      <c r="J264" s="856"/>
      <c r="K264" s="856"/>
      <c r="L264" s="856"/>
      <c r="M264" s="856"/>
      <c r="O264" s="181" t="s">
        <v>2740</v>
      </c>
      <c r="P264" s="1171"/>
      <c r="Q264" s="1172"/>
    </row>
    <row r="265" spans="1:256" ht="11.45" customHeight="1">
      <c r="B265" s="195" t="s">
        <v>3164</v>
      </c>
      <c r="P265" s="1598" t="s">
        <v>3974</v>
      </c>
      <c r="Q265" s="232"/>
    </row>
    <row r="266" spans="1:256" ht="12" customHeight="1">
      <c r="B266" s="197" t="s">
        <v>3112</v>
      </c>
      <c r="C266" s="197"/>
      <c r="D266" s="197"/>
      <c r="E266" s="197"/>
      <c r="F266" s="197"/>
      <c r="G266" s="197"/>
      <c r="H266" s="197"/>
      <c r="I266" s="197"/>
      <c r="J266" s="197"/>
      <c r="K266" s="197"/>
      <c r="L266" s="197"/>
      <c r="P266" s="1598" t="s">
        <v>3974</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13" t="s">
        <v>3937</v>
      </c>
      <c r="D268" s="1113"/>
      <c r="E268" s="1113"/>
      <c r="F268" s="1113"/>
      <c r="G268" s="1113"/>
      <c r="H268" s="1113"/>
      <c r="I268" s="1113"/>
      <c r="J268" s="1113"/>
      <c r="K268" s="1113"/>
      <c r="L268" s="1113"/>
      <c r="M268" s="1113"/>
      <c r="N268" s="1113"/>
      <c r="O268" s="219" t="s">
        <v>2863</v>
      </c>
      <c r="P268" s="1619" t="s">
        <v>1469</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2866</v>
      </c>
      <c r="C270" s="1147" t="s">
        <v>634</v>
      </c>
      <c r="D270" s="1147"/>
      <c r="E270" s="1147"/>
      <c r="F270" s="1147"/>
      <c r="G270" s="1147"/>
      <c r="H270" s="1147"/>
      <c r="I270" s="1147"/>
      <c r="J270" s="1147"/>
      <c r="K270" s="1147"/>
      <c r="L270" s="1147"/>
      <c r="M270" s="1147"/>
      <c r="O270" s="219" t="s">
        <v>2866</v>
      </c>
      <c r="P270" s="848"/>
      <c r="Q270" s="60"/>
    </row>
    <row r="271" spans="1:256" ht="23.25" customHeight="1">
      <c r="A271" s="194"/>
      <c r="C271" s="294" t="s">
        <v>2590</v>
      </c>
      <c r="D271" s="295" t="s">
        <v>1647</v>
      </c>
      <c r="E271" s="182"/>
      <c r="F271" s="182"/>
      <c r="G271" s="1642" t="s">
        <v>2027</v>
      </c>
      <c r="H271" s="1643"/>
      <c r="I271" s="1643"/>
      <c r="J271" s="1643"/>
      <c r="K271" s="1643"/>
      <c r="L271" s="1643"/>
      <c r="M271" s="1643"/>
      <c r="N271" s="1644"/>
      <c r="O271" s="298" t="s">
        <v>2590</v>
      </c>
      <c r="P271" s="1619" t="s">
        <v>3974</v>
      </c>
      <c r="Q271" s="354"/>
    </row>
    <row r="272" spans="1:256" ht="23.25" customHeight="1">
      <c r="A272" s="194"/>
      <c r="C272" s="294" t="s">
        <v>2591</v>
      </c>
      <c r="D272" s="1165" t="s">
        <v>1648</v>
      </c>
      <c r="E272" s="1166"/>
      <c r="F272" s="1167"/>
      <c r="G272" s="1602" t="s">
        <v>3786</v>
      </c>
      <c r="H272" s="1464"/>
      <c r="I272" s="1464"/>
      <c r="J272" s="1464"/>
      <c r="K272" s="1464"/>
      <c r="L272" s="1464"/>
      <c r="M272" s="1464"/>
      <c r="N272" s="1465"/>
      <c r="O272" s="298" t="s">
        <v>2591</v>
      </c>
      <c r="P272" s="1619" t="s">
        <v>3974</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3834</v>
      </c>
      <c r="D274" s="1173"/>
      <c r="E274" s="1173"/>
      <c r="F274" s="1173"/>
      <c r="G274" s="1173"/>
      <c r="H274" s="1173"/>
      <c r="I274" s="1173"/>
      <c r="J274" s="1173"/>
      <c r="K274" s="1173"/>
      <c r="L274" s="1173"/>
      <c r="M274" s="1173"/>
      <c r="N274" s="1173"/>
      <c r="O274" s="219" t="s">
        <v>1145</v>
      </c>
      <c r="P274" s="848"/>
      <c r="Q274" s="60"/>
      <c r="AE274" s="806"/>
      <c r="AF274" s="806"/>
    </row>
    <row r="275" spans="1:256" s="182" customFormat="1">
      <c r="A275" s="194"/>
      <c r="C275" s="294" t="s">
        <v>2590</v>
      </c>
      <c r="D275" s="1645" t="s">
        <v>4059</v>
      </c>
      <c r="E275" s="1646"/>
      <c r="F275" s="1646"/>
      <c r="G275" s="1646"/>
      <c r="H275" s="1646"/>
      <c r="I275" s="1646"/>
      <c r="J275" s="1646"/>
      <c r="K275" s="1646"/>
      <c r="L275" s="1646"/>
      <c r="M275" s="1646"/>
      <c r="N275" s="1647"/>
      <c r="O275" s="298" t="s">
        <v>2590</v>
      </c>
      <c r="P275" s="1619" t="s">
        <v>3974</v>
      </c>
      <c r="Q275" s="354"/>
      <c r="AE275" s="806"/>
      <c r="AF275" s="806"/>
    </row>
    <row r="276" spans="1:256" s="182" customFormat="1" ht="11.25" customHeight="1">
      <c r="A276" s="194"/>
      <c r="C276" s="294" t="s">
        <v>2591</v>
      </c>
      <c r="D276" s="1645"/>
      <c r="E276" s="1646"/>
      <c r="F276" s="1646"/>
      <c r="G276" s="1646"/>
      <c r="H276" s="1646"/>
      <c r="I276" s="1646"/>
      <c r="J276" s="1646"/>
      <c r="K276" s="1646"/>
      <c r="L276" s="1646"/>
      <c r="M276" s="1646"/>
      <c r="N276" s="1647"/>
      <c r="O276" s="298" t="s">
        <v>2591</v>
      </c>
      <c r="P276" s="1619"/>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2738</v>
      </c>
      <c r="D278" s="191"/>
      <c r="E278" s="191"/>
      <c r="F278" s="191"/>
      <c r="G278" s="191"/>
      <c r="H278" s="48"/>
      <c r="I278" s="180"/>
      <c r="J278" s="180"/>
      <c r="K278" s="180"/>
      <c r="L278" s="848"/>
      <c r="M278" s="848"/>
      <c r="N278" s="848"/>
      <c r="O278" s="848"/>
      <c r="P278" s="848"/>
      <c r="Q278" s="60"/>
    </row>
    <row r="279" spans="1:256" ht="24.75" customHeight="1">
      <c r="A279" s="1602" t="s">
        <v>4142</v>
      </c>
      <c r="B279" s="1603"/>
      <c r="C279" s="1603"/>
      <c r="D279" s="1603"/>
      <c r="E279" s="1603"/>
      <c r="F279" s="1603"/>
      <c r="G279" s="1603"/>
      <c r="H279" s="1603"/>
      <c r="I279" s="1603"/>
      <c r="J279" s="1603"/>
      <c r="K279" s="1603"/>
      <c r="L279" s="1603"/>
      <c r="M279" s="1603"/>
      <c r="N279" s="1603"/>
      <c r="O279" s="1603"/>
      <c r="P279" s="1603"/>
      <c r="Q279" s="1604"/>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4.1" customHeight="1">
      <c r="A283" s="857">
        <v>19</v>
      </c>
      <c r="B283" s="857" t="s">
        <v>3806</v>
      </c>
      <c r="C283" s="857"/>
      <c r="D283" s="856"/>
      <c r="E283" s="856"/>
      <c r="F283" s="856"/>
      <c r="G283" s="856"/>
      <c r="H283" s="856"/>
      <c r="O283" s="181" t="s">
        <v>2740</v>
      </c>
      <c r="P283" s="1114"/>
      <c r="Q283" s="1119"/>
    </row>
    <row r="284" spans="1:256" ht="3" customHeight="1"/>
    <row r="285" spans="1:256" ht="11.45" customHeight="1">
      <c r="B285" s="195" t="s">
        <v>3284</v>
      </c>
      <c r="P285" s="1598" t="s">
        <v>3974</v>
      </c>
      <c r="Q285" s="232"/>
    </row>
    <row r="286" spans="1:256" ht="11.45" customHeight="1">
      <c r="B286" s="195" t="s">
        <v>3285</v>
      </c>
      <c r="P286" s="1598" t="s">
        <v>3975</v>
      </c>
      <c r="Q286" s="232"/>
    </row>
    <row r="287" spans="1:256" ht="11.45" customHeight="1">
      <c r="B287" s="195" t="s">
        <v>850</v>
      </c>
      <c r="L287" s="1648" t="s">
        <v>4060</v>
      </c>
      <c r="M287" s="1649"/>
      <c r="N287" s="1649"/>
      <c r="O287" s="1650"/>
    </row>
    <row r="288" spans="1:256" ht="11.45" customHeight="1">
      <c r="B288" s="653" t="s">
        <v>3286</v>
      </c>
      <c r="L288" s="1168"/>
      <c r="M288" s="1169"/>
      <c r="N288" s="1169"/>
      <c r="O288" s="1170"/>
    </row>
    <row r="289" spans="1:31" ht="11.25" customHeight="1">
      <c r="B289" s="191" t="s">
        <v>2738</v>
      </c>
      <c r="D289" s="191"/>
      <c r="E289" s="191"/>
      <c r="F289" s="191"/>
      <c r="G289" s="191"/>
      <c r="H289" s="48"/>
      <c r="I289" s="180"/>
      <c r="J289" s="180"/>
      <c r="K289" s="180"/>
      <c r="L289" s="848"/>
      <c r="M289" s="848"/>
      <c r="N289" s="848"/>
      <c r="O289" s="848"/>
      <c r="P289" s="848"/>
      <c r="Q289" s="60"/>
    </row>
    <row r="290" spans="1:31" ht="120.75" customHeight="1">
      <c r="A290" s="1602" t="s">
        <v>4146</v>
      </c>
      <c r="B290" s="1603"/>
      <c r="C290" s="1603"/>
      <c r="D290" s="1603"/>
      <c r="E290" s="1603"/>
      <c r="F290" s="1603"/>
      <c r="G290" s="1603"/>
      <c r="H290" s="1603"/>
      <c r="I290" s="1603"/>
      <c r="J290" s="1603"/>
      <c r="K290" s="1603"/>
      <c r="L290" s="1603"/>
      <c r="M290" s="1603"/>
      <c r="N290" s="1603"/>
      <c r="O290" s="1603"/>
      <c r="P290" s="1603"/>
      <c r="Q290" s="1604"/>
      <c r="R290" s="736" t="s">
        <v>1806</v>
      </c>
      <c r="S290" s="737"/>
      <c r="U290" s="186"/>
      <c r="V290" s="186"/>
      <c r="W290" s="186"/>
      <c r="X290" s="186"/>
      <c r="Y290" s="186"/>
      <c r="Z290" s="186"/>
      <c r="AA290" s="186"/>
      <c r="AB290" s="186"/>
      <c r="AC290" s="186"/>
      <c r="AD290" s="186"/>
      <c r="AE290" s="805"/>
    </row>
    <row r="291" spans="1:31" ht="11.25" customHeight="1">
      <c r="B291" s="187" t="s">
        <v>2739</v>
      </c>
      <c r="C291" s="188"/>
      <c r="D291" s="856"/>
      <c r="E291" s="856"/>
      <c r="F291" s="856"/>
      <c r="G291" s="856"/>
      <c r="H291" s="856"/>
      <c r="I291" s="856"/>
      <c r="J291" s="856"/>
      <c r="K291" s="856"/>
      <c r="L291" s="856"/>
      <c r="M291" s="856"/>
      <c r="N291" s="856"/>
      <c r="O291" s="856"/>
      <c r="P291" s="856"/>
      <c r="Q291" s="856"/>
    </row>
    <row r="292" spans="1:31" ht="13.35" customHeight="1">
      <c r="A292" s="1110"/>
      <c r="B292" s="1111"/>
      <c r="C292" s="1111"/>
      <c r="D292" s="1111"/>
      <c r="E292" s="1111"/>
      <c r="F292" s="1111"/>
      <c r="G292" s="1111"/>
      <c r="H292" s="1111"/>
      <c r="I292" s="1111"/>
      <c r="J292" s="1111"/>
      <c r="K292" s="1111"/>
      <c r="L292" s="1111"/>
      <c r="M292" s="1111"/>
      <c r="N292" s="1111"/>
      <c r="O292" s="1111"/>
      <c r="P292" s="1111"/>
      <c r="Q292" s="1112"/>
    </row>
    <row r="293" spans="1:31" ht="4.3499999999999996" customHeight="1">
      <c r="B293" s="180"/>
      <c r="C293" s="856"/>
      <c r="D293" s="856"/>
      <c r="E293" s="856"/>
      <c r="F293" s="856"/>
      <c r="G293" s="856"/>
      <c r="H293" s="856"/>
      <c r="I293" s="856"/>
      <c r="J293" s="856"/>
      <c r="K293" s="856"/>
      <c r="L293" s="856"/>
      <c r="M293" s="856"/>
      <c r="Q293" s="60"/>
    </row>
    <row r="294" spans="1:31" ht="14.1" customHeight="1">
      <c r="A294" s="857">
        <v>20</v>
      </c>
      <c r="B294" s="5" t="s">
        <v>3807</v>
      </c>
      <c r="C294" s="5"/>
      <c r="D294" s="115"/>
      <c r="E294" s="856"/>
      <c r="F294" s="856"/>
      <c r="G294" s="856"/>
      <c r="H294" s="856"/>
      <c r="I294" s="856"/>
      <c r="J294" s="856"/>
      <c r="K294" s="856"/>
      <c r="L294" s="856"/>
      <c r="M294" s="856"/>
      <c r="O294" s="181" t="s">
        <v>2740</v>
      </c>
      <c r="P294" s="1114"/>
      <c r="Q294" s="1119"/>
    </row>
    <row r="295" spans="1:31" ht="3" customHeight="1"/>
    <row r="296" spans="1:31" ht="22.35" customHeight="1">
      <c r="B296" s="192" t="s">
        <v>2863</v>
      </c>
      <c r="C296" s="1118" t="s">
        <v>3835</v>
      </c>
      <c r="D296" s="1118"/>
      <c r="E296" s="1118"/>
      <c r="F296" s="1118"/>
      <c r="G296" s="1118"/>
      <c r="H296" s="1118"/>
      <c r="I296" s="1118"/>
      <c r="J296" s="1118"/>
      <c r="K296" s="1118"/>
      <c r="L296" s="1118"/>
      <c r="M296" s="1118"/>
      <c r="N296" s="1118"/>
      <c r="O296" s="219" t="s">
        <v>2863</v>
      </c>
      <c r="P296" s="1598" t="s">
        <v>3974</v>
      </c>
      <c r="Q296" s="232"/>
    </row>
    <row r="297" spans="1:31" ht="24" customHeight="1">
      <c r="B297" s="192" t="s">
        <v>2866</v>
      </c>
      <c r="C297" s="1118" t="s">
        <v>3891</v>
      </c>
      <c r="D297" s="1118"/>
      <c r="E297" s="1118"/>
      <c r="F297" s="1118"/>
      <c r="G297" s="1118"/>
      <c r="H297" s="1118"/>
      <c r="I297" s="1118"/>
      <c r="J297" s="1118"/>
      <c r="K297" s="1118"/>
      <c r="L297" s="1118"/>
      <c r="M297" s="1118"/>
      <c r="N297" s="1118"/>
      <c r="O297" s="219" t="s">
        <v>2866</v>
      </c>
      <c r="P297" s="1598" t="s">
        <v>3974</v>
      </c>
      <c r="Q297" s="232"/>
    </row>
    <row r="298" spans="1:31" ht="11.45" customHeight="1">
      <c r="B298" s="192" t="s">
        <v>1145</v>
      </c>
      <c r="C298" s="197" t="s">
        <v>3836</v>
      </c>
      <c r="D298" s="197"/>
      <c r="E298" s="197"/>
      <c r="F298" s="197"/>
      <c r="G298" s="197"/>
      <c r="H298" s="197"/>
      <c r="I298" s="197"/>
      <c r="J298" s="197"/>
      <c r="K298" s="197"/>
      <c r="L298" s="197"/>
      <c r="M298" s="197"/>
      <c r="O298" s="219" t="s">
        <v>1145</v>
      </c>
      <c r="P298" s="1598" t="s">
        <v>3974</v>
      </c>
      <c r="Q298" s="232"/>
    </row>
    <row r="299" spans="1:31" ht="22.35" customHeight="1">
      <c r="B299" s="192" t="s">
        <v>3005</v>
      </c>
      <c r="C299" s="1118" t="s">
        <v>3870</v>
      </c>
      <c r="D299" s="1118"/>
      <c r="E299" s="1118"/>
      <c r="F299" s="1118"/>
      <c r="G299" s="1118"/>
      <c r="H299" s="1118"/>
      <c r="I299" s="1118"/>
      <c r="J299" s="1118"/>
      <c r="K299" s="1118"/>
      <c r="L299" s="1118"/>
      <c r="M299" s="1118"/>
      <c r="N299" s="1118"/>
      <c r="O299" s="219" t="s">
        <v>3005</v>
      </c>
      <c r="P299" s="1598" t="s">
        <v>3974</v>
      </c>
      <c r="Q299" s="232"/>
    </row>
    <row r="300" spans="1:31" ht="11.25" customHeight="1">
      <c r="B300" s="191" t="s">
        <v>2738</v>
      </c>
      <c r="D300" s="191"/>
      <c r="E300" s="191"/>
      <c r="F300" s="191"/>
      <c r="G300" s="191"/>
      <c r="H300" s="48"/>
      <c r="I300" s="180"/>
      <c r="J300" s="180"/>
      <c r="K300" s="180"/>
      <c r="L300" s="848"/>
      <c r="M300" s="848"/>
      <c r="N300" s="848"/>
      <c r="O300" s="848"/>
      <c r="P300" s="848"/>
      <c r="Q300" s="60"/>
    </row>
    <row r="301" spans="1:31" ht="27" customHeight="1">
      <c r="A301" s="1602"/>
      <c r="B301" s="1603"/>
      <c r="C301" s="1603"/>
      <c r="D301" s="1603"/>
      <c r="E301" s="1603"/>
      <c r="F301" s="1603"/>
      <c r="G301" s="1603"/>
      <c r="H301" s="1603"/>
      <c r="I301" s="1603"/>
      <c r="J301" s="1603"/>
      <c r="K301" s="1603"/>
      <c r="L301" s="1603"/>
      <c r="M301" s="1603"/>
      <c r="N301" s="1603"/>
      <c r="O301" s="1603"/>
      <c r="P301" s="1603"/>
      <c r="Q301" s="1604"/>
      <c r="U301" s="186"/>
      <c r="V301" s="186"/>
      <c r="W301" s="186"/>
      <c r="X301" s="186"/>
      <c r="Y301" s="186"/>
      <c r="Z301" s="186"/>
      <c r="AA301" s="186"/>
      <c r="AB301" s="186"/>
      <c r="AC301" s="186"/>
      <c r="AD301" s="186"/>
      <c r="AE301" s="805"/>
    </row>
    <row r="302" spans="1:31" ht="11.25" customHeight="1">
      <c r="B302" s="187" t="s">
        <v>2739</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4.1" customHeight="1">
      <c r="A305" s="857">
        <v>21</v>
      </c>
      <c r="B305" s="5" t="s">
        <v>3877</v>
      </c>
      <c r="C305" s="5"/>
      <c r="D305" s="5"/>
      <c r="E305" s="5"/>
      <c r="F305" s="5"/>
      <c r="G305" s="5"/>
      <c r="H305" s="856"/>
      <c r="I305" s="856"/>
      <c r="J305" s="856"/>
      <c r="K305" s="856"/>
      <c r="L305" s="856"/>
      <c r="M305" s="856"/>
      <c r="O305" s="181" t="s">
        <v>2740</v>
      </c>
      <c r="P305" s="1114"/>
      <c r="Q305" s="1119"/>
    </row>
    <row r="306" spans="1:32">
      <c r="B306" s="55" t="s">
        <v>2863</v>
      </c>
      <c r="C306" s="161" t="s">
        <v>3872</v>
      </c>
      <c r="D306" s="859"/>
      <c r="E306" s="859"/>
      <c r="F306" s="859"/>
      <c r="G306" s="859"/>
      <c r="H306" s="859"/>
      <c r="I306" s="50"/>
      <c r="J306" s="803" t="s">
        <v>2863</v>
      </c>
      <c r="K306" s="1627" t="s">
        <v>4061</v>
      </c>
      <c r="L306" s="1628"/>
      <c r="M306" s="1628"/>
      <c r="N306" s="1628"/>
      <c r="O306" s="1628"/>
      <c r="P306" s="1629"/>
      <c r="Q306" s="232"/>
    </row>
    <row r="307" spans="1:32" ht="22.5" customHeight="1">
      <c r="B307" s="192" t="s">
        <v>2866</v>
      </c>
      <c r="C307" s="1097" t="s">
        <v>3871</v>
      </c>
      <c r="D307" s="1097"/>
      <c r="E307" s="1097"/>
      <c r="F307" s="1097"/>
      <c r="G307" s="1097"/>
      <c r="H307" s="1097"/>
      <c r="I307" s="1097"/>
      <c r="J307" s="1097"/>
      <c r="K307" s="1097"/>
      <c r="L307" s="1097"/>
      <c r="M307" s="1097"/>
      <c r="N307" s="1097"/>
      <c r="O307" s="219" t="s">
        <v>2866</v>
      </c>
      <c r="P307" s="1619" t="s">
        <v>3974</v>
      </c>
      <c r="Q307" s="232"/>
    </row>
    <row r="308" spans="1:32" ht="11.45" customHeight="1">
      <c r="B308" s="55" t="s">
        <v>1145</v>
      </c>
      <c r="C308" s="62" t="s">
        <v>3873</v>
      </c>
      <c r="D308" s="62"/>
      <c r="E308" s="62"/>
      <c r="F308" s="62"/>
      <c r="G308" s="62"/>
      <c r="H308" s="62"/>
      <c r="I308" s="62"/>
      <c r="J308" s="62"/>
      <c r="K308" s="62"/>
      <c r="L308" s="38"/>
      <c r="M308" s="38"/>
      <c r="O308" s="803" t="s">
        <v>1145</v>
      </c>
      <c r="P308" s="1598" t="s">
        <v>3974</v>
      </c>
      <c r="Q308" s="232"/>
    </row>
    <row r="309" spans="1:32" ht="11.45" customHeight="1">
      <c r="B309" s="55" t="s">
        <v>3005</v>
      </c>
      <c r="C309" s="62" t="s">
        <v>3874</v>
      </c>
      <c r="D309" s="62"/>
      <c r="E309" s="62"/>
      <c r="F309" s="62"/>
      <c r="G309" s="62"/>
      <c r="H309" s="62"/>
      <c r="I309" s="62"/>
      <c r="J309" s="62"/>
      <c r="K309" s="62"/>
      <c r="L309" s="62"/>
      <c r="M309" s="62"/>
      <c r="O309" s="803" t="s">
        <v>3005</v>
      </c>
      <c r="P309" s="1598" t="s">
        <v>3974</v>
      </c>
      <c r="Q309" s="232"/>
    </row>
    <row r="310" spans="1:32" s="182" customFormat="1" ht="11.45" customHeight="1">
      <c r="B310" s="192" t="s">
        <v>2588</v>
      </c>
      <c r="C310" s="1118" t="s">
        <v>3879</v>
      </c>
      <c r="D310" s="1118"/>
      <c r="E310" s="1118"/>
      <c r="F310" s="1118"/>
      <c r="G310" s="1118"/>
      <c r="H310" s="1118"/>
      <c r="I310" s="1118"/>
      <c r="J310" s="1118"/>
      <c r="K310" s="1118"/>
      <c r="L310" s="1118"/>
      <c r="M310" s="1118"/>
      <c r="N310" s="1118"/>
      <c r="O310" s="219" t="s">
        <v>2588</v>
      </c>
      <c r="P310" s="1619" t="s">
        <v>3974</v>
      </c>
      <c r="Q310" s="354"/>
      <c r="AE310" s="806"/>
      <c r="AF310" s="806"/>
    </row>
    <row r="311" spans="1:32" s="182" customFormat="1" ht="11.45" customHeight="1">
      <c r="B311" s="192" t="s">
        <v>2589</v>
      </c>
      <c r="C311" s="1118" t="s">
        <v>3892</v>
      </c>
      <c r="D311" s="1118"/>
      <c r="E311" s="1118"/>
      <c r="F311" s="1118"/>
      <c r="G311" s="1118"/>
      <c r="H311" s="1118"/>
      <c r="I311" s="1118"/>
      <c r="J311" s="1118"/>
      <c r="K311" s="1118"/>
      <c r="L311" s="1118"/>
      <c r="M311" s="1118"/>
      <c r="N311" s="1118"/>
      <c r="O311" s="219" t="s">
        <v>2589</v>
      </c>
      <c r="P311" s="1619" t="s">
        <v>3974</v>
      </c>
      <c r="Q311" s="354"/>
      <c r="AE311" s="806"/>
      <c r="AF311" s="806"/>
    </row>
    <row r="312" spans="1:32" ht="11.45" customHeight="1">
      <c r="B312" s="55" t="s">
        <v>2826</v>
      </c>
      <c r="C312" s="62" t="s">
        <v>3875</v>
      </c>
      <c r="D312" s="62"/>
      <c r="E312" s="62"/>
      <c r="F312" s="62"/>
      <c r="G312" s="62"/>
      <c r="H312" s="62"/>
      <c r="I312" s="62"/>
      <c r="J312" s="62"/>
      <c r="K312" s="62"/>
      <c r="L312" s="62"/>
      <c r="M312" s="62"/>
      <c r="O312" s="803" t="s">
        <v>2826</v>
      </c>
      <c r="P312" s="1598" t="s">
        <v>1469</v>
      </c>
      <c r="Q312" s="232"/>
    </row>
    <row r="313" spans="1:32" ht="11.25" customHeight="1">
      <c r="B313" s="191" t="s">
        <v>2738</v>
      </c>
      <c r="D313" s="191"/>
      <c r="E313" s="191"/>
      <c r="F313" s="191"/>
      <c r="G313" s="191"/>
      <c r="H313" s="48"/>
      <c r="I313" s="180"/>
      <c r="J313" s="180"/>
      <c r="K313" s="180"/>
      <c r="L313" s="848"/>
      <c r="M313" s="848"/>
      <c r="N313" s="848"/>
      <c r="O313" s="848"/>
      <c r="P313" s="848"/>
      <c r="Q313" s="60"/>
    </row>
    <row r="314" spans="1:32" ht="99" customHeight="1">
      <c r="A314" s="1602" t="s">
        <v>4147</v>
      </c>
      <c r="B314" s="1603"/>
      <c r="C314" s="1603"/>
      <c r="D314" s="1603"/>
      <c r="E314" s="1603"/>
      <c r="F314" s="1603"/>
      <c r="G314" s="1603"/>
      <c r="H314" s="1603"/>
      <c r="I314" s="1603"/>
      <c r="J314" s="1603"/>
      <c r="K314" s="1603"/>
      <c r="L314" s="1603"/>
      <c r="M314" s="1603"/>
      <c r="N314" s="1603"/>
      <c r="O314" s="1603"/>
      <c r="P314" s="1603"/>
      <c r="Q314" s="1604"/>
      <c r="U314" s="186"/>
      <c r="V314" s="186"/>
      <c r="W314" s="186"/>
      <c r="X314" s="186"/>
      <c r="Y314" s="186"/>
      <c r="Z314" s="186"/>
      <c r="AA314" s="186"/>
      <c r="AB314" s="186"/>
      <c r="AC314" s="186"/>
      <c r="AD314" s="186"/>
      <c r="AE314" s="805"/>
    </row>
    <row r="315" spans="1:32" ht="11.25" customHeight="1">
      <c r="B315" s="187" t="s">
        <v>2739</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4.1" customHeight="1">
      <c r="A318" s="857">
        <v>22</v>
      </c>
      <c r="B318" s="5" t="s">
        <v>3932</v>
      </c>
      <c r="C318" s="5"/>
      <c r="D318" s="5"/>
      <c r="E318" s="5"/>
      <c r="F318" s="5"/>
      <c r="G318" s="5"/>
      <c r="H318" s="856"/>
      <c r="I318" s="856"/>
      <c r="J318" s="856"/>
      <c r="O318" s="181" t="s">
        <v>2740</v>
      </c>
      <c r="P318" s="1114"/>
      <c r="Q318" s="1119"/>
    </row>
    <row r="319" spans="1:32" ht="14.1" customHeight="1">
      <c r="A319" s="857"/>
      <c r="B319" s="149" t="s">
        <v>3813</v>
      </c>
      <c r="C319" s="5"/>
      <c r="D319" s="5"/>
      <c r="E319" s="5"/>
      <c r="F319" s="5"/>
      <c r="G319" s="5"/>
      <c r="H319" s="856"/>
      <c r="I319" s="856"/>
      <c r="J319" s="856"/>
    </row>
    <row r="320" spans="1:32" ht="11.45" customHeight="1">
      <c r="B320" s="55" t="s">
        <v>2863</v>
      </c>
      <c r="C320" s="653" t="s">
        <v>3816</v>
      </c>
      <c r="D320" s="65"/>
      <c r="E320" s="859"/>
      <c r="F320" s="859"/>
      <c r="G320" s="859"/>
      <c r="H320" s="859"/>
      <c r="I320" s="50"/>
      <c r="O320" s="803" t="s">
        <v>2863</v>
      </c>
    </row>
    <row r="321" spans="2:32" s="182" customFormat="1" ht="21.75" customHeight="1">
      <c r="B321" s="192"/>
      <c r="C321" s="201" t="s">
        <v>2590</v>
      </c>
      <c r="D321" s="1125" t="s">
        <v>3814</v>
      </c>
      <c r="E321" s="1125"/>
      <c r="F321" s="1125"/>
      <c r="G321" s="1125"/>
      <c r="H321" s="1125"/>
      <c r="I321" s="1125"/>
      <c r="J321" s="1125"/>
      <c r="K321" s="1125"/>
      <c r="L321" s="1125"/>
      <c r="M321" s="1125"/>
      <c r="N321" s="1125"/>
      <c r="O321" s="201" t="s">
        <v>2590</v>
      </c>
      <c r="P321" s="1619" t="s">
        <v>3975</v>
      </c>
      <c r="Q321" s="354"/>
      <c r="AE321" s="806"/>
      <c r="AF321" s="806"/>
    </row>
    <row r="322" spans="2:32" s="182" customFormat="1" ht="21.75" customHeight="1">
      <c r="C322" s="201" t="s">
        <v>2591</v>
      </c>
      <c r="D322" s="1113" t="s">
        <v>3815</v>
      </c>
      <c r="E322" s="1113"/>
      <c r="F322" s="1113"/>
      <c r="G322" s="1113"/>
      <c r="H322" s="1113"/>
      <c r="I322" s="1113"/>
      <c r="J322" s="1113"/>
      <c r="K322" s="1113"/>
      <c r="L322" s="1113"/>
      <c r="M322" s="1113"/>
      <c r="N322" s="1113"/>
      <c r="O322" s="201" t="s">
        <v>2591</v>
      </c>
      <c r="P322" s="1619" t="s">
        <v>3974</v>
      </c>
      <c r="Q322" s="354"/>
      <c r="AE322" s="806"/>
      <c r="AF322" s="806"/>
    </row>
    <row r="323" spans="2:32" s="182" customFormat="1" ht="21.75" customHeight="1">
      <c r="B323" s="192"/>
      <c r="C323" s="201" t="s">
        <v>2592</v>
      </c>
      <c r="D323" s="1113" t="s">
        <v>3818</v>
      </c>
      <c r="E323" s="1113"/>
      <c r="F323" s="1113"/>
      <c r="G323" s="1113"/>
      <c r="H323" s="1113"/>
      <c r="I323" s="1113"/>
      <c r="J323" s="1113"/>
      <c r="K323" s="1113"/>
      <c r="L323" s="1113"/>
      <c r="M323" s="1113"/>
      <c r="N323" s="1113"/>
      <c r="O323" s="201" t="s">
        <v>2592</v>
      </c>
      <c r="P323" s="1619" t="s">
        <v>3975</v>
      </c>
      <c r="Q323" s="354"/>
      <c r="AE323" s="806"/>
      <c r="AF323" s="806"/>
    </row>
    <row r="324" spans="2:32" s="182" customFormat="1" ht="22.35" customHeight="1">
      <c r="B324" s="192"/>
      <c r="C324" s="201" t="s">
        <v>3331</v>
      </c>
      <c r="D324" s="1113" t="s">
        <v>3819</v>
      </c>
      <c r="E324" s="1113"/>
      <c r="F324" s="1113"/>
      <c r="G324" s="1113"/>
      <c r="H324" s="1113"/>
      <c r="I324" s="1113"/>
      <c r="J324" s="1113"/>
      <c r="K324" s="1113"/>
      <c r="L324" s="1113"/>
      <c r="M324" s="1113"/>
      <c r="N324" s="1113"/>
      <c r="O324" s="201" t="s">
        <v>3331</v>
      </c>
      <c r="P324" s="1619" t="s">
        <v>3975</v>
      </c>
      <c r="Q324" s="354"/>
      <c r="AE324" s="806"/>
      <c r="AF324" s="806"/>
    </row>
    <row r="325" spans="2:32" s="182" customFormat="1" ht="21.75" customHeight="1">
      <c r="B325" s="192"/>
      <c r="C325" s="201" t="s">
        <v>2153</v>
      </c>
      <c r="D325" s="1113" t="s">
        <v>3820</v>
      </c>
      <c r="E325" s="1113"/>
      <c r="F325" s="1113"/>
      <c r="G325" s="1113"/>
      <c r="H325" s="1113"/>
      <c r="I325" s="1113"/>
      <c r="J325" s="1113"/>
      <c r="K325" s="1113"/>
      <c r="L325" s="1113"/>
      <c r="M325" s="1113"/>
      <c r="N325" s="1113"/>
      <c r="O325" s="201" t="s">
        <v>2153</v>
      </c>
      <c r="P325" s="1619" t="s">
        <v>3975</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3817</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3331</v>
      </c>
      <c r="D331" s="62" t="s">
        <v>3824</v>
      </c>
      <c r="E331" s="62"/>
      <c r="F331" s="62"/>
      <c r="G331" s="62"/>
      <c r="H331" s="62"/>
      <c r="I331" s="62"/>
      <c r="J331" s="62"/>
      <c r="K331" s="62"/>
      <c r="L331" s="62"/>
      <c r="M331" s="62"/>
      <c r="N331" s="62"/>
      <c r="P331" s="79" t="s">
        <v>3331</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48"/>
      <c r="M336" s="848"/>
      <c r="N336" s="848"/>
      <c r="O336" s="848"/>
      <c r="P336" s="848"/>
      <c r="Q336" s="60"/>
    </row>
    <row r="337" spans="1:31" ht="87" customHeight="1">
      <c r="A337" s="1602" t="s">
        <v>4126</v>
      </c>
      <c r="B337" s="1603"/>
      <c r="C337" s="1603"/>
      <c r="D337" s="1603"/>
      <c r="E337" s="1603"/>
      <c r="F337" s="1603"/>
      <c r="G337" s="1603"/>
      <c r="H337" s="1603"/>
      <c r="I337" s="1603"/>
      <c r="J337" s="1603"/>
      <c r="K337" s="1603"/>
      <c r="L337" s="1603"/>
      <c r="M337" s="1603"/>
      <c r="N337" s="1603"/>
      <c r="O337" s="1603"/>
      <c r="P337" s="1603"/>
      <c r="Q337" s="1604"/>
      <c r="U337" s="186"/>
      <c r="V337" s="186"/>
      <c r="W337" s="186"/>
      <c r="X337" s="186"/>
      <c r="Y337" s="186"/>
      <c r="Z337" s="186"/>
      <c r="AA337" s="186"/>
      <c r="AB337" s="186"/>
      <c r="AC337" s="186"/>
      <c r="AD337" s="186"/>
      <c r="AE337" s="805"/>
    </row>
    <row r="338" spans="1:31" ht="11.25" customHeight="1">
      <c r="B338" s="187" t="s">
        <v>2739</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4.1" customHeight="1">
      <c r="A341" s="857">
        <v>23</v>
      </c>
      <c r="B341" s="5" t="s">
        <v>3893</v>
      </c>
      <c r="C341" s="5"/>
      <c r="D341" s="5"/>
      <c r="E341" s="5"/>
      <c r="F341" s="5"/>
      <c r="G341" s="5"/>
      <c r="H341" s="856"/>
      <c r="I341" s="856"/>
      <c r="J341" s="856"/>
      <c r="O341" s="181" t="s">
        <v>2740</v>
      </c>
      <c r="P341" s="1114"/>
      <c r="Q341" s="1119"/>
    </row>
    <row r="342" spans="1:31" ht="11.45" customHeight="1">
      <c r="B342" s="55" t="s">
        <v>2863</v>
      </c>
      <c r="C342" s="161" t="s">
        <v>1543</v>
      </c>
      <c r="E342" s="1608" t="s">
        <v>1469</v>
      </c>
      <c r="F342" s="1609"/>
      <c r="G342" s="1609"/>
      <c r="H342" s="1609"/>
      <c r="I342" s="1610"/>
      <c r="J342" s="1122" t="s">
        <v>3831</v>
      </c>
      <c r="K342" s="1123"/>
      <c r="L342" s="1124"/>
      <c r="M342" s="1608" t="s">
        <v>1469</v>
      </c>
      <c r="N342" s="1609"/>
      <c r="O342" s="1609"/>
      <c r="P342" s="1609"/>
      <c r="Q342" s="1610"/>
    </row>
    <row r="343" spans="1:31" ht="11.45" customHeight="1">
      <c r="B343" s="55" t="s">
        <v>2866</v>
      </c>
      <c r="C343" s="62" t="s">
        <v>2593</v>
      </c>
      <c r="D343" s="62"/>
      <c r="E343" s="62"/>
      <c r="F343" s="62"/>
      <c r="G343" s="62"/>
      <c r="H343" s="62"/>
      <c r="I343" s="62"/>
      <c r="J343" s="62"/>
      <c r="K343" s="62"/>
      <c r="L343" s="38"/>
      <c r="M343" s="38"/>
      <c r="O343" s="803" t="s">
        <v>2866</v>
      </c>
      <c r="P343" s="1598" t="s">
        <v>1469</v>
      </c>
      <c r="Q343" s="232"/>
    </row>
    <row r="344" spans="1:31" ht="11.45" customHeight="1">
      <c r="B344" s="55" t="s">
        <v>1145</v>
      </c>
      <c r="C344" s="62" t="s">
        <v>2008</v>
      </c>
      <c r="D344" s="62"/>
      <c r="E344" s="62"/>
      <c r="F344" s="62"/>
      <c r="G344" s="62"/>
      <c r="H344" s="62"/>
      <c r="I344" s="62"/>
      <c r="J344" s="62"/>
      <c r="K344" s="62"/>
      <c r="L344" s="62"/>
      <c r="M344" s="62"/>
      <c r="O344" s="803" t="s">
        <v>1145</v>
      </c>
      <c r="P344" s="1598" t="s">
        <v>1469</v>
      </c>
      <c r="Q344" s="232"/>
    </row>
    <row r="345" spans="1:31" ht="11.45" customHeight="1">
      <c r="B345" s="55" t="s">
        <v>3005</v>
      </c>
      <c r="C345" s="62" t="s">
        <v>3876</v>
      </c>
      <c r="D345" s="62"/>
      <c r="E345" s="62"/>
      <c r="F345" s="62"/>
      <c r="G345" s="62"/>
      <c r="H345" s="62"/>
      <c r="I345" s="62"/>
      <c r="J345" s="62"/>
      <c r="K345" s="62"/>
      <c r="L345" s="62"/>
      <c r="M345" s="62"/>
      <c r="O345" s="803" t="s">
        <v>3005</v>
      </c>
      <c r="P345" s="1598" t="s">
        <v>1469</v>
      </c>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98" t="s">
        <v>1469</v>
      </c>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19" t="s">
        <v>1469</v>
      </c>
      <c r="Q347" s="232"/>
    </row>
    <row r="348" spans="1:31" ht="11.45" customHeight="1">
      <c r="B348" s="55" t="s">
        <v>2826</v>
      </c>
      <c r="C348" s="38" t="s">
        <v>792</v>
      </c>
      <c r="D348" s="203"/>
      <c r="E348" s="203"/>
      <c r="F348" s="203"/>
      <c r="G348" s="203"/>
      <c r="H348" s="203"/>
      <c r="I348" s="203"/>
      <c r="J348" s="203"/>
      <c r="K348" s="203"/>
      <c r="L348" s="203"/>
      <c r="M348" s="203"/>
      <c r="O348" s="803" t="s">
        <v>2826</v>
      </c>
      <c r="P348" s="1598" t="s">
        <v>1469</v>
      </c>
      <c r="Q348" s="232"/>
    </row>
    <row r="349" spans="1:31" ht="11.25" customHeight="1">
      <c r="B349" s="191" t="s">
        <v>2738</v>
      </c>
      <c r="D349" s="191"/>
      <c r="E349" s="191"/>
      <c r="F349" s="191"/>
      <c r="G349" s="191"/>
      <c r="H349" s="48"/>
      <c r="I349" s="180"/>
      <c r="J349" s="180"/>
      <c r="K349" s="180"/>
      <c r="L349" s="848"/>
      <c r="M349" s="848"/>
      <c r="N349" s="848"/>
      <c r="O349" s="848"/>
      <c r="P349" s="848"/>
      <c r="Q349" s="60"/>
    </row>
    <row r="350" spans="1:31" ht="11.45" customHeight="1">
      <c r="A350" s="1602"/>
      <c r="B350" s="1603"/>
      <c r="C350" s="1603"/>
      <c r="D350" s="1603"/>
      <c r="E350" s="1603"/>
      <c r="F350" s="1603"/>
      <c r="G350" s="1603"/>
      <c r="H350" s="1603"/>
      <c r="I350" s="1603"/>
      <c r="J350" s="1603"/>
      <c r="K350" s="1603"/>
      <c r="L350" s="1603"/>
      <c r="M350" s="1603"/>
      <c r="N350" s="1603"/>
      <c r="O350" s="1603"/>
      <c r="P350" s="1603"/>
      <c r="Q350" s="1604"/>
      <c r="U350" s="186"/>
      <c r="V350" s="186"/>
      <c r="W350" s="186"/>
      <c r="X350" s="186"/>
      <c r="Y350" s="186"/>
      <c r="Z350" s="186"/>
      <c r="AA350" s="186"/>
      <c r="AB350" s="186"/>
      <c r="AC350" s="186"/>
      <c r="AD350" s="186"/>
      <c r="AE350" s="805"/>
    </row>
    <row r="351" spans="1:31" ht="11.25" customHeight="1">
      <c r="B351" s="187" t="s">
        <v>2739</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4.1" customHeight="1">
      <c r="A354" s="857">
        <v>24</v>
      </c>
      <c r="B354" s="5" t="s">
        <v>3829</v>
      </c>
      <c r="C354" s="5"/>
      <c r="D354" s="115"/>
      <c r="E354" s="856"/>
      <c r="F354" s="856"/>
      <c r="G354" s="856"/>
      <c r="H354" s="856"/>
      <c r="I354" s="856"/>
      <c r="J354" s="856"/>
      <c r="K354" s="856"/>
      <c r="L354" s="856"/>
      <c r="M354" s="856"/>
      <c r="O354" s="181" t="s">
        <v>2740</v>
      </c>
      <c r="P354" s="1114"/>
      <c r="Q354" s="1119"/>
    </row>
    <row r="355" spans="1:32" s="2" customFormat="1" ht="23.45" customHeight="1">
      <c r="B355" s="192" t="s">
        <v>2863</v>
      </c>
      <c r="C355" s="1118" t="s">
        <v>183</v>
      </c>
      <c r="D355" s="1118"/>
      <c r="E355" s="1118"/>
      <c r="F355" s="1118"/>
      <c r="G355" s="1118"/>
      <c r="H355" s="1118"/>
      <c r="I355" s="1118"/>
      <c r="J355" s="1118"/>
      <c r="K355" s="1118"/>
      <c r="L355" s="1118"/>
      <c r="M355" s="219" t="s">
        <v>2863</v>
      </c>
      <c r="N355" s="1651" t="s">
        <v>4062</v>
      </c>
      <c r="O355" s="1652"/>
      <c r="P355" s="1116" t="s">
        <v>2626</v>
      </c>
      <c r="Q355" s="1117"/>
      <c r="AE355" s="6"/>
      <c r="AF355" s="6"/>
    </row>
    <row r="356" spans="1:32" s="2" customFormat="1" ht="12" customHeight="1">
      <c r="B356" s="55" t="s">
        <v>2866</v>
      </c>
      <c r="C356" s="158" t="s">
        <v>1</v>
      </c>
      <c r="D356" s="203"/>
      <c r="E356" s="203"/>
      <c r="G356" s="803" t="s">
        <v>2866</v>
      </c>
      <c r="H356" s="1653" t="s">
        <v>4063</v>
      </c>
      <c r="I356" s="1654"/>
      <c r="J356" s="1654"/>
      <c r="K356" s="1654"/>
      <c r="L356" s="1654"/>
      <c r="M356" s="1654"/>
      <c r="N356" s="1654"/>
      <c r="O356" s="1654"/>
      <c r="P356" s="1655"/>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98" t="s">
        <v>3975</v>
      </c>
      <c r="Q357" s="232"/>
      <c r="AE357" s="6"/>
      <c r="AF357" s="6"/>
    </row>
    <row r="358" spans="1:32" ht="11.25" customHeight="1">
      <c r="B358" s="191" t="s">
        <v>2738</v>
      </c>
      <c r="D358" s="191"/>
      <c r="E358" s="191"/>
      <c r="F358" s="191"/>
      <c r="G358" s="191"/>
      <c r="H358" s="48"/>
      <c r="I358" s="180"/>
      <c r="J358" s="180"/>
      <c r="K358" s="180"/>
      <c r="L358" s="848"/>
      <c r="M358" s="848"/>
      <c r="N358" s="848"/>
      <c r="O358" s="848"/>
      <c r="P358" s="848"/>
      <c r="Q358" s="60"/>
    </row>
    <row r="359" spans="1:32" ht="69" customHeight="1">
      <c r="A359" s="1602" t="s">
        <v>4148</v>
      </c>
      <c r="B359" s="1603"/>
      <c r="C359" s="1603"/>
      <c r="D359" s="1603"/>
      <c r="E359" s="1603"/>
      <c r="F359" s="1603"/>
      <c r="G359" s="1603"/>
      <c r="H359" s="1603"/>
      <c r="I359" s="1603"/>
      <c r="J359" s="1603"/>
      <c r="K359" s="1603"/>
      <c r="L359" s="1603"/>
      <c r="M359" s="1603"/>
      <c r="N359" s="1603"/>
      <c r="O359" s="1603"/>
      <c r="P359" s="1603"/>
      <c r="Q359" s="1604"/>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4.1" customHeight="1">
      <c r="A364" s="857">
        <v>25</v>
      </c>
      <c r="B364" s="5" t="s">
        <v>3808</v>
      </c>
      <c r="C364" s="5"/>
      <c r="D364" s="5"/>
      <c r="E364" s="856"/>
      <c r="G364" s="190" t="s">
        <v>976</v>
      </c>
      <c r="H364" s="856"/>
      <c r="I364" s="856"/>
      <c r="J364" s="856"/>
      <c r="K364" s="856"/>
      <c r="L364" s="856"/>
      <c r="M364" s="856"/>
      <c r="O364" s="181" t="s">
        <v>2740</v>
      </c>
      <c r="P364" s="1114"/>
      <c r="Q364" s="1115"/>
    </row>
    <row r="365" spans="1:32" ht="12" customHeight="1">
      <c r="A365" s="194"/>
      <c r="B365" s="55" t="s">
        <v>2863</v>
      </c>
      <c r="C365" s="62" t="s">
        <v>3837</v>
      </c>
      <c r="D365" s="727"/>
      <c r="E365" s="727"/>
      <c r="H365" s="190"/>
      <c r="O365" s="803" t="s">
        <v>2863</v>
      </c>
      <c r="P365" s="1598" t="s">
        <v>3975</v>
      </c>
      <c r="Q365" s="232"/>
    </row>
    <row r="366" spans="1:32" ht="12" customHeight="1">
      <c r="A366" s="194"/>
      <c r="B366" s="55" t="s">
        <v>2866</v>
      </c>
      <c r="C366" s="62" t="s">
        <v>3838</v>
      </c>
      <c r="D366" s="727"/>
      <c r="E366" s="727"/>
      <c r="O366" s="803" t="s">
        <v>2866</v>
      </c>
      <c r="P366" s="1598" t="s">
        <v>3975</v>
      </c>
      <c r="Q366" s="232"/>
    </row>
    <row r="367" spans="1:32" ht="12" customHeight="1">
      <c r="A367" s="194"/>
      <c r="B367" s="55" t="s">
        <v>1145</v>
      </c>
      <c r="C367" s="62" t="s">
        <v>3894</v>
      </c>
      <c r="D367" s="727"/>
      <c r="E367" s="727"/>
      <c r="O367" s="803" t="s">
        <v>1145</v>
      </c>
      <c r="P367" s="1598" t="s">
        <v>3974</v>
      </c>
      <c r="Q367" s="232"/>
    </row>
    <row r="368" spans="1:32" ht="12" customHeight="1">
      <c r="A368" s="194"/>
      <c r="B368" s="55" t="s">
        <v>3005</v>
      </c>
      <c r="C368" s="62" t="s">
        <v>3830</v>
      </c>
      <c r="E368" s="190"/>
      <c r="O368" s="803" t="s">
        <v>3005</v>
      </c>
      <c r="P368" s="1598" t="s">
        <v>3975</v>
      </c>
      <c r="Q368" s="232"/>
    </row>
    <row r="369" spans="1:31" ht="12" customHeight="1">
      <c r="B369" s="55" t="s">
        <v>2588</v>
      </c>
      <c r="C369" s="62" t="s">
        <v>2968</v>
      </c>
      <c r="E369" s="190"/>
      <c r="G369" s="803" t="s">
        <v>2588</v>
      </c>
      <c r="H369" s="1620"/>
      <c r="I369" s="1621"/>
      <c r="J369" s="1621"/>
      <c r="K369" s="1621"/>
      <c r="L369" s="1621"/>
      <c r="M369" s="1621"/>
      <c r="N369" s="1621"/>
      <c r="O369" s="1622"/>
      <c r="P369" s="1598"/>
      <c r="Q369" s="232"/>
    </row>
    <row r="370" spans="1:31" ht="11.25" customHeight="1">
      <c r="B370" s="191" t="s">
        <v>2738</v>
      </c>
      <c r="D370" s="191"/>
      <c r="E370" s="191"/>
      <c r="F370" s="191"/>
      <c r="G370" s="191"/>
      <c r="H370" s="48"/>
      <c r="I370" s="180"/>
      <c r="J370" s="180"/>
      <c r="K370" s="180"/>
      <c r="L370" s="848"/>
      <c r="M370" s="848"/>
      <c r="N370" s="848"/>
      <c r="O370" s="848"/>
      <c r="P370" s="848"/>
      <c r="Q370" s="60"/>
    </row>
    <row r="371" spans="1:31" ht="46.5" customHeight="1">
      <c r="A371" s="1602" t="s">
        <v>4064</v>
      </c>
      <c r="B371" s="1603"/>
      <c r="C371" s="1603"/>
      <c r="D371" s="1603"/>
      <c r="E371" s="1603"/>
      <c r="F371" s="1603"/>
      <c r="G371" s="1603"/>
      <c r="H371" s="1603"/>
      <c r="I371" s="1603"/>
      <c r="J371" s="1603"/>
      <c r="K371" s="1603"/>
      <c r="L371" s="1603"/>
      <c r="M371" s="1603"/>
      <c r="N371" s="1603"/>
      <c r="O371" s="1603"/>
      <c r="P371" s="1603"/>
      <c r="Q371" s="1604"/>
      <c r="U371" s="186"/>
      <c r="V371" s="186"/>
      <c r="W371" s="186"/>
      <c r="X371" s="186"/>
      <c r="Y371" s="186"/>
      <c r="Z371" s="186"/>
      <c r="AA371" s="186"/>
      <c r="AB371" s="186"/>
      <c r="AC371" s="186"/>
      <c r="AD371" s="186"/>
      <c r="AE371" s="805"/>
    </row>
    <row r="372" spans="1:31" ht="11.25" customHeight="1">
      <c r="B372" s="187" t="s">
        <v>2739</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4.1" customHeight="1">
      <c r="A375" s="857">
        <v>26</v>
      </c>
      <c r="B375" s="1120" t="s">
        <v>3809</v>
      </c>
      <c r="C375" s="1120"/>
      <c r="D375" s="1120"/>
      <c r="E375" s="1120"/>
      <c r="F375" s="1120"/>
      <c r="G375" s="1120"/>
      <c r="H375" s="856"/>
      <c r="I375" s="856"/>
      <c r="J375" s="856"/>
      <c r="K375" s="856"/>
      <c r="L375" s="856"/>
      <c r="M375" s="856"/>
      <c r="O375" s="181" t="s">
        <v>2740</v>
      </c>
      <c r="P375" s="1114"/>
      <c r="Q375" s="1115"/>
    </row>
    <row r="376" spans="1:31" ht="21.75" customHeight="1">
      <c r="A376" s="189"/>
      <c r="B376" s="192" t="s">
        <v>2863</v>
      </c>
      <c r="C376" s="1118" t="s">
        <v>837</v>
      </c>
      <c r="D376" s="1118"/>
      <c r="E376" s="1118"/>
      <c r="F376" s="1118"/>
      <c r="G376" s="1118"/>
      <c r="H376" s="1118"/>
      <c r="I376" s="1118"/>
      <c r="J376" s="1118"/>
      <c r="K376" s="1118"/>
      <c r="L376" s="1118"/>
      <c r="M376" s="1118"/>
      <c r="N376" s="1118"/>
      <c r="O376" s="219" t="s">
        <v>2863</v>
      </c>
      <c r="P376" s="1598" t="s">
        <v>4041</v>
      </c>
      <c r="Q376" s="232"/>
    </row>
    <row r="377" spans="1:31" ht="12" customHeight="1">
      <c r="A377" s="189"/>
      <c r="B377" s="55" t="s">
        <v>2866</v>
      </c>
      <c r="C377" s="197" t="s">
        <v>793</v>
      </c>
      <c r="D377" s="856"/>
      <c r="E377" s="856"/>
      <c r="F377" s="856"/>
      <c r="G377" s="856"/>
      <c r="H377" s="856"/>
      <c r="I377" s="856"/>
      <c r="J377" s="856"/>
      <c r="K377" s="856"/>
      <c r="L377" s="856"/>
      <c r="M377" s="856"/>
      <c r="O377" s="803" t="s">
        <v>2866</v>
      </c>
      <c r="P377" s="1598" t="s">
        <v>3974</v>
      </c>
      <c r="Q377" s="232"/>
    </row>
    <row r="378" spans="1:31" ht="11.25" customHeight="1">
      <c r="B378" s="127" t="s">
        <v>2738</v>
      </c>
      <c r="D378" s="127"/>
      <c r="E378" s="127"/>
      <c r="F378" s="127"/>
      <c r="G378" s="127"/>
      <c r="H378" s="48"/>
      <c r="I378" s="180"/>
      <c r="J378" s="180"/>
      <c r="K378" s="187" t="s">
        <v>2739</v>
      </c>
      <c r="L378" s="848"/>
      <c r="M378" s="848"/>
      <c r="N378" s="848"/>
      <c r="O378" s="235"/>
      <c r="P378" s="848"/>
      <c r="Q378" s="60"/>
    </row>
    <row r="379" spans="1:31" ht="33.75" customHeight="1">
      <c r="A379" s="1602" t="s">
        <v>4102</v>
      </c>
      <c r="B379" s="1603"/>
      <c r="C379" s="1603"/>
      <c r="D379" s="1603"/>
      <c r="E379" s="1603"/>
      <c r="F379" s="1603"/>
      <c r="G379" s="1603"/>
      <c r="H379" s="1603"/>
      <c r="I379" s="1603"/>
      <c r="J379" s="1604"/>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4.1" customHeight="1">
      <c r="A381" s="857">
        <v>27</v>
      </c>
      <c r="B381" s="5" t="s">
        <v>3810</v>
      </c>
      <c r="C381" s="5"/>
      <c r="D381" s="5"/>
      <c r="E381" s="5"/>
      <c r="F381" s="5"/>
      <c r="G381" s="5"/>
      <c r="H381" s="856"/>
      <c r="I381" s="856"/>
      <c r="J381" s="856"/>
      <c r="K381" s="856"/>
      <c r="L381" s="856"/>
      <c r="M381" s="856"/>
      <c r="O381" s="181" t="s">
        <v>2740</v>
      </c>
      <c r="P381" s="1114"/>
      <c r="Q381" s="1115"/>
    </row>
    <row r="382" spans="1:31" ht="12" customHeight="1">
      <c r="A382" s="50"/>
      <c r="B382" s="55" t="s">
        <v>2863</v>
      </c>
      <c r="C382" s="47" t="s">
        <v>1148</v>
      </c>
      <c r="D382" s="50"/>
      <c r="E382" s="50"/>
      <c r="F382" s="50"/>
      <c r="G382" s="50"/>
      <c r="H382" s="50"/>
      <c r="I382" s="50"/>
      <c r="J382" s="50"/>
      <c r="K382" s="50"/>
      <c r="L382" s="50"/>
      <c r="M382" s="50"/>
      <c r="N382" s="50"/>
      <c r="O382" s="803" t="s">
        <v>2863</v>
      </c>
      <c r="P382" s="1598" t="s">
        <v>3974</v>
      </c>
      <c r="Q382" s="232"/>
    </row>
    <row r="383" spans="1:31" ht="12" customHeight="1">
      <c r="A383" s="50"/>
      <c r="B383" s="55" t="s">
        <v>2866</v>
      </c>
      <c r="C383" s="47" t="s">
        <v>3101</v>
      </c>
      <c r="D383" s="50"/>
      <c r="E383" s="50"/>
      <c r="F383" s="50"/>
      <c r="G383" s="50"/>
      <c r="H383" s="50"/>
      <c r="I383" s="50"/>
      <c r="J383" s="50"/>
      <c r="K383" s="50"/>
      <c r="L383" s="50"/>
      <c r="M383" s="50"/>
      <c r="N383" s="50"/>
      <c r="O383" s="803" t="s">
        <v>2030</v>
      </c>
      <c r="P383" s="1598" t="s">
        <v>3974</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98" t="s">
        <v>3975</v>
      </c>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98" t="s">
        <v>3974</v>
      </c>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56">
        <v>0</v>
      </c>
      <c r="H388" s="662" t="s">
        <v>291</v>
      </c>
      <c r="J388" s="184" t="s">
        <v>3106</v>
      </c>
      <c r="K388" s="38"/>
      <c r="N388" s="1656">
        <v>3</v>
      </c>
      <c r="O388" s="662" t="s">
        <v>291</v>
      </c>
    </row>
    <row r="389" spans="1:32" ht="12" customHeight="1">
      <c r="A389" s="50"/>
      <c r="B389" s="55"/>
      <c r="C389" s="184" t="s">
        <v>3104</v>
      </c>
      <c r="D389" s="44"/>
      <c r="E389" s="50"/>
      <c r="F389" s="38"/>
      <c r="G389" s="1656">
        <v>0</v>
      </c>
      <c r="H389" s="662"/>
      <c r="J389" s="184" t="s">
        <v>3107</v>
      </c>
      <c r="K389" s="38"/>
      <c r="N389" s="1656">
        <v>0</v>
      </c>
      <c r="O389" s="662"/>
    </row>
    <row r="390" spans="1:32" ht="12" customHeight="1">
      <c r="A390" s="50"/>
      <c r="B390" s="55"/>
      <c r="C390" s="184" t="s">
        <v>3105</v>
      </c>
      <c r="D390" s="44"/>
      <c r="E390" s="50"/>
      <c r="F390" s="38"/>
      <c r="G390" s="1656">
        <v>4</v>
      </c>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98" t="s">
        <v>3974</v>
      </c>
      <c r="H392" s="232"/>
      <c r="J392" s="697" t="s">
        <v>1705</v>
      </c>
      <c r="K392" s="38"/>
      <c r="N392" s="1598" t="s">
        <v>3974</v>
      </c>
      <c r="O392" s="232"/>
    </row>
    <row r="393" spans="1:32" ht="12" customHeight="1">
      <c r="A393" s="50"/>
      <c r="B393" s="55"/>
      <c r="C393" s="697" t="s">
        <v>1704</v>
      </c>
      <c r="D393" s="38"/>
      <c r="E393" s="38"/>
      <c r="F393" s="38"/>
      <c r="G393" s="1598" t="s">
        <v>3974</v>
      </c>
      <c r="H393" s="232"/>
      <c r="J393" s="697" t="s">
        <v>3166</v>
      </c>
      <c r="N393" s="1657"/>
      <c r="O393" s="1658"/>
      <c r="P393" s="1658"/>
      <c r="Q393" s="1659"/>
    </row>
    <row r="394" spans="1:32" ht="12" customHeight="1">
      <c r="B394" s="191" t="s">
        <v>2738</v>
      </c>
      <c r="D394" s="191"/>
      <c r="E394" s="191"/>
      <c r="F394" s="191"/>
      <c r="G394" s="191"/>
      <c r="H394" s="48"/>
      <c r="I394" s="180"/>
      <c r="J394" s="180"/>
      <c r="K394" s="180"/>
      <c r="P394" s="848"/>
      <c r="Q394" s="60"/>
    </row>
    <row r="395" spans="1:32" ht="42.75" customHeight="1">
      <c r="A395" s="1602" t="s">
        <v>4127</v>
      </c>
      <c r="B395" s="1603"/>
      <c r="C395" s="1603"/>
      <c r="D395" s="1603"/>
      <c r="E395" s="1603"/>
      <c r="F395" s="1603"/>
      <c r="G395" s="1603"/>
      <c r="H395" s="1603"/>
      <c r="I395" s="1603"/>
      <c r="J395" s="1603"/>
      <c r="K395" s="1603"/>
      <c r="L395" s="1603"/>
      <c r="M395" s="1603"/>
      <c r="N395" s="1603"/>
      <c r="O395" s="1603"/>
      <c r="P395" s="1603"/>
      <c r="Q395" s="1604"/>
      <c r="U395" s="186"/>
      <c r="V395" s="186"/>
      <c r="W395" s="186"/>
      <c r="X395" s="186"/>
      <c r="Y395" s="186"/>
      <c r="Z395" s="186"/>
      <c r="AA395" s="186"/>
      <c r="AB395" s="186"/>
      <c r="AC395" s="186"/>
      <c r="AD395" s="186"/>
      <c r="AE395" s="805"/>
    </row>
    <row r="396" spans="1:32" ht="12" customHeight="1">
      <c r="B396" s="187" t="s">
        <v>2739</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35" customHeight="1">
      <c r="A398" s="848"/>
      <c r="B398" s="180"/>
      <c r="C398" s="856"/>
      <c r="D398" s="856"/>
      <c r="E398" s="856"/>
      <c r="F398" s="856"/>
      <c r="G398" s="856"/>
      <c r="H398" s="856"/>
      <c r="I398" s="856"/>
      <c r="J398" s="856"/>
      <c r="K398" s="856"/>
      <c r="L398" s="856"/>
      <c r="M398" s="856"/>
      <c r="Q398" s="60"/>
    </row>
    <row r="399" spans="1:32" ht="14.1" customHeight="1">
      <c r="A399" s="857">
        <v>28</v>
      </c>
      <c r="B399" s="5" t="s">
        <v>3811</v>
      </c>
      <c r="C399" s="5"/>
      <c r="D399" s="115"/>
      <c r="E399" s="856"/>
      <c r="F399" s="856"/>
      <c r="G399" s="856"/>
      <c r="H399" s="856"/>
      <c r="O399" s="181" t="s">
        <v>2740</v>
      </c>
      <c r="P399" s="1114"/>
      <c r="Q399" s="1119"/>
    </row>
    <row r="400" spans="1:32" s="182" customFormat="1" ht="21.75" customHeight="1">
      <c r="B400" s="192" t="s">
        <v>2863</v>
      </c>
      <c r="C400" s="1121" t="s">
        <v>3880</v>
      </c>
      <c r="D400" s="1121"/>
      <c r="E400" s="1121"/>
      <c r="F400" s="1121"/>
      <c r="G400" s="1121"/>
      <c r="H400" s="1121"/>
      <c r="I400" s="1121"/>
      <c r="J400" s="1121"/>
      <c r="K400" s="1121"/>
      <c r="L400" s="1121"/>
      <c r="M400" s="1121"/>
      <c r="N400" s="1121"/>
      <c r="O400" s="219" t="s">
        <v>2863</v>
      </c>
      <c r="P400" s="1619" t="s">
        <v>1469</v>
      </c>
      <c r="Q400" s="354"/>
      <c r="AE400" s="806"/>
      <c r="AF400" s="806"/>
    </row>
    <row r="401" spans="1:32" s="182" customFormat="1" ht="12" customHeight="1">
      <c r="B401" s="192" t="s">
        <v>2866</v>
      </c>
      <c r="C401" s="1121" t="s">
        <v>3881</v>
      </c>
      <c r="D401" s="1121"/>
      <c r="E401" s="1121"/>
      <c r="F401" s="1121"/>
      <c r="G401" s="1121"/>
      <c r="H401" s="1121"/>
      <c r="I401" s="1121"/>
      <c r="J401" s="1121"/>
      <c r="K401" s="1121"/>
      <c r="L401" s="1121"/>
      <c r="M401" s="1121"/>
      <c r="N401" s="1121"/>
      <c r="O401" s="219" t="s">
        <v>2866</v>
      </c>
      <c r="P401" s="1619" t="s">
        <v>1469</v>
      </c>
      <c r="Q401" s="354"/>
      <c r="AE401" s="806"/>
      <c r="AF401" s="806"/>
    </row>
    <row r="402" spans="1:32" s="182" customFormat="1" ht="21.75" customHeight="1">
      <c r="B402" s="192" t="s">
        <v>1145</v>
      </c>
      <c r="C402" s="1121" t="s">
        <v>3882</v>
      </c>
      <c r="D402" s="1121"/>
      <c r="E402" s="1121"/>
      <c r="F402" s="1121"/>
      <c r="G402" s="1121"/>
      <c r="H402" s="1121"/>
      <c r="I402" s="1121"/>
      <c r="J402" s="1121"/>
      <c r="K402" s="1121"/>
      <c r="L402" s="1121"/>
      <c r="M402" s="1121"/>
      <c r="N402" s="1121"/>
      <c r="O402" s="219" t="s">
        <v>1145</v>
      </c>
      <c r="P402" s="1619" t="s">
        <v>1469</v>
      </c>
      <c r="Q402" s="354"/>
      <c r="AE402" s="806"/>
      <c r="AF402" s="806"/>
    </row>
    <row r="403" spans="1:32" s="182" customFormat="1" ht="33.75" customHeight="1">
      <c r="B403" s="192" t="s">
        <v>3005</v>
      </c>
      <c r="C403" s="1121" t="s">
        <v>3883</v>
      </c>
      <c r="D403" s="1121"/>
      <c r="E403" s="1121"/>
      <c r="F403" s="1121"/>
      <c r="G403" s="1121"/>
      <c r="H403" s="1121"/>
      <c r="I403" s="1121"/>
      <c r="J403" s="1121"/>
      <c r="K403" s="1121"/>
      <c r="L403" s="1121"/>
      <c r="M403" s="1121"/>
      <c r="N403" s="1121"/>
      <c r="O403" s="219" t="s">
        <v>3005</v>
      </c>
      <c r="P403" s="1619" t="s">
        <v>1469</v>
      </c>
      <c r="Q403" s="354"/>
      <c r="AE403" s="806"/>
      <c r="AF403" s="806"/>
    </row>
    <row r="404" spans="1:32" s="182" customFormat="1" ht="23.45" customHeight="1">
      <c r="B404" s="192" t="s">
        <v>2588</v>
      </c>
      <c r="C404" s="1121" t="s">
        <v>3884</v>
      </c>
      <c r="D404" s="1121"/>
      <c r="E404" s="1121"/>
      <c r="F404" s="1121"/>
      <c r="G404" s="1121"/>
      <c r="H404" s="1121"/>
      <c r="I404" s="1121"/>
      <c r="J404" s="1121"/>
      <c r="K404" s="1121"/>
      <c r="L404" s="1121"/>
      <c r="M404" s="1121"/>
      <c r="N404" s="1121"/>
      <c r="O404" s="219" t="s">
        <v>2588</v>
      </c>
      <c r="P404" s="1619" t="s">
        <v>1469</v>
      </c>
      <c r="Q404" s="354"/>
      <c r="AE404" s="806"/>
      <c r="AF404" s="806"/>
    </row>
    <row r="405" spans="1:32" s="182" customFormat="1" ht="21.75" customHeight="1">
      <c r="B405" s="192" t="s">
        <v>2589</v>
      </c>
      <c r="C405" s="1121" t="s">
        <v>3885</v>
      </c>
      <c r="D405" s="1121"/>
      <c r="E405" s="1121"/>
      <c r="F405" s="1121"/>
      <c r="G405" s="1121"/>
      <c r="H405" s="1121"/>
      <c r="I405" s="1121"/>
      <c r="J405" s="1121"/>
      <c r="K405" s="1121"/>
      <c r="L405" s="1121"/>
      <c r="M405" s="1121"/>
      <c r="N405" s="1121"/>
      <c r="O405" s="219" t="s">
        <v>2589</v>
      </c>
      <c r="P405" s="1619" t="s">
        <v>1469</v>
      </c>
      <c r="Q405" s="354"/>
      <c r="AE405" s="806"/>
      <c r="AF405" s="806"/>
    </row>
    <row r="406" spans="1:32" ht="11.25" customHeight="1">
      <c r="B406" s="191" t="s">
        <v>2738</v>
      </c>
      <c r="D406" s="191"/>
      <c r="E406" s="191"/>
      <c r="F406" s="191"/>
      <c r="G406" s="191"/>
      <c r="H406" s="48"/>
      <c r="I406" s="180"/>
      <c r="J406" s="180"/>
      <c r="K406" s="180"/>
      <c r="L406" s="848"/>
      <c r="M406" s="848"/>
      <c r="N406" s="848"/>
      <c r="O406" s="848"/>
      <c r="P406" s="848"/>
      <c r="Q406" s="60"/>
    </row>
    <row r="407" spans="1:32" ht="11.45" customHeight="1">
      <c r="A407" s="1602"/>
      <c r="B407" s="1603"/>
      <c r="C407" s="1603"/>
      <c r="D407" s="1603"/>
      <c r="E407" s="1603"/>
      <c r="F407" s="1603"/>
      <c r="G407" s="1603"/>
      <c r="H407" s="1603"/>
      <c r="I407" s="1603"/>
      <c r="J407" s="1603"/>
      <c r="K407" s="1603"/>
      <c r="L407" s="1603"/>
      <c r="M407" s="1603"/>
      <c r="N407" s="1603"/>
      <c r="O407" s="1603"/>
      <c r="P407" s="1603"/>
      <c r="Q407" s="1604"/>
      <c r="R407" s="736" t="s">
        <v>1806</v>
      </c>
      <c r="S407" s="737"/>
      <c r="U407" s="186"/>
      <c r="V407" s="186"/>
      <c r="W407" s="186"/>
      <c r="X407" s="186"/>
      <c r="Y407" s="186"/>
      <c r="Z407" s="186"/>
      <c r="AA407" s="186"/>
      <c r="AB407" s="186"/>
      <c r="AC407" s="186"/>
      <c r="AD407" s="186"/>
      <c r="AE407" s="805"/>
    </row>
    <row r="408" spans="1:32" ht="11.25" customHeight="1">
      <c r="B408" s="187" t="s">
        <v>2739</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35" customHeight="1">
      <c r="A410" s="848"/>
      <c r="B410" s="180"/>
      <c r="C410" s="856"/>
      <c r="D410" s="856"/>
      <c r="E410" s="856"/>
      <c r="F410" s="856"/>
      <c r="G410" s="856"/>
      <c r="H410" s="856"/>
      <c r="I410" s="856"/>
      <c r="J410" s="856"/>
      <c r="K410" s="856"/>
      <c r="L410" s="856"/>
      <c r="M410" s="856"/>
      <c r="Q410" s="60"/>
    </row>
    <row r="411" spans="1:32" ht="14.1" customHeight="1">
      <c r="A411" s="857">
        <v>29</v>
      </c>
      <c r="B411" s="5" t="s">
        <v>3812</v>
      </c>
      <c r="C411" s="5"/>
      <c r="D411" s="115"/>
      <c r="E411" s="856"/>
      <c r="F411" s="856"/>
      <c r="G411" s="856"/>
      <c r="H411" s="856"/>
      <c r="I411" s="856"/>
      <c r="J411" s="856"/>
      <c r="K411" s="856"/>
      <c r="L411" s="856"/>
      <c r="M411" s="856"/>
      <c r="O411" s="181" t="s">
        <v>2740</v>
      </c>
      <c r="P411" s="1114"/>
      <c r="Q411" s="1119"/>
    </row>
    <row r="412" spans="1:32" ht="11.25" customHeight="1">
      <c r="A412" s="857"/>
      <c r="B412" s="191" t="s">
        <v>2738</v>
      </c>
      <c r="D412" s="191"/>
      <c r="E412" s="191"/>
      <c r="F412" s="191"/>
      <c r="G412" s="191"/>
      <c r="H412" s="48"/>
      <c r="I412" s="180"/>
      <c r="J412" s="180"/>
      <c r="K412" s="180"/>
      <c r="L412" s="848"/>
      <c r="M412" s="848"/>
      <c r="N412" s="848"/>
      <c r="O412" s="848"/>
      <c r="P412" s="848"/>
      <c r="Q412" s="60"/>
    </row>
    <row r="413" spans="1:32" ht="409.5" customHeight="1">
      <c r="A413" s="1602" t="s">
        <v>4149</v>
      </c>
      <c r="B413" s="1603"/>
      <c r="C413" s="1603"/>
      <c r="D413" s="1603"/>
      <c r="E413" s="1603"/>
      <c r="F413" s="1603"/>
      <c r="G413" s="1603"/>
      <c r="H413" s="1603"/>
      <c r="I413" s="1603"/>
      <c r="J413" s="1603"/>
      <c r="K413" s="1603"/>
      <c r="L413" s="1603"/>
      <c r="M413" s="1603"/>
      <c r="N413" s="1603"/>
      <c r="O413" s="1603"/>
      <c r="P413" s="1603"/>
      <c r="Q413" s="1604"/>
      <c r="R413" s="736" t="s">
        <v>1806</v>
      </c>
      <c r="S413" s="737"/>
      <c r="U413" s="186"/>
      <c r="V413" s="186"/>
      <c r="W413" s="186"/>
      <c r="X413" s="186"/>
      <c r="Y413" s="186"/>
      <c r="Z413" s="186"/>
      <c r="AA413" s="186"/>
      <c r="AB413" s="186"/>
      <c r="AC413" s="186"/>
      <c r="AD413" s="186"/>
      <c r="AE413" s="805"/>
    </row>
    <row r="414" spans="1:32" ht="11.25" customHeight="1">
      <c r="B414" s="187" t="s">
        <v>2739</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60"/>
      <c r="B419" s="1660"/>
      <c r="C419" s="1660"/>
      <c r="D419" s="1660"/>
      <c r="E419" s="1660"/>
      <c r="F419" s="1660"/>
      <c r="G419" s="1660"/>
      <c r="H419" s="1660"/>
      <c r="I419" s="1660"/>
      <c r="J419" s="1660"/>
      <c r="K419" s="1660"/>
      <c r="L419" s="1660"/>
      <c r="M419" s="1660"/>
      <c r="N419" s="1660"/>
      <c r="O419" s="1660"/>
      <c r="P419" s="1660"/>
      <c r="Q419" s="1660"/>
      <c r="AE419" s="807"/>
      <c r="AF419" s="807"/>
    </row>
    <row r="420" spans="1:32" s="199" customFormat="1" ht="12" customHeight="1">
      <c r="A420" s="1660"/>
      <c r="B420" s="1660"/>
      <c r="C420" s="1660"/>
      <c r="D420" s="1660"/>
      <c r="E420" s="1660"/>
      <c r="F420" s="1660"/>
      <c r="G420" s="1660"/>
      <c r="H420" s="1660"/>
      <c r="I420" s="1660"/>
      <c r="J420" s="1660"/>
      <c r="K420" s="1660"/>
      <c r="L420" s="1660"/>
      <c r="M420" s="1660"/>
      <c r="N420" s="1660"/>
      <c r="O420" s="1660"/>
      <c r="P420" s="1660"/>
      <c r="Q420" s="1660"/>
      <c r="AE420" s="807"/>
      <c r="AF420" s="807"/>
    </row>
    <row r="421" spans="1:32" s="199" customFormat="1" ht="12" customHeight="1">
      <c r="A421" s="1660"/>
      <c r="B421" s="1660"/>
      <c r="C421" s="1660"/>
      <c r="D421" s="1660"/>
      <c r="E421" s="1660"/>
      <c r="F421" s="1660"/>
      <c r="G421" s="1660"/>
      <c r="H421" s="1660"/>
      <c r="I421" s="1660"/>
      <c r="J421" s="1660"/>
      <c r="K421" s="1660"/>
      <c r="L421" s="1660"/>
      <c r="M421" s="1660"/>
      <c r="N421" s="1660"/>
      <c r="O421" s="1660"/>
      <c r="P421" s="1660"/>
      <c r="Q421" s="1660"/>
      <c r="AE421" s="807"/>
      <c r="AF421" s="807"/>
    </row>
    <row r="422" spans="1:32" s="199" customFormat="1" ht="12" customHeight="1">
      <c r="A422" s="1660"/>
      <c r="B422" s="1660"/>
      <c r="C422" s="1660"/>
      <c r="D422" s="1660"/>
      <c r="E422" s="1660"/>
      <c r="F422" s="1660"/>
      <c r="G422" s="1660"/>
      <c r="H422" s="1660"/>
      <c r="I422" s="1660"/>
      <c r="J422" s="1660"/>
      <c r="K422" s="1660"/>
      <c r="L422" s="1660"/>
      <c r="M422" s="1660"/>
      <c r="N422" s="1660"/>
      <c r="O422" s="1660"/>
      <c r="P422" s="1660"/>
      <c r="Q422" s="1660"/>
      <c r="AE422" s="807"/>
      <c r="AF422" s="807"/>
    </row>
    <row r="423" spans="1:32" s="199" customFormat="1" ht="12" customHeight="1">
      <c r="A423" s="1660"/>
      <c r="B423" s="1660"/>
      <c r="C423" s="1660"/>
      <c r="D423" s="1660"/>
      <c r="E423" s="1660"/>
      <c r="F423" s="1660"/>
      <c r="G423" s="1660"/>
      <c r="H423" s="1660"/>
      <c r="I423" s="1660"/>
      <c r="J423" s="1660"/>
      <c r="K423" s="1660"/>
      <c r="L423" s="1660"/>
      <c r="M423" s="1660"/>
      <c r="N423" s="1660"/>
      <c r="O423" s="1660"/>
      <c r="P423" s="1660"/>
      <c r="Q423" s="1660"/>
      <c r="AE423" s="807"/>
      <c r="AF423" s="807"/>
    </row>
    <row r="424" spans="1:32" s="199" customFormat="1" ht="12" customHeight="1">
      <c r="A424" s="1660"/>
      <c r="B424" s="1660"/>
      <c r="C424" s="1660"/>
      <c r="D424" s="1660"/>
      <c r="E424" s="1660"/>
      <c r="F424" s="1660"/>
      <c r="G424" s="1660"/>
      <c r="H424" s="1660"/>
      <c r="I424" s="1660"/>
      <c r="J424" s="1660"/>
      <c r="K424" s="1660"/>
      <c r="L424" s="1660"/>
      <c r="M424" s="1660"/>
      <c r="N424" s="1660"/>
      <c r="O424" s="1660"/>
      <c r="P424" s="1660"/>
      <c r="Q424" s="1660"/>
      <c r="AE424" s="807"/>
      <c r="AF424" s="807"/>
    </row>
    <row r="425" spans="1:32" s="199" customFormat="1" ht="12" customHeight="1">
      <c r="A425" s="1660"/>
      <c r="B425" s="1660"/>
      <c r="C425" s="1660"/>
      <c r="D425" s="1660"/>
      <c r="E425" s="1660"/>
      <c r="F425" s="1660"/>
      <c r="G425" s="1660"/>
      <c r="H425" s="1660"/>
      <c r="I425" s="1660"/>
      <c r="J425" s="1660"/>
      <c r="K425" s="1660"/>
      <c r="L425" s="1660"/>
      <c r="M425" s="1660"/>
      <c r="N425" s="1660"/>
      <c r="O425" s="1660"/>
      <c r="P425" s="1660"/>
      <c r="Q425" s="1660"/>
      <c r="AE425" s="807"/>
      <c r="AF425" s="807"/>
    </row>
    <row r="426" spans="1:32" s="199" customFormat="1" ht="12" customHeight="1">
      <c r="A426" s="1660"/>
      <c r="B426" s="1660"/>
      <c r="C426" s="1660"/>
      <c r="D426" s="1660"/>
      <c r="E426" s="1660"/>
      <c r="F426" s="1660"/>
      <c r="G426" s="1660"/>
      <c r="H426" s="1660"/>
      <c r="I426" s="1660"/>
      <c r="J426" s="1660"/>
      <c r="K426" s="1660"/>
      <c r="L426" s="1660"/>
      <c r="M426" s="1660"/>
      <c r="N426" s="1660"/>
      <c r="O426" s="1660"/>
      <c r="P426" s="1660"/>
      <c r="Q426" s="1660"/>
      <c r="AE426" s="807"/>
      <c r="AF426" s="807"/>
    </row>
    <row r="427" spans="1:32" s="199" customFormat="1" ht="12" customHeight="1">
      <c r="A427" s="1660"/>
      <c r="B427" s="1660"/>
      <c r="C427" s="1660"/>
      <c r="D427" s="1660"/>
      <c r="E427" s="1660"/>
      <c r="F427" s="1660"/>
      <c r="G427" s="1660"/>
      <c r="H427" s="1660"/>
      <c r="I427" s="1660"/>
      <c r="J427" s="1660"/>
      <c r="K427" s="1660"/>
      <c r="L427" s="1660"/>
      <c r="M427" s="1660"/>
      <c r="N427" s="1660"/>
      <c r="O427" s="1660"/>
      <c r="P427" s="1660"/>
      <c r="Q427" s="1660"/>
      <c r="AE427" s="807"/>
      <c r="AF427" s="807"/>
    </row>
    <row r="428" spans="1:32" s="199" customFormat="1" ht="12" customHeight="1">
      <c r="A428" s="1660"/>
      <c r="B428" s="1660"/>
      <c r="C428" s="1660"/>
      <c r="D428" s="1660"/>
      <c r="E428" s="1660"/>
      <c r="F428" s="1660"/>
      <c r="G428" s="1660"/>
      <c r="H428" s="1660"/>
      <c r="I428" s="1660"/>
      <c r="J428" s="1660"/>
      <c r="K428" s="1660"/>
      <c r="L428" s="1660"/>
      <c r="M428" s="1660"/>
      <c r="N428" s="1660"/>
      <c r="O428" s="1660"/>
      <c r="P428" s="1660"/>
      <c r="Q428" s="1660"/>
      <c r="AE428" s="807"/>
      <c r="AF428" s="807"/>
    </row>
    <row r="429" spans="1:32" s="199" customFormat="1" ht="12" customHeight="1">
      <c r="A429" s="1660"/>
      <c r="B429" s="1660"/>
      <c r="C429" s="1660"/>
      <c r="D429" s="1660"/>
      <c r="E429" s="1660"/>
      <c r="F429" s="1660"/>
      <c r="G429" s="1660"/>
      <c r="H429" s="1660"/>
      <c r="I429" s="1660"/>
      <c r="J429" s="1660"/>
      <c r="K429" s="1660"/>
      <c r="L429" s="1660"/>
      <c r="M429" s="1660"/>
      <c r="N429" s="1660"/>
      <c r="O429" s="1660"/>
      <c r="P429" s="1660"/>
      <c r="Q429" s="1660"/>
      <c r="AE429" s="807"/>
      <c r="AF429" s="807"/>
    </row>
    <row r="430" spans="1:32" s="199" customFormat="1" ht="12" customHeight="1">
      <c r="A430" s="1660"/>
      <c r="B430" s="1660"/>
      <c r="C430" s="1660"/>
      <c r="D430" s="1660"/>
      <c r="E430" s="1660"/>
      <c r="F430" s="1660"/>
      <c r="G430" s="1660"/>
      <c r="H430" s="1660"/>
      <c r="I430" s="1660"/>
      <c r="J430" s="1660"/>
      <c r="K430" s="1660"/>
      <c r="L430" s="1660"/>
      <c r="M430" s="1660"/>
      <c r="N430" s="1660"/>
      <c r="O430" s="1660"/>
      <c r="P430" s="1660"/>
      <c r="Q430" s="1660"/>
      <c r="AE430" s="807"/>
      <c r="AF430" s="807"/>
    </row>
    <row r="431" spans="1:32" s="199" customFormat="1" ht="12" customHeight="1">
      <c r="A431" s="1660"/>
      <c r="B431" s="1660"/>
      <c r="C431" s="1660"/>
      <c r="D431" s="1660"/>
      <c r="E431" s="1660"/>
      <c r="F431" s="1660"/>
      <c r="G431" s="1660"/>
      <c r="H431" s="1660"/>
      <c r="I431" s="1660"/>
      <c r="J431" s="1660"/>
      <c r="K431" s="1660"/>
      <c r="L431" s="1660"/>
      <c r="M431" s="1660"/>
      <c r="N431" s="1660"/>
      <c r="O431" s="1660"/>
      <c r="P431" s="1660"/>
      <c r="Q431" s="1660"/>
      <c r="AE431" s="807"/>
      <c r="AF431" s="807"/>
    </row>
    <row r="432" spans="1:32" s="199" customFormat="1" ht="12" customHeight="1">
      <c r="A432" s="1660"/>
      <c r="B432" s="1660"/>
      <c r="C432" s="1660"/>
      <c r="D432" s="1660"/>
      <c r="E432" s="1660"/>
      <c r="F432" s="1660"/>
      <c r="G432" s="1660"/>
      <c r="H432" s="1660"/>
      <c r="I432" s="1660"/>
      <c r="J432" s="1660"/>
      <c r="K432" s="1660"/>
      <c r="L432" s="1660"/>
      <c r="M432" s="1660"/>
      <c r="N432" s="1660"/>
      <c r="O432" s="1660"/>
      <c r="P432" s="1660"/>
      <c r="Q432" s="1660"/>
      <c r="AE432" s="807"/>
      <c r="AF432" s="807"/>
    </row>
    <row r="433" spans="1:32" s="199" customFormat="1" ht="12" customHeight="1">
      <c r="A433" s="1660"/>
      <c r="B433" s="1660"/>
      <c r="C433" s="1660"/>
      <c r="D433" s="1660"/>
      <c r="E433" s="1660"/>
      <c r="F433" s="1660"/>
      <c r="G433" s="1660"/>
      <c r="H433" s="1660"/>
      <c r="I433" s="1660"/>
      <c r="J433" s="1660"/>
      <c r="K433" s="1660"/>
      <c r="L433" s="1660"/>
      <c r="M433" s="1660"/>
      <c r="N433" s="1660"/>
      <c r="O433" s="1660"/>
      <c r="P433" s="1660"/>
      <c r="Q433" s="1660"/>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3511</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4.xml><?xml version="1.0" encoding="utf-8"?>
<worksheet xmlns="http://schemas.openxmlformats.org/spreadsheetml/2006/main" xmlns:r="http://schemas.openxmlformats.org/officeDocument/2006/relationships">
  <sheetPr codeName="Sheet1" enableFormatConditionsCalculation="0">
    <pageSetUpPr fitToPage="1"/>
  </sheetPr>
  <dimension ref="A1:S373"/>
  <sheetViews>
    <sheetView workbookViewId="0">
      <selection sqref="A1:XFD1048576"/>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5" width="12.7109375" style="847" customWidth="1"/>
    <col min="16" max="16" width="6.710937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4.1" customHeight="1">
      <c r="A1" s="993" t="str">
        <f>CONCATENATE("PART NINE - SCORING CRITERIA","  -  ",'Part I-Project Information'!$O$4," ",'Part I-Project Information'!$F$22,", ",'Part I-Project Information'!F24,", ",'Part I-Project Information'!J25," County")</f>
        <v>PART NINE - SCORING CRITERIA  -  2012-059 Allen Wilson - Phase III, Decatur, DeKalb County</v>
      </c>
      <c r="B1" s="994"/>
      <c r="C1" s="994"/>
      <c r="D1" s="994"/>
      <c r="E1" s="994"/>
      <c r="F1" s="994"/>
      <c r="G1" s="994"/>
      <c r="H1" s="994"/>
      <c r="I1" s="994"/>
      <c r="J1" s="994"/>
      <c r="K1" s="994"/>
      <c r="L1" s="994"/>
      <c r="M1" s="994"/>
      <c r="N1" s="994"/>
      <c r="O1" s="994"/>
      <c r="P1" s="995"/>
    </row>
    <row r="2" spans="1:19" s="43" customFormat="1" ht="4.3499999999999996"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64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1" t="s">
        <v>3619</v>
      </c>
      <c r="G10" s="38">
        <f>F16</f>
        <v>0</v>
      </c>
      <c r="H10" s="244" t="s">
        <v>301</v>
      </c>
      <c r="M10" s="7">
        <v>7</v>
      </c>
      <c r="N10" s="78" t="s">
        <v>2863</v>
      </c>
      <c r="O10" s="1661"/>
      <c r="P10" s="66"/>
    </row>
    <row r="11" spans="1:19" s="50" customFormat="1" ht="11.25" customHeight="1">
      <c r="A11" s="255" t="s">
        <v>2866</v>
      </c>
      <c r="B11" s="236" t="s">
        <v>1122</v>
      </c>
      <c r="D11" s="56"/>
      <c r="E11" s="56"/>
      <c r="F11" s="821" t="s">
        <v>3619</v>
      </c>
      <c r="G11" s="38">
        <f>K16</f>
        <v>0</v>
      </c>
      <c r="H11" s="244" t="s">
        <v>302</v>
      </c>
      <c r="J11" s="57"/>
      <c r="M11" s="7">
        <v>0</v>
      </c>
      <c r="N11" s="78" t="s">
        <v>2866</v>
      </c>
      <c r="O11" s="1661"/>
      <c r="P11" s="66"/>
      <c r="Q11" s="148"/>
    </row>
    <row r="12" spans="1:19" s="51" customFormat="1" ht="11.25" customHeight="1">
      <c r="A12" s="255" t="s">
        <v>1145</v>
      </c>
      <c r="B12" s="236" t="s">
        <v>3003</v>
      </c>
      <c r="D12" s="56"/>
      <c r="E12" s="56"/>
      <c r="F12" s="821" t="s">
        <v>3619</v>
      </c>
      <c r="G12" s="38">
        <f>P16</f>
        <v>0</v>
      </c>
      <c r="H12" s="244" t="s">
        <v>303</v>
      </c>
      <c r="J12" s="57"/>
      <c r="M12" s="7">
        <v>1</v>
      </c>
      <c r="N12" s="78" t="s">
        <v>1145</v>
      </c>
      <c r="O12" s="1661"/>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602"/>
      <c r="B14" s="1603"/>
      <c r="C14" s="1603"/>
      <c r="D14" s="1603"/>
      <c r="E14" s="1603"/>
      <c r="F14" s="1603"/>
      <c r="G14" s="1603"/>
      <c r="H14" s="1603"/>
      <c r="I14" s="1603"/>
      <c r="J14" s="1603"/>
      <c r="K14" s="1603"/>
      <c r="L14" s="1603"/>
      <c r="M14" s="1603"/>
      <c r="N14" s="1603"/>
      <c r="O14" s="1603"/>
      <c r="P14" s="1604"/>
      <c r="Q14" s="736" t="s">
        <v>1806</v>
      </c>
      <c r="R14" s="737"/>
    </row>
    <row r="15" spans="1:19" s="50" customFormat="1" ht="11.1" customHeight="1">
      <c r="A15" s="80" t="s">
        <v>2739</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5.0999999999999996"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3701</v>
      </c>
      <c r="E31" s="689"/>
      <c r="H31" s="660" t="s">
        <v>3856</v>
      </c>
      <c r="I31" s="1662">
        <f>'Part VI-Revenues &amp; Expenses'!Q57</f>
        <v>11</v>
      </c>
      <c r="K31" s="660" t="s">
        <v>3858</v>
      </c>
      <c r="L31" s="691">
        <f>IF(OR('Part VI-Revenues &amp; Expenses'!$M$60="", 'Part VI-Revenues &amp; Expenses'!$M$60=0),0,I31/'Part VI-Revenues &amp; Expenses'!$M$60)</f>
        <v>0.15492957746478872</v>
      </c>
      <c r="M31" s="1">
        <v>3</v>
      </c>
      <c r="N31" s="690"/>
      <c r="O31" s="1189" t="s">
        <v>3927</v>
      </c>
      <c r="P31" s="735">
        <v>0.15</v>
      </c>
    </row>
    <row r="32" spans="1:19" s="688" customFormat="1" ht="11.25" customHeight="1">
      <c r="A32" s="687" t="s">
        <v>2866</v>
      </c>
      <c r="B32" s="155" t="s">
        <v>3702</v>
      </c>
      <c r="E32" s="689"/>
      <c r="H32" s="660" t="s">
        <v>3703</v>
      </c>
      <c r="I32" s="1662"/>
      <c r="K32" s="660" t="s">
        <v>3858</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602" t="s">
        <v>4066</v>
      </c>
      <c r="B34" s="1603"/>
      <c r="C34" s="1603"/>
      <c r="D34" s="1603"/>
      <c r="E34" s="1603"/>
      <c r="F34" s="1603"/>
      <c r="G34" s="1603"/>
      <c r="H34" s="1603"/>
      <c r="I34" s="1603"/>
      <c r="J34" s="1603"/>
      <c r="K34" s="1603"/>
      <c r="L34" s="1603"/>
      <c r="M34" s="1603"/>
      <c r="N34" s="1603"/>
      <c r="O34" s="1603"/>
      <c r="P34" s="1604"/>
    </row>
    <row r="35" spans="1:18" s="51" customFormat="1" ht="11.45" customHeight="1">
      <c r="A35" s="50"/>
      <c r="B35" s="129" t="s">
        <v>2739</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3548</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63">
        <v>12</v>
      </c>
      <c r="P40" s="85"/>
      <c r="R40" s="558"/>
    </row>
    <row r="41" spans="1:18" s="51" customFormat="1" ht="12.6" customHeight="1">
      <c r="A41" s="189" t="s">
        <v>2866</v>
      </c>
      <c r="B41" s="236" t="s">
        <v>2749</v>
      </c>
      <c r="D41" s="49"/>
      <c r="E41" s="244" t="s">
        <v>588</v>
      </c>
      <c r="F41" s="585"/>
      <c r="G41" s="585"/>
      <c r="H41" s="585"/>
      <c r="M41" s="180" t="s">
        <v>1777</v>
      </c>
      <c r="N41" s="803" t="s">
        <v>2866</v>
      </c>
      <c r="O41" s="1661">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69.75" customHeight="1">
      <c r="A44" s="1602" t="s">
        <v>4067</v>
      </c>
      <c r="B44" s="1603"/>
      <c r="C44" s="1603"/>
      <c r="D44" s="1603"/>
      <c r="E44" s="1603"/>
      <c r="F44" s="1603"/>
      <c r="G44" s="1603"/>
      <c r="H44" s="1603"/>
      <c r="I44" s="1603"/>
      <c r="J44" s="1603"/>
      <c r="K44" s="1603"/>
      <c r="L44" s="1603"/>
      <c r="M44" s="1603"/>
      <c r="N44" s="1603"/>
      <c r="O44" s="1603"/>
      <c r="P44" s="1604"/>
      <c r="Q44" s="736" t="s">
        <v>1806</v>
      </c>
      <c r="R44" s="737"/>
    </row>
    <row r="45" spans="1:18" s="51" customFormat="1" ht="11.45" customHeight="1">
      <c r="A45" s="50"/>
      <c r="B45" s="80" t="s">
        <v>2739</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2756</v>
      </c>
      <c r="J49" s="56"/>
      <c r="K49" s="56"/>
      <c r="M49" s="3">
        <v>3</v>
      </c>
      <c r="N49" s="803"/>
      <c r="O49" s="204">
        <f>MIN($M49,(O50+O51+O52))</f>
        <v>3</v>
      </c>
      <c r="P49" s="204">
        <f>MIN($M49,(P50+P51+P52))</f>
        <v>0</v>
      </c>
      <c r="Q49" s="148" t="s">
        <v>612</v>
      </c>
    </row>
    <row r="50" spans="1:18" s="51" customFormat="1" ht="12" customHeight="1">
      <c r="A50" s="189" t="s">
        <v>2863</v>
      </c>
      <c r="B50" s="236" t="s">
        <v>3716</v>
      </c>
      <c r="C50" s="5"/>
      <c r="D50" s="5"/>
      <c r="E50" s="44"/>
      <c r="F50" s="5"/>
      <c r="G50" s="47"/>
      <c r="I50" s="47"/>
      <c r="K50" s="56"/>
      <c r="L50" s="558" t="str">
        <f>IF(OR($O50=$M50,$O50=0,$O50=""),"","* * Check Score! * *")</f>
        <v/>
      </c>
      <c r="M50" s="3">
        <v>3</v>
      </c>
      <c r="N50" s="250" t="s">
        <v>2863</v>
      </c>
      <c r="O50" s="1663">
        <v>3</v>
      </c>
      <c r="P50" s="85"/>
      <c r="R50" s="558"/>
    </row>
    <row r="51" spans="1:18" s="51" customFormat="1" ht="12.6" customHeight="1">
      <c r="A51" s="189" t="s">
        <v>2866</v>
      </c>
      <c r="B51" s="236" t="s">
        <v>3717</v>
      </c>
      <c r="E51" s="49"/>
      <c r="K51" s="56"/>
      <c r="L51" s="558" t="str">
        <f>IF(OR($O51=$M51,$O51=0,$O51=""),"","* * Check Score! * *")</f>
        <v/>
      </c>
      <c r="M51" s="3">
        <v>2</v>
      </c>
      <c r="N51" s="803" t="s">
        <v>2866</v>
      </c>
      <c r="O51" s="1663"/>
      <c r="P51" s="85"/>
      <c r="R51" s="558"/>
    </row>
    <row r="52" spans="1:18" s="51" customFormat="1" ht="12.6" customHeight="1">
      <c r="A52" s="189" t="s">
        <v>1145</v>
      </c>
      <c r="B52" s="236" t="s">
        <v>3759</v>
      </c>
      <c r="E52" s="49"/>
      <c r="K52" s="56"/>
      <c r="L52" s="558" t="str">
        <f>IF(OR($O52=$M52,$O52=0,$O52=""),"","* * Check Score! * *")</f>
        <v/>
      </c>
      <c r="M52" s="3">
        <v>1</v>
      </c>
      <c r="N52" s="250" t="s">
        <v>1145</v>
      </c>
      <c r="O52" s="1663"/>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81" customHeight="1">
      <c r="A54" s="1602" t="s">
        <v>4143</v>
      </c>
      <c r="B54" s="1603"/>
      <c r="C54" s="1603"/>
      <c r="D54" s="1603"/>
      <c r="E54" s="1603"/>
      <c r="F54" s="1603"/>
      <c r="G54" s="1603"/>
      <c r="H54" s="1603"/>
      <c r="I54" s="1603"/>
      <c r="J54" s="1603"/>
      <c r="K54" s="1603"/>
      <c r="L54" s="1603"/>
      <c r="M54" s="1603"/>
      <c r="N54" s="1603"/>
      <c r="O54" s="1603"/>
      <c r="P54" s="1604"/>
    </row>
    <row r="55" spans="1:18" s="134" customFormat="1" ht="11.45" customHeight="1">
      <c r="A55" s="50"/>
      <c r="B55" s="129" t="s">
        <v>2739</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2756</v>
      </c>
      <c r="M58" s="3">
        <v>1</v>
      </c>
      <c r="N58" s="601" t="str">
        <f>IF(OR($O58=$M58,$O58=0,$O58=""),"","***")</f>
        <v/>
      </c>
      <c r="O58" s="1663">
        <v>0</v>
      </c>
      <c r="P58" s="85"/>
      <c r="Q58" s="148" t="s">
        <v>612</v>
      </c>
    </row>
    <row r="59" spans="1:18" s="51" customFormat="1" ht="12.6" customHeight="1">
      <c r="A59" s="209"/>
      <c r="B59" s="586" t="s">
        <v>1120</v>
      </c>
      <c r="D59" s="49"/>
      <c r="H59" s="57"/>
      <c r="I59" s="57"/>
      <c r="J59" s="57"/>
      <c r="K59" s="57"/>
      <c r="L59" s="57"/>
      <c r="M59" s="3"/>
      <c r="N59" s="601"/>
      <c r="O59" s="1598"/>
      <c r="P59" s="232"/>
      <c r="Q59" s="148"/>
    </row>
    <row r="60" spans="1:18" s="51" customFormat="1" ht="12.6" customHeight="1">
      <c r="A60" s="209"/>
      <c r="B60" s="586" t="s">
        <v>1119</v>
      </c>
      <c r="D60" s="49"/>
      <c r="H60" s="57"/>
      <c r="I60" s="1664"/>
      <c r="J60" s="1665"/>
      <c r="K60" s="1665"/>
      <c r="L60" s="1666"/>
      <c r="M60" s="3"/>
      <c r="N60" s="601"/>
      <c r="O60" s="601"/>
      <c r="P60" s="601"/>
      <c r="Q60" s="148"/>
    </row>
    <row r="61" spans="1:18" s="51" customFormat="1" ht="12.6" customHeight="1">
      <c r="A61" s="209"/>
      <c r="B61" s="586" t="s">
        <v>1121</v>
      </c>
      <c r="D61" s="49"/>
      <c r="H61" s="57"/>
      <c r="I61" s="57"/>
      <c r="J61" s="57"/>
      <c r="K61" s="57"/>
      <c r="L61" s="57"/>
      <c r="M61" s="3"/>
      <c r="N61" s="601"/>
      <c r="O61" s="1598"/>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602" t="s">
        <v>4068</v>
      </c>
      <c r="B63" s="1603"/>
      <c r="C63" s="1603"/>
      <c r="D63" s="1603"/>
      <c r="E63" s="1603"/>
      <c r="F63" s="1603"/>
      <c r="G63" s="1603"/>
      <c r="H63" s="1603"/>
      <c r="I63" s="1603"/>
      <c r="J63" s="1603"/>
      <c r="K63" s="1603"/>
      <c r="L63" s="1603"/>
      <c r="M63" s="1603"/>
      <c r="N63" s="1603"/>
      <c r="O63" s="1603"/>
      <c r="P63" s="1604"/>
      <c r="Q63" s="736" t="s">
        <v>1806</v>
      </c>
    </row>
    <row r="64" spans="1:18" s="134" customFormat="1" ht="11.45" customHeight="1">
      <c r="A64" s="50"/>
      <c r="B64" s="129" t="s">
        <v>2739</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3758</v>
      </c>
      <c r="D67" s="49"/>
      <c r="E67" s="44" t="s">
        <v>1954</v>
      </c>
      <c r="I67" s="57" t="s">
        <v>2756</v>
      </c>
      <c r="M67" s="3">
        <v>2</v>
      </c>
      <c r="N67" s="601" t="str">
        <f>IF(OR($O67=$M67,$O67=0,$O67=""),"","***")</f>
        <v/>
      </c>
      <c r="O67" s="1663">
        <v>0</v>
      </c>
      <c r="P67" s="85"/>
      <c r="Q67" s="148" t="s">
        <v>612</v>
      </c>
    </row>
    <row r="68" spans="1:18" s="51" customFormat="1" ht="12.6" customHeight="1">
      <c r="A68" s="209"/>
      <c r="B68" s="586" t="s">
        <v>3704</v>
      </c>
      <c r="D68" s="49"/>
      <c r="E68" s="44"/>
      <c r="I68" s="1664"/>
      <c r="J68" s="1665"/>
      <c r="K68" s="1665"/>
      <c r="L68" s="1666"/>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602" t="s">
        <v>4068</v>
      </c>
      <c r="B70" s="1603"/>
      <c r="C70" s="1603"/>
      <c r="D70" s="1603"/>
      <c r="E70" s="1603"/>
      <c r="F70" s="1603"/>
      <c r="G70" s="1603"/>
      <c r="H70" s="1603"/>
      <c r="I70" s="1603"/>
      <c r="J70" s="1603"/>
      <c r="K70" s="1603"/>
      <c r="L70" s="1603"/>
      <c r="M70" s="1603"/>
      <c r="N70" s="1603"/>
      <c r="O70" s="1603"/>
      <c r="P70" s="1604"/>
    </row>
    <row r="71" spans="1:18" s="134" customFormat="1" ht="11.45" customHeight="1">
      <c r="A71" s="50"/>
      <c r="B71" s="129" t="s">
        <v>2739</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3843</v>
      </c>
      <c r="J74" s="1667" t="s">
        <v>4069</v>
      </c>
      <c r="K74" s="1668"/>
      <c r="L74" s="1669"/>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2863</v>
      </c>
      <c r="B75" s="254" t="s">
        <v>3249</v>
      </c>
      <c r="D75" s="40"/>
      <c r="H75" s="73"/>
      <c r="I75" s="40"/>
      <c r="J75" s="40"/>
      <c r="M75" s="157">
        <v>3</v>
      </c>
      <c r="N75" s="31"/>
      <c r="O75" s="162" t="s">
        <v>3521</v>
      </c>
      <c r="P75" s="162" t="s">
        <v>3521</v>
      </c>
    </row>
    <row r="76" spans="1:18" s="51" customFormat="1" ht="12.6" customHeight="1">
      <c r="A76" s="209"/>
      <c r="B76" s="693" t="s">
        <v>3944</v>
      </c>
      <c r="D76" s="49"/>
      <c r="M76" s="3"/>
      <c r="N76" s="250" t="s">
        <v>2863</v>
      </c>
      <c r="O76" s="1598" t="s">
        <v>3974</v>
      </c>
      <c r="P76" s="232"/>
      <c r="Q76" s="148"/>
    </row>
    <row r="77" spans="1:18" ht="11.45" customHeight="1">
      <c r="A77" s="550" t="str">
        <f>IF($I$90="Stable Communities &lt; 10%", "X","")</f>
        <v/>
      </c>
      <c r="B77" s="551" t="s">
        <v>2867</v>
      </c>
      <c r="C77" s="568" t="s">
        <v>3705</v>
      </c>
      <c r="E77" s="160"/>
      <c r="N77" s="31"/>
      <c r="O77" s="31"/>
      <c r="P77" s="31"/>
    </row>
    <row r="78" spans="1:18" ht="23.25" customHeight="1">
      <c r="B78" s="575" t="s">
        <v>3418</v>
      </c>
      <c r="C78" s="1191" t="s">
        <v>3707</v>
      </c>
      <c r="D78" s="1191"/>
      <c r="E78" s="1191"/>
      <c r="F78" s="1191"/>
      <c r="G78" s="1191"/>
      <c r="H78" s="1191"/>
      <c r="I78" s="1191"/>
      <c r="J78" s="1191"/>
      <c r="K78" s="1191"/>
      <c r="L78" s="1191"/>
      <c r="M78" s="572" t="str">
        <f>IF(AND($I$90="Stable Communities &lt; 10%",O78=""), "X","")</f>
        <v/>
      </c>
      <c r="N78" s="574" t="s">
        <v>3711</v>
      </c>
      <c r="O78" s="1670" t="s">
        <v>3974</v>
      </c>
      <c r="P78" s="355"/>
    </row>
    <row r="79" spans="1:18" ht="23.25" customHeight="1">
      <c r="B79" s="575" t="s">
        <v>3419</v>
      </c>
      <c r="C79" s="1118" t="s">
        <v>3709</v>
      </c>
      <c r="D79" s="1118"/>
      <c r="E79" s="1118"/>
      <c r="F79" s="1118"/>
      <c r="G79" s="1118"/>
      <c r="H79" s="1118"/>
      <c r="I79" s="1118"/>
      <c r="J79" s="1118"/>
      <c r="K79" s="1118"/>
      <c r="L79" s="1118"/>
      <c r="M79" s="572" t="str">
        <f>IF(AND($I$90="Stable Communities &lt; 10%",O79=""), "X","")</f>
        <v/>
      </c>
      <c r="N79" s="574" t="s">
        <v>3712</v>
      </c>
      <c r="O79" s="1671" t="s">
        <v>3974</v>
      </c>
      <c r="P79" s="356"/>
    </row>
    <row r="80" spans="1:18" ht="11.45" customHeight="1">
      <c r="A80" s="550" t="str">
        <f>IF($I$90="Stable Communities &lt; 20%", "X","")</f>
        <v>X</v>
      </c>
      <c r="B80" s="551" t="s">
        <v>2869</v>
      </c>
      <c r="C80" s="568" t="s">
        <v>3706</v>
      </c>
      <c r="E80" s="160"/>
      <c r="M80" s="573"/>
      <c r="N80" s="31"/>
      <c r="O80" s="162" t="s">
        <v>3521</v>
      </c>
      <c r="P80" s="162" t="s">
        <v>3521</v>
      </c>
    </row>
    <row r="81" spans="1:18" ht="23.25" customHeight="1">
      <c r="B81" s="575" t="s">
        <v>3418</v>
      </c>
      <c r="C81" s="1191" t="s">
        <v>3708</v>
      </c>
      <c r="D81" s="1191"/>
      <c r="E81" s="1191"/>
      <c r="F81" s="1191"/>
      <c r="G81" s="1191"/>
      <c r="H81" s="1191"/>
      <c r="I81" s="1191"/>
      <c r="J81" s="1191"/>
      <c r="K81" s="1191"/>
      <c r="L81" s="1191"/>
      <c r="M81" s="572" t="str">
        <f>IF(AND($I$90="Stable Communities &lt; 10%",O81=""), "X","")</f>
        <v/>
      </c>
      <c r="N81" s="692" t="s">
        <v>3713</v>
      </c>
      <c r="O81" s="1670" t="s">
        <v>2104</v>
      </c>
      <c r="P81" s="355"/>
    </row>
    <row r="82" spans="1:18">
      <c r="B82" s="575" t="s">
        <v>3419</v>
      </c>
      <c r="C82" s="1118" t="s">
        <v>3710</v>
      </c>
      <c r="D82" s="1118"/>
      <c r="E82" s="1118"/>
      <c r="F82" s="1118"/>
      <c r="G82" s="1118"/>
      <c r="H82" s="1118"/>
      <c r="I82" s="1118"/>
      <c r="J82" s="1118"/>
      <c r="K82" s="1118"/>
      <c r="L82" s="1118"/>
      <c r="M82" s="572" t="str">
        <f>IF(AND($I$90="Stable Communities &lt; 10%",O82=""), "X","")</f>
        <v/>
      </c>
      <c r="N82" s="692" t="s">
        <v>3714</v>
      </c>
      <c r="O82" s="1671" t="s">
        <v>2104</v>
      </c>
      <c r="P82" s="356"/>
    </row>
    <row r="83" spans="1:18" ht="11.45" customHeight="1">
      <c r="A83" s="189" t="s">
        <v>2866</v>
      </c>
      <c r="B83" s="254" t="s">
        <v>379</v>
      </c>
      <c r="D83" s="40"/>
      <c r="E83" s="40"/>
      <c r="F83" s="40"/>
      <c r="M83" s="67">
        <v>2</v>
      </c>
      <c r="N83" s="31"/>
      <c r="O83" s="162" t="s">
        <v>3521</v>
      </c>
      <c r="P83" s="162" t="s">
        <v>3521</v>
      </c>
    </row>
    <row r="84" spans="1:18" s="51" customFormat="1" ht="12.6" customHeight="1">
      <c r="A84" s="209"/>
      <c r="B84" s="693" t="s">
        <v>3715</v>
      </c>
      <c r="D84" s="49"/>
      <c r="M84" s="3"/>
      <c r="N84" s="803" t="s">
        <v>2866</v>
      </c>
      <c r="O84" s="1598" t="s">
        <v>3974</v>
      </c>
      <c r="P84" s="232"/>
      <c r="Q84" s="148"/>
    </row>
    <row r="85" spans="1:18" s="134" customFormat="1" ht="11.45" customHeight="1">
      <c r="A85" s="50"/>
      <c r="B85" s="57" t="s">
        <v>312</v>
      </c>
      <c r="C85" s="50"/>
      <c r="D85" s="56"/>
      <c r="E85" s="56"/>
      <c r="F85" s="56"/>
      <c r="G85" s="56"/>
      <c r="K85" s="44"/>
      <c r="M85" s="54"/>
      <c r="N85" s="7"/>
      <c r="O85" s="4"/>
      <c r="P85" s="3"/>
    </row>
    <row r="86" spans="1:18" s="51" customFormat="1" ht="30.75" customHeight="1">
      <c r="A86" s="1672" t="s">
        <v>4070</v>
      </c>
      <c r="B86" s="1673"/>
      <c r="C86" s="1673"/>
      <c r="D86" s="1673"/>
      <c r="E86" s="1673"/>
      <c r="F86" s="1673"/>
      <c r="G86" s="1673"/>
      <c r="H86" s="1673"/>
      <c r="I86" s="1673"/>
      <c r="J86" s="1673"/>
      <c r="K86" s="1673"/>
      <c r="L86" s="1673"/>
      <c r="M86" s="1673"/>
      <c r="N86" s="1673"/>
      <c r="O86" s="1673"/>
      <c r="P86" s="1674"/>
      <c r="Q86" s="736" t="s">
        <v>1806</v>
      </c>
    </row>
    <row r="87" spans="1:18" s="51" customFormat="1" ht="11.25" customHeight="1">
      <c r="A87" s="50"/>
      <c r="B87" s="129" t="s">
        <v>2739</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4071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2863</v>
      </c>
      <c r="B92" s="254" t="s">
        <v>3520</v>
      </c>
      <c r="D92" s="40"/>
      <c r="H92" s="73"/>
      <c r="I92" s="40"/>
      <c r="J92" s="40"/>
      <c r="M92" s="157"/>
      <c r="N92" s="31"/>
      <c r="O92" s="31"/>
      <c r="P92" s="31"/>
    </row>
    <row r="93" spans="1:18" ht="11.45" customHeight="1">
      <c r="A93" s="550" t="str">
        <f>IF($I$90="Stable Communities &lt; 10%", "X","")</f>
        <v/>
      </c>
      <c r="B93" s="551" t="s">
        <v>2867</v>
      </c>
      <c r="C93" s="721" t="s">
        <v>3895</v>
      </c>
      <c r="E93" s="160"/>
      <c r="M93" s="108">
        <v>4</v>
      </c>
      <c r="N93" s="31"/>
      <c r="O93" s="162" t="s">
        <v>3521</v>
      </c>
      <c r="P93" s="162" t="s">
        <v>3521</v>
      </c>
    </row>
    <row r="94" spans="1:18" ht="11.45" customHeight="1">
      <c r="B94" s="231" t="s">
        <v>3418</v>
      </c>
      <c r="C94" s="721" t="s">
        <v>3365</v>
      </c>
      <c r="E94" s="160"/>
      <c r="G94" s="132" t="s">
        <v>3366</v>
      </c>
      <c r="M94" s="694" t="str">
        <f>IF(AND($I$90="Stable Communities &lt; 10%",O94=""), "X","")</f>
        <v/>
      </c>
      <c r="N94" s="231" t="s">
        <v>3418</v>
      </c>
      <c r="O94" s="1670" t="s">
        <v>3975</v>
      </c>
      <c r="P94" s="355"/>
    </row>
    <row r="95" spans="1:18" ht="11.45" customHeight="1">
      <c r="B95" s="231" t="s">
        <v>3419</v>
      </c>
      <c r="C95" s="665" t="s">
        <v>3367</v>
      </c>
      <c r="E95" s="160"/>
      <c r="G95" s="132" t="s">
        <v>3368</v>
      </c>
      <c r="M95" s="694" t="str">
        <f>IF(AND($I$90="Stable Communities &lt; 10%",O95=""), "X","")</f>
        <v/>
      </c>
      <c r="N95" s="231" t="s">
        <v>3419</v>
      </c>
      <c r="O95" s="1675" t="s">
        <v>3974</v>
      </c>
      <c r="P95" s="541"/>
    </row>
    <row r="96" spans="1:18" ht="11.45" customHeight="1">
      <c r="B96" s="231" t="s">
        <v>3420</v>
      </c>
      <c r="C96" s="665" t="s">
        <v>3752</v>
      </c>
      <c r="E96" s="160"/>
      <c r="M96" s="694" t="str">
        <f>IF(AND($I$90="Stable Communities &lt; 10%",O96=""), "X","")</f>
        <v/>
      </c>
      <c r="N96" s="231" t="s">
        <v>3420</v>
      </c>
      <c r="O96" s="1671" t="s">
        <v>3974</v>
      </c>
      <c r="P96" s="356"/>
    </row>
    <row r="97" spans="1:18" ht="3" customHeight="1">
      <c r="B97" s="160"/>
      <c r="C97" s="160"/>
      <c r="D97" s="160"/>
      <c r="E97" s="160"/>
      <c r="R97" s="51"/>
    </row>
    <row r="98" spans="1:18" ht="11.45" customHeight="1">
      <c r="A98" s="550" t="str">
        <f>IF($I$90="Stable Communities &lt; 20%", "X","")</f>
        <v>X</v>
      </c>
      <c r="B98" s="551" t="s">
        <v>2869</v>
      </c>
      <c r="C98" s="721" t="s">
        <v>3895</v>
      </c>
      <c r="E98" s="160"/>
      <c r="M98" s="695">
        <v>2</v>
      </c>
      <c r="N98" s="31"/>
      <c r="O98" s="162"/>
      <c r="P98" s="162"/>
    </row>
    <row r="99" spans="1:18" ht="11.45" customHeight="1">
      <c r="B99" s="231" t="s">
        <v>3418</v>
      </c>
      <c r="C99" s="721" t="s">
        <v>3440</v>
      </c>
      <c r="E99" s="160"/>
      <c r="G99" s="132" t="s">
        <v>3366</v>
      </c>
      <c r="M99" s="572" t="str">
        <f>IF(AND($I$90="Stable Communities &lt; 20%",O99=""), "X","")</f>
        <v/>
      </c>
      <c r="N99" s="231" t="s">
        <v>3418</v>
      </c>
      <c r="O99" s="1670" t="s">
        <v>3974</v>
      </c>
      <c r="P99" s="355"/>
    </row>
    <row r="100" spans="1:18" ht="11.45" customHeight="1">
      <c r="B100" s="231" t="s">
        <v>3419</v>
      </c>
      <c r="C100" s="665" t="s">
        <v>3367</v>
      </c>
      <c r="E100" s="160"/>
      <c r="G100" s="132" t="s">
        <v>3368</v>
      </c>
      <c r="M100" s="572" t="str">
        <f>IF(AND($I$90="Stable Communities &lt; 20%",O100=""), "X","")</f>
        <v/>
      </c>
      <c r="N100" s="231" t="s">
        <v>3419</v>
      </c>
      <c r="O100" s="1675" t="s">
        <v>3974</v>
      </c>
      <c r="P100" s="541"/>
    </row>
    <row r="101" spans="1:18" ht="11.45" customHeight="1">
      <c r="B101" s="231" t="s">
        <v>3420</v>
      </c>
      <c r="C101" s="665" t="s">
        <v>3752</v>
      </c>
      <c r="E101" s="160"/>
      <c r="M101" s="572" t="str">
        <f>IF(AND($I$90="Stable Communities &lt; 20%",O101=""), "X","")</f>
        <v/>
      </c>
      <c r="N101" s="231" t="s">
        <v>3420</v>
      </c>
      <c r="O101" s="1671" t="s">
        <v>3974</v>
      </c>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3441</v>
      </c>
      <c r="D104" s="134"/>
      <c r="G104" s="195"/>
      <c r="K104" s="134"/>
      <c r="L104" s="134"/>
      <c r="M104" s="664">
        <v>6</v>
      </c>
      <c r="N104" s="31"/>
      <c r="O104" s="162" t="s">
        <v>3521</v>
      </c>
      <c r="P104" s="162" t="s">
        <v>3521</v>
      </c>
    </row>
    <row r="105" spans="1:18" ht="11.1" customHeight="1">
      <c r="B105" s="552" t="s">
        <v>3418</v>
      </c>
      <c r="C105" s="553" t="s">
        <v>842</v>
      </c>
      <c r="D105" s="132"/>
      <c r="M105" s="861" t="str">
        <f>IF(AND($I$90="HOPE VI Initiative",O105=""), "X","")</f>
        <v/>
      </c>
      <c r="N105" s="231" t="s">
        <v>3418</v>
      </c>
      <c r="O105" s="1670" t="s">
        <v>2104</v>
      </c>
      <c r="P105" s="355"/>
    </row>
    <row r="106" spans="1:18" ht="11.1" customHeight="1">
      <c r="B106" s="552" t="s">
        <v>3419</v>
      </c>
      <c r="C106" s="553" t="s">
        <v>843</v>
      </c>
      <c r="M106" s="861" t="str">
        <f>IF(AND($I$90="HOPE VI Initiative",O106=""), "X","")</f>
        <v/>
      </c>
      <c r="N106" s="231" t="s">
        <v>3419</v>
      </c>
      <c r="O106" s="1675" t="s">
        <v>2104</v>
      </c>
      <c r="P106" s="541"/>
    </row>
    <row r="107" spans="1:18" ht="11.1" customHeight="1">
      <c r="B107" s="552" t="s">
        <v>3420</v>
      </c>
      <c r="C107" s="553" t="s">
        <v>844</v>
      </c>
      <c r="M107" s="861" t="str">
        <f>IF(AND($I$90="HOPE VI Initiative",O107=""), "X","")</f>
        <v/>
      </c>
      <c r="N107" s="231" t="s">
        <v>3420</v>
      </c>
      <c r="O107" s="1675" t="s">
        <v>2104</v>
      </c>
      <c r="P107" s="541"/>
    </row>
    <row r="108" spans="1:18" ht="11.1" customHeight="1">
      <c r="B108" s="552" t="s">
        <v>3421</v>
      </c>
      <c r="C108" s="69" t="s">
        <v>845</v>
      </c>
      <c r="M108" s="861" t="str">
        <f>IF(AND($I$90="HOPE VI Initiative",O108=""), "X","")</f>
        <v/>
      </c>
      <c r="N108" s="231" t="s">
        <v>3421</v>
      </c>
      <c r="O108" s="1671" t="s">
        <v>2104</v>
      </c>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3928</v>
      </c>
      <c r="M110" s="696">
        <v>2</v>
      </c>
      <c r="N110" s="551" t="s">
        <v>2869</v>
      </c>
      <c r="O110" s="1598" t="s">
        <v>2104</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76" t="s">
        <v>2626</v>
      </c>
      <c r="I112" s="162" t="s">
        <v>1458</v>
      </c>
      <c r="J112" s="1677"/>
      <c r="K112" s="1678"/>
      <c r="L112" s="1679"/>
      <c r="M112" s="696">
        <v>1</v>
      </c>
      <c r="N112" s="551" t="s">
        <v>3548</v>
      </c>
      <c r="O112" s="1598" t="s">
        <v>2104</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80"/>
      <c r="I114" s="1341"/>
      <c r="J114" s="1341"/>
      <c r="K114" s="1341"/>
      <c r="L114" s="1342"/>
      <c r="M114" s="696">
        <v>1</v>
      </c>
      <c r="N114" s="551" t="s">
        <v>1762</v>
      </c>
      <c r="O114" s="1598" t="s">
        <v>2104</v>
      </c>
      <c r="P114" s="232"/>
    </row>
    <row r="115" spans="1:18" ht="11.45" customHeight="1">
      <c r="B115" s="552" t="s">
        <v>3418</v>
      </c>
      <c r="C115" s="48" t="s">
        <v>3751</v>
      </c>
      <c r="D115" s="132"/>
      <c r="G115" s="132" t="s">
        <v>848</v>
      </c>
      <c r="H115" s="1681"/>
      <c r="M115" s="571" t="str">
        <f>IF(AND($I$90="Local Redevelopment Plan",O115=""), "X","")</f>
        <v/>
      </c>
      <c r="N115" s="552" t="s">
        <v>3418</v>
      </c>
      <c r="O115" s="1670" t="s">
        <v>2104</v>
      </c>
      <c r="P115" s="355"/>
    </row>
    <row r="116" spans="1:18" ht="11.1" customHeight="1">
      <c r="B116" s="552" t="s">
        <v>3419</v>
      </c>
      <c r="C116" s="553" t="s">
        <v>3444</v>
      </c>
      <c r="D116" s="132"/>
      <c r="M116" s="571"/>
      <c r="N116" s="552" t="s">
        <v>3419</v>
      </c>
      <c r="O116" s="1682" t="s">
        <v>2104</v>
      </c>
      <c r="P116" s="602"/>
    </row>
    <row r="117" spans="1:18" ht="11.1" customHeight="1">
      <c r="B117" s="552" t="s">
        <v>3420</v>
      </c>
      <c r="C117" s="553" t="s">
        <v>3445</v>
      </c>
      <c r="M117" s="571" t="str">
        <f>IF(AND($I$90="Local Redevelopment Plan",O117=""), "X","")</f>
        <v/>
      </c>
      <c r="N117" s="552" t="s">
        <v>3420</v>
      </c>
      <c r="O117" s="1675" t="s">
        <v>2104</v>
      </c>
      <c r="P117" s="541"/>
    </row>
    <row r="118" spans="1:18" ht="11.1" customHeight="1">
      <c r="B118" s="552" t="s">
        <v>3421</v>
      </c>
      <c r="C118" s="553" t="s">
        <v>3446</v>
      </c>
      <c r="M118" s="571" t="str">
        <f>IF(AND($I$90="Local Redevelopment Plan",O118=""), "X","")</f>
        <v/>
      </c>
      <c r="N118" s="552" t="s">
        <v>3421</v>
      </c>
      <c r="O118" s="1675" t="s">
        <v>2104</v>
      </c>
      <c r="P118" s="541"/>
    </row>
    <row r="119" spans="1:18" ht="11.1" customHeight="1">
      <c r="B119" s="552" t="s">
        <v>3422</v>
      </c>
      <c r="C119" s="69" t="s">
        <v>3447</v>
      </c>
      <c r="M119" s="571" t="str">
        <f>IF(AND($I$90="Local Redevelopment Plan",O119=""), "X","")</f>
        <v/>
      </c>
      <c r="N119" s="552" t="s">
        <v>3422</v>
      </c>
      <c r="O119" s="1675" t="s">
        <v>2104</v>
      </c>
      <c r="P119" s="541"/>
    </row>
    <row r="120" spans="1:18" ht="11.1" customHeight="1">
      <c r="B120" s="552" t="s">
        <v>3442</v>
      </c>
      <c r="C120" s="553" t="s">
        <v>3448</v>
      </c>
      <c r="D120" s="132"/>
      <c r="M120" s="571" t="str">
        <f>IF(AND($I$90="Local Redevelopment Plan",O120=""), "X","")</f>
        <v/>
      </c>
      <c r="N120" s="552" t="s">
        <v>3442</v>
      </c>
      <c r="O120" s="1675" t="s">
        <v>2104</v>
      </c>
      <c r="P120" s="541"/>
    </row>
    <row r="121" spans="1:18" ht="11.1" customHeight="1">
      <c r="B121" s="552" t="s">
        <v>3443</v>
      </c>
      <c r="C121" s="553" t="s">
        <v>3449</v>
      </c>
      <c r="M121" s="571" t="str">
        <f>IF(AND($I$90="Local Redevelopment Plan",O121=""), "X","")</f>
        <v/>
      </c>
      <c r="N121" s="552" t="s">
        <v>3443</v>
      </c>
      <c r="O121" s="1671" t="s">
        <v>2104</v>
      </c>
      <c r="P121" s="356"/>
    </row>
    <row r="122" spans="1:18" ht="11.45" customHeight="1">
      <c r="A122" s="550" t="str">
        <f>IF($I$90="Stable Communities &lt; 20%", "X","")</f>
        <v>X</v>
      </c>
      <c r="C122" s="568" t="s">
        <v>3453</v>
      </c>
      <c r="E122" s="160"/>
      <c r="M122" s="573"/>
      <c r="N122" s="31"/>
      <c r="O122" s="162"/>
      <c r="P122" s="162"/>
    </row>
    <row r="123" spans="1:18" ht="11.1" customHeight="1">
      <c r="B123" s="552" t="s">
        <v>3450</v>
      </c>
      <c r="C123" s="553" t="s">
        <v>3454</v>
      </c>
      <c r="M123" s="571"/>
      <c r="O123" s="552" t="s">
        <v>3450</v>
      </c>
      <c r="P123" s="355"/>
    </row>
    <row r="124" spans="1:18" ht="11.1" customHeight="1">
      <c r="B124" s="552" t="s">
        <v>3451</v>
      </c>
      <c r="C124" s="69" t="s">
        <v>3455</v>
      </c>
      <c r="M124" s="571"/>
      <c r="O124" s="552" t="s">
        <v>3451</v>
      </c>
      <c r="P124" s="541"/>
    </row>
    <row r="125" spans="1:18" ht="11.1" customHeight="1">
      <c r="B125" s="552" t="s">
        <v>3452</v>
      </c>
      <c r="C125" s="553" t="s">
        <v>3456</v>
      </c>
      <c r="M125" s="571"/>
      <c r="O125" s="552" t="s">
        <v>3452</v>
      </c>
      <c r="P125" s="541"/>
    </row>
    <row r="126" spans="1:18" ht="11.1" customHeight="1">
      <c r="B126" s="552" t="s">
        <v>847</v>
      </c>
      <c r="C126" s="69" t="s">
        <v>3457</v>
      </c>
      <c r="M126" s="571"/>
      <c r="O126" s="552" t="s">
        <v>847</v>
      </c>
      <c r="P126" s="356"/>
    </row>
    <row r="127" spans="1:18" s="51" customFormat="1" ht="14.1" customHeight="1">
      <c r="A127" s="50"/>
      <c r="B127" s="57" t="s">
        <v>312</v>
      </c>
      <c r="C127" s="50"/>
      <c r="D127" s="56"/>
      <c r="E127" s="56"/>
      <c r="F127" s="56"/>
      <c r="G127" s="56"/>
      <c r="H127" s="44"/>
      <c r="I127" s="44"/>
      <c r="J127" s="44"/>
      <c r="K127" s="44"/>
      <c r="M127" s="54"/>
      <c r="N127" s="74"/>
      <c r="O127" s="4"/>
      <c r="P127" s="854"/>
    </row>
    <row r="128" spans="1:18" s="51" customFormat="1" ht="23.45" customHeight="1">
      <c r="A128" s="1672" t="s">
        <v>4073</v>
      </c>
      <c r="B128" s="1673"/>
      <c r="C128" s="1673"/>
      <c r="D128" s="1673"/>
      <c r="E128" s="1673"/>
      <c r="F128" s="1673"/>
      <c r="G128" s="1673"/>
      <c r="H128" s="1673"/>
      <c r="I128" s="1673"/>
      <c r="J128" s="1673"/>
      <c r="K128" s="1673"/>
      <c r="L128" s="1673"/>
      <c r="M128" s="1673"/>
      <c r="N128" s="1673"/>
      <c r="O128" s="1673"/>
      <c r="P128" s="1674"/>
    </row>
    <row r="129" spans="1:17" s="51" customFormat="1" ht="11.25" customHeight="1">
      <c r="A129" s="50"/>
      <c r="B129" s="114" t="s">
        <v>2739</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48" t="s">
        <v>2863</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83">
        <v>3</v>
      </c>
      <c r="P133" s="658"/>
    </row>
    <row r="134" spans="1:17" s="132" customFormat="1" ht="23.1" customHeight="1">
      <c r="B134" s="581" t="s">
        <v>2867</v>
      </c>
      <c r="C134" s="1214" t="s">
        <v>1459</v>
      </c>
      <c r="D134" s="1166"/>
      <c r="E134" s="1166"/>
      <c r="F134" s="1166"/>
      <c r="G134" s="1166"/>
      <c r="H134" s="1166"/>
      <c r="I134" s="1166"/>
      <c r="J134" s="1166"/>
      <c r="K134" s="1166"/>
      <c r="L134" s="1166"/>
      <c r="M134" s="657"/>
      <c r="N134" s="581" t="s">
        <v>2867</v>
      </c>
      <c r="O134" s="1598" t="s">
        <v>3974</v>
      </c>
      <c r="P134" s="232"/>
    </row>
    <row r="135" spans="1:17" s="132" customFormat="1" ht="11.45" customHeight="1">
      <c r="B135" s="250"/>
      <c r="C135" s="161" t="s">
        <v>1460</v>
      </c>
      <c r="H135" s="704" t="s">
        <v>3619</v>
      </c>
      <c r="I135" s="1676" t="s">
        <v>4076</v>
      </c>
      <c r="J135" s="704" t="s">
        <v>3219</v>
      </c>
      <c r="K135" s="1684" t="s">
        <v>4072</v>
      </c>
      <c r="L135" s="1685"/>
      <c r="M135" s="1686"/>
    </row>
    <row r="136" spans="1:17" s="132" customFormat="1" ht="11.45" customHeight="1">
      <c r="B136" s="250" t="s">
        <v>2869</v>
      </c>
      <c r="C136" s="161" t="s">
        <v>1461</v>
      </c>
      <c r="M136" s="8"/>
      <c r="N136" s="250" t="s">
        <v>2869</v>
      </c>
      <c r="O136" s="1670" t="s">
        <v>3974</v>
      </c>
      <c r="P136" s="355"/>
    </row>
    <row r="137" spans="1:17" s="132" customFormat="1" ht="11.45" customHeight="1">
      <c r="B137" s="250" t="s">
        <v>3548</v>
      </c>
      <c r="C137" s="161" t="s">
        <v>1462</v>
      </c>
      <c r="M137" s="8"/>
      <c r="N137" s="250" t="s">
        <v>3548</v>
      </c>
      <c r="O137" s="1675" t="s">
        <v>3975</v>
      </c>
      <c r="P137" s="541"/>
    </row>
    <row r="138" spans="1:17" s="132" customFormat="1" ht="11.45" customHeight="1">
      <c r="B138" s="250" t="s">
        <v>1762</v>
      </c>
      <c r="C138" s="161" t="s">
        <v>1463</v>
      </c>
      <c r="M138" s="8"/>
      <c r="N138" s="250" t="s">
        <v>1762</v>
      </c>
      <c r="O138" s="1671" t="s">
        <v>3974</v>
      </c>
      <c r="P138" s="356"/>
    </row>
    <row r="139" spans="1:17" ht="12" customHeight="1">
      <c r="A139" s="254" t="s">
        <v>1921</v>
      </c>
      <c r="B139" s="848" t="s">
        <v>2866</v>
      </c>
      <c r="C139" s="254" t="s">
        <v>3143</v>
      </c>
      <c r="D139" s="160"/>
      <c r="E139" s="666" t="s">
        <v>3648</v>
      </c>
      <c r="M139" s="3">
        <v>3</v>
      </c>
      <c r="N139" s="803" t="s">
        <v>2866</v>
      </c>
      <c r="O139" s="659">
        <f>IF($M140=5,3,IF($M140=4,2,0))</f>
        <v>0</v>
      </c>
      <c r="P139" s="85"/>
    </row>
    <row r="140" spans="1:17" ht="12" customHeight="1">
      <c r="B140" s="122"/>
      <c r="D140" s="40"/>
      <c r="E140" s="40"/>
      <c r="F140" s="40"/>
      <c r="G140" s="48"/>
      <c r="H140" s="48"/>
      <c r="I140" s="48"/>
      <c r="J140" s="48"/>
      <c r="L140" s="574" t="s">
        <v>688</v>
      </c>
      <c r="M140" s="1598"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24" customHeight="1">
      <c r="A142" s="1602" t="s">
        <v>4100</v>
      </c>
      <c r="B142" s="1603"/>
      <c r="C142" s="1603"/>
      <c r="D142" s="1603"/>
      <c r="E142" s="1603"/>
      <c r="F142" s="1603"/>
      <c r="G142" s="1603"/>
      <c r="H142" s="1603"/>
      <c r="I142" s="1603"/>
      <c r="J142" s="1603"/>
      <c r="K142" s="1603"/>
      <c r="L142" s="1603"/>
      <c r="M142" s="1603"/>
      <c r="N142" s="1603"/>
      <c r="O142" s="1603"/>
      <c r="P142" s="1604"/>
      <c r="Q142" s="736" t="s">
        <v>1806</v>
      </c>
    </row>
    <row r="143" spans="1:17" s="51" customFormat="1" ht="11.45" customHeight="1">
      <c r="B143" s="114" t="s">
        <v>2739</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63">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174"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174"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13" t="s">
        <v>3755</v>
      </c>
      <c r="C151" s="1178"/>
      <c r="D151" s="1178"/>
      <c r="E151" s="1178"/>
      <c r="F151" s="1178"/>
      <c r="G151" s="1178"/>
      <c r="H151" s="1178"/>
      <c r="I151" s="1178"/>
      <c r="J151" s="1178"/>
      <c r="K151" s="1178"/>
      <c r="L151" s="1178"/>
      <c r="M151" s="1178"/>
      <c r="N151" s="1178"/>
      <c r="O151" s="575" t="s">
        <v>3421</v>
      </c>
      <c r="P151" s="719"/>
    </row>
    <row r="152" spans="1:17" s="583" customFormat="1" ht="23.45" customHeight="1">
      <c r="A152" s="575" t="s">
        <v>3422</v>
      </c>
      <c r="B152" s="1179" t="s">
        <v>3125</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3126</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602" t="s">
        <v>4144</v>
      </c>
      <c r="B157" s="1603"/>
      <c r="C157" s="1603"/>
      <c r="D157" s="1603"/>
      <c r="E157" s="1603"/>
      <c r="F157" s="1603"/>
      <c r="G157" s="1603"/>
      <c r="H157" s="1603"/>
      <c r="I157" s="1603"/>
      <c r="J157" s="1603"/>
      <c r="K157" s="1603"/>
      <c r="L157" s="1603"/>
      <c r="M157" s="1603"/>
      <c r="N157" s="1603"/>
      <c r="O157" s="1603"/>
      <c r="P157" s="1604"/>
    </row>
    <row r="158" spans="1:17" s="51" customFormat="1" ht="11.25" customHeight="1">
      <c r="A158" s="50"/>
      <c r="B158" s="114" t="s">
        <v>2739</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3145</v>
      </c>
      <c r="D162" s="73"/>
      <c r="E162" s="73"/>
      <c r="F162" s="52"/>
      <c r="G162" s="31"/>
      <c r="K162" s="803" t="s">
        <v>3962</v>
      </c>
      <c r="L162" s="1598" t="s">
        <v>3974</v>
      </c>
      <c r="M162" s="8">
        <v>1</v>
      </c>
      <c r="N162" s="803" t="s">
        <v>2863</v>
      </c>
      <c r="O162" s="1663">
        <v>1</v>
      </c>
      <c r="P162" s="85"/>
      <c r="Q162" s="148"/>
      <c r="R162" s="558" t="str">
        <f>IF(OR($O162=$M162,$O162=0,$O162=""),"","* * Check Score! * *")</f>
        <v/>
      </c>
    </row>
    <row r="163" spans="1:18" s="51" customFormat="1" ht="12" customHeight="1">
      <c r="A163" s="189" t="s">
        <v>2866</v>
      </c>
      <c r="B163" s="236" t="s">
        <v>3146</v>
      </c>
      <c r="D163" s="69"/>
      <c r="E163" s="38"/>
      <c r="F163" s="62" t="s">
        <v>3896</v>
      </c>
      <c r="K163" s="62"/>
      <c r="L163" s="558"/>
      <c r="M163" s="8">
        <v>1</v>
      </c>
      <c r="N163" s="803" t="s">
        <v>2866</v>
      </c>
      <c r="O163" s="1663">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41.25" customHeight="1">
      <c r="A165" s="1602" t="s">
        <v>4079</v>
      </c>
      <c r="B165" s="1603"/>
      <c r="C165" s="1603"/>
      <c r="D165" s="1603"/>
      <c r="E165" s="1603"/>
      <c r="F165" s="1603"/>
      <c r="G165" s="1603"/>
      <c r="H165" s="1603"/>
      <c r="I165" s="1603"/>
      <c r="J165" s="1603"/>
      <c r="K165" s="1603"/>
      <c r="L165" s="1603"/>
      <c r="M165" s="1603"/>
      <c r="N165" s="1603"/>
      <c r="O165" s="1603"/>
      <c r="P165" s="1604"/>
      <c r="Q165" s="736" t="s">
        <v>1806</v>
      </c>
    </row>
    <row r="166" spans="1:18" s="51" customFormat="1" ht="11.25" customHeight="1">
      <c r="A166" s="50"/>
      <c r="B166" s="114" t="s">
        <v>2739</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3878</v>
      </c>
      <c r="C169" s="116"/>
      <c r="D169" s="70"/>
      <c r="E169" s="62"/>
      <c r="J169" s="73"/>
      <c r="K169" s="733" t="s">
        <v>3931</v>
      </c>
      <c r="L169" s="800" t="str">
        <f>'Part I-Project Information'!E81</f>
        <v>Yes</v>
      </c>
      <c r="M169" s="3">
        <v>3</v>
      </c>
      <c r="N169" s="7"/>
      <c r="O169" s="7"/>
      <c r="P169" s="85"/>
      <c r="Q169" s="148" t="s">
        <v>612</v>
      </c>
    </row>
    <row r="170" spans="1:18" s="51" customFormat="1" ht="12" customHeight="1">
      <c r="A170" s="189"/>
      <c r="B170" s="65" t="s">
        <v>3287</v>
      </c>
      <c r="D170" s="40"/>
      <c r="N170" s="803"/>
      <c r="O170" s="1598" t="s">
        <v>3974</v>
      </c>
      <c r="P170" s="232"/>
      <c r="R170" s="558"/>
    </row>
    <row r="171" spans="1:18" s="51" customFormat="1" ht="12" customHeight="1">
      <c r="A171" s="189"/>
      <c r="B171" s="65" t="s">
        <v>3945</v>
      </c>
      <c r="D171" s="40"/>
      <c r="N171" s="803"/>
      <c r="O171" s="1598" t="s">
        <v>3974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63" customHeight="1">
      <c r="A173" s="1602" t="s">
        <v>4074</v>
      </c>
      <c r="B173" s="1603"/>
      <c r="C173" s="1603"/>
      <c r="D173" s="1603"/>
      <c r="E173" s="1603"/>
      <c r="F173" s="1603"/>
      <c r="G173" s="1603"/>
      <c r="H173" s="1603"/>
      <c r="I173" s="1603"/>
      <c r="J173" s="1603"/>
      <c r="K173" s="1603"/>
      <c r="L173" s="1603"/>
      <c r="M173" s="1603"/>
      <c r="N173" s="1603"/>
      <c r="O173" s="1603"/>
      <c r="P173" s="1604"/>
    </row>
    <row r="174" spans="1:18" s="51" customFormat="1" ht="12" customHeight="1">
      <c r="B174" s="114" t="s">
        <v>2739</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3947</v>
      </c>
      <c r="G177" s="159"/>
      <c r="H177" s="665"/>
      <c r="I177" s="159"/>
      <c r="J177" s="801">
        <f>'Part VI-Revenues &amp; Expenses'!$M$74</f>
        <v>71</v>
      </c>
      <c r="K177" s="159"/>
      <c r="L177" s="802" t="str">
        <f>IF(AND(J177=0,O177&gt;0),"&lt;&lt;&lt; Check NC units!","")</f>
        <v/>
      </c>
      <c r="M177" s="3">
        <v>3</v>
      </c>
      <c r="N177" s="601" t="str">
        <f>IF(OR($O177=$M177,$O177=0,$O177=""),"","***")</f>
        <v/>
      </c>
      <c r="O177" s="1663">
        <v>0</v>
      </c>
      <c r="P177" s="85"/>
      <c r="Q177" s="148" t="s">
        <v>612</v>
      </c>
      <c r="R177" s="31"/>
    </row>
    <row r="178" spans="1:18" s="75" customFormat="1" ht="25.35" customHeight="1">
      <c r="A178" s="209"/>
      <c r="B178" s="1097" t="s">
        <v>3946</v>
      </c>
      <c r="C178" s="1213"/>
      <c r="D178" s="1213"/>
      <c r="E178" s="1213"/>
      <c r="F178" s="1213"/>
      <c r="G178" s="1213"/>
      <c r="H178" s="1213"/>
      <c r="I178" s="1213"/>
      <c r="J178" s="1213"/>
      <c r="K178" s="1213"/>
      <c r="L178" s="1213"/>
      <c r="M178" s="1213"/>
      <c r="N178" s="3"/>
      <c r="O178" s="3"/>
      <c r="P178" s="3"/>
      <c r="Q178" s="148"/>
      <c r="R178" s="558"/>
    </row>
    <row r="179" spans="1:18" s="51" customFormat="1" ht="14.1" customHeight="1">
      <c r="A179" s="50"/>
      <c r="B179" s="57" t="s">
        <v>312</v>
      </c>
      <c r="C179" s="50"/>
      <c r="D179" s="56"/>
      <c r="E179" s="56"/>
      <c r="F179" s="56"/>
      <c r="G179" s="56"/>
      <c r="H179" s="44"/>
      <c r="I179" s="44"/>
      <c r="J179" s="114" t="s">
        <v>2739</v>
      </c>
      <c r="M179" s="54"/>
      <c r="N179" s="74"/>
      <c r="O179" s="4"/>
      <c r="P179" s="854"/>
    </row>
    <row r="180" spans="1:18" s="51" customFormat="1" ht="12" customHeight="1">
      <c r="A180" s="1602" t="s">
        <v>4068</v>
      </c>
      <c r="B180" s="1603"/>
      <c r="C180" s="1603"/>
      <c r="D180" s="1603"/>
      <c r="E180" s="1603"/>
      <c r="F180" s="1603"/>
      <c r="G180" s="1603"/>
      <c r="H180" s="1603"/>
      <c r="I180" s="1604"/>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63">
        <v>0</v>
      </c>
      <c r="P182" s="85"/>
      <c r="Q182" s="148" t="s">
        <v>612</v>
      </c>
    </row>
    <row r="183" spans="1:18" s="51" customFormat="1" ht="12.6" customHeight="1">
      <c r="A183" s="50"/>
      <c r="B183" s="154" t="s">
        <v>2714</v>
      </c>
      <c r="D183" s="134"/>
      <c r="E183" s="1687" t="s">
        <v>2639</v>
      </c>
      <c r="F183" s="1688"/>
      <c r="G183" s="1689"/>
      <c r="H183" s="1690"/>
      <c r="I183" s="61" t="s">
        <v>2713</v>
      </c>
      <c r="O183" s="162" t="s">
        <v>3521</v>
      </c>
      <c r="P183" s="162" t="s">
        <v>3521</v>
      </c>
    </row>
    <row r="184" spans="1:18" s="132" customFormat="1" ht="11.45" customHeight="1">
      <c r="A184" s="189" t="s">
        <v>2863</v>
      </c>
      <c r="B184" s="161" t="s">
        <v>2512</v>
      </c>
      <c r="D184" s="161"/>
      <c r="E184" s="161"/>
      <c r="F184" s="161"/>
      <c r="G184" s="1691" t="s">
        <v>3534</v>
      </c>
      <c r="H184" s="1692"/>
      <c r="I184" s="1693"/>
      <c r="J184" s="1691" t="s">
        <v>1715</v>
      </c>
      <c r="K184" s="1692"/>
      <c r="L184" s="1693"/>
      <c r="N184" s="803" t="s">
        <v>2863</v>
      </c>
      <c r="O184" s="1598" t="s">
        <v>2104</v>
      </c>
      <c r="P184" s="232"/>
    </row>
    <row r="185" spans="1:18" s="132" customFormat="1" ht="11.45" customHeight="1">
      <c r="A185" s="189" t="s">
        <v>2866</v>
      </c>
      <c r="B185" s="161" t="s">
        <v>475</v>
      </c>
      <c r="D185" s="161"/>
      <c r="E185" s="161"/>
      <c r="F185" s="161"/>
      <c r="G185" s="161"/>
      <c r="L185" s="161"/>
      <c r="M185" s="161"/>
      <c r="N185" s="803" t="s">
        <v>2866</v>
      </c>
      <c r="O185" s="1598" t="s">
        <v>2104</v>
      </c>
      <c r="P185" s="232"/>
    </row>
    <row r="186" spans="1:18" s="132" customFormat="1" ht="11.45" customHeight="1">
      <c r="A186" s="189" t="s">
        <v>1145</v>
      </c>
      <c r="B186" s="161" t="s">
        <v>2467</v>
      </c>
      <c r="D186" s="161"/>
      <c r="E186" s="161"/>
      <c r="F186" s="161"/>
      <c r="G186" s="161"/>
      <c r="H186" s="161"/>
      <c r="L186" s="161"/>
      <c r="M186" s="161"/>
      <c r="N186" s="803" t="s">
        <v>1145</v>
      </c>
      <c r="O186" s="1598" t="s">
        <v>2104</v>
      </c>
      <c r="P186" s="232"/>
    </row>
    <row r="187" spans="1:18" s="132" customFormat="1" ht="11.45" customHeight="1">
      <c r="A187" s="189" t="s">
        <v>3005</v>
      </c>
      <c r="B187" s="184" t="s">
        <v>3844</v>
      </c>
      <c r="D187" s="161"/>
      <c r="E187" s="161"/>
      <c r="F187" s="161"/>
      <c r="G187" s="161"/>
      <c r="H187" s="161"/>
      <c r="I187" s="161"/>
      <c r="J187" s="161"/>
      <c r="K187" s="161"/>
      <c r="L187" s="161"/>
      <c r="M187" s="161"/>
      <c r="N187" s="803" t="s">
        <v>3005</v>
      </c>
      <c r="O187" s="1598"/>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602" t="s">
        <v>4068</v>
      </c>
      <c r="B189" s="1603"/>
      <c r="C189" s="1603"/>
      <c r="D189" s="1603"/>
      <c r="E189" s="1603"/>
      <c r="F189" s="1603"/>
      <c r="G189" s="1603"/>
      <c r="H189" s="1603"/>
      <c r="I189" s="1603"/>
      <c r="J189" s="1603"/>
      <c r="K189" s="1603"/>
      <c r="L189" s="1603"/>
      <c r="M189" s="1603"/>
      <c r="N189" s="1603"/>
      <c r="O189" s="1603"/>
      <c r="P189" s="1604"/>
      <c r="Q189" s="736" t="s">
        <v>1806</v>
      </c>
    </row>
    <row r="190" spans="1:18" s="51" customFormat="1" ht="11.25" customHeight="1">
      <c r="A190" s="50"/>
      <c r="B190" s="114" t="s">
        <v>2739</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22.5"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5</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70" t="s">
        <v>3974</v>
      </c>
      <c r="P195" s="355"/>
    </row>
    <row r="196" spans="1:18" s="132" customFormat="1" ht="11.25" customHeight="1">
      <c r="B196" s="715" t="s">
        <v>2869</v>
      </c>
      <c r="C196" s="132" t="s">
        <v>809</v>
      </c>
      <c r="N196" s="250" t="s">
        <v>2869</v>
      </c>
      <c r="O196" s="1675" t="s">
        <v>3974</v>
      </c>
      <c r="P196" s="541"/>
    </row>
    <row r="197" spans="1:18" s="132" customFormat="1" ht="11.25" customHeight="1">
      <c r="B197" s="715" t="s">
        <v>3548</v>
      </c>
      <c r="C197" s="132" t="s">
        <v>810</v>
      </c>
      <c r="N197" s="250" t="s">
        <v>3548</v>
      </c>
      <c r="O197" s="1675" t="s">
        <v>3974</v>
      </c>
      <c r="P197" s="541"/>
    </row>
    <row r="198" spans="1:18" s="132" customFormat="1" ht="11.25" customHeight="1">
      <c r="B198" s="715" t="s">
        <v>1762</v>
      </c>
      <c r="C198" s="132" t="s">
        <v>811</v>
      </c>
      <c r="N198" s="250" t="s">
        <v>1762</v>
      </c>
      <c r="O198" s="1675" t="s">
        <v>3974</v>
      </c>
      <c r="P198" s="541"/>
    </row>
    <row r="199" spans="1:18" s="132" customFormat="1" ht="11.25" customHeight="1">
      <c r="B199" s="715" t="s">
        <v>1763</v>
      </c>
      <c r="C199" s="132" t="s">
        <v>819</v>
      </c>
      <c r="N199" s="250" t="s">
        <v>1763</v>
      </c>
      <c r="O199" s="1671" t="s">
        <v>3974</v>
      </c>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4</v>
      </c>
      <c r="P201" s="204">
        <f>IF($L$214&gt;=0.15, 4,IF($L$214&gt;=0.1, 3,IF($L$214&gt;=0.05, 2,IF($L$214&gt;=0.02, 1,0))))</f>
        <v>0</v>
      </c>
    </row>
    <row r="202" spans="1:18" ht="12" customHeight="1">
      <c r="B202" s="551" t="s">
        <v>2867</v>
      </c>
      <c r="C202" s="722" t="s">
        <v>3721</v>
      </c>
      <c r="I202" s="1215" t="s">
        <v>2871</v>
      </c>
      <c r="J202" s="1215"/>
      <c r="L202" s="858" t="s">
        <v>2871</v>
      </c>
      <c r="M202" s="216"/>
      <c r="N202" s="250" t="s">
        <v>2867</v>
      </c>
    </row>
    <row r="203" spans="1:18" s="51" customFormat="1" ht="11.25" customHeight="1">
      <c r="A203" s="251"/>
      <c r="B203" s="150"/>
      <c r="C203" s="552" t="s">
        <v>3418</v>
      </c>
      <c r="D203" s="44" t="s">
        <v>2073</v>
      </c>
      <c r="H203" s="65"/>
      <c r="I203" s="1694"/>
      <c r="J203" s="1695"/>
      <c r="K203" s="253"/>
      <c r="L203" s="705"/>
      <c r="M203" s="89"/>
      <c r="N203" s="552" t="s">
        <v>3418</v>
      </c>
      <c r="O203" s="1670"/>
      <c r="P203" s="355"/>
      <c r="R203" s="558"/>
    </row>
    <row r="204" spans="1:18" ht="11.25" customHeight="1">
      <c r="A204" s="252"/>
      <c r="B204" s="108"/>
      <c r="C204" s="575" t="s">
        <v>3419</v>
      </c>
      <c r="D204" s="44" t="s">
        <v>2074</v>
      </c>
      <c r="H204" s="65"/>
      <c r="I204" s="1694"/>
      <c r="J204" s="1695"/>
      <c r="L204" s="705"/>
      <c r="M204" s="89"/>
      <c r="N204" s="575" t="s">
        <v>3419</v>
      </c>
      <c r="O204" s="1675"/>
      <c r="P204" s="541"/>
      <c r="R204" s="558"/>
    </row>
    <row r="205" spans="1:18" ht="11.25" customHeight="1">
      <c r="B205" s="715"/>
      <c r="C205" s="552" t="s">
        <v>3420</v>
      </c>
      <c r="D205" s="44" t="s">
        <v>3718</v>
      </c>
      <c r="H205" s="65"/>
      <c r="I205" s="1694"/>
      <c r="J205" s="1695"/>
      <c r="L205" s="705"/>
      <c r="M205" s="89"/>
      <c r="N205" s="552" t="s">
        <v>3420</v>
      </c>
      <c r="O205" s="1675"/>
      <c r="P205" s="541"/>
      <c r="R205" s="558"/>
    </row>
    <row r="206" spans="1:18" ht="11.25" customHeight="1">
      <c r="A206" s="252"/>
      <c r="B206" s="715"/>
      <c r="C206" s="552" t="s">
        <v>3421</v>
      </c>
      <c r="D206" s="44" t="s">
        <v>3719</v>
      </c>
      <c r="I206" s="1694"/>
      <c r="J206" s="1695"/>
      <c r="L206" s="705"/>
      <c r="M206" s="89"/>
      <c r="N206" s="552" t="s">
        <v>3421</v>
      </c>
      <c r="O206" s="1675"/>
      <c r="P206" s="541"/>
      <c r="R206" s="558"/>
    </row>
    <row r="207" spans="1:18" s="51" customFormat="1" ht="11.25" customHeight="1">
      <c r="A207" s="251"/>
      <c r="B207" s="715"/>
      <c r="C207" s="575" t="s">
        <v>3422</v>
      </c>
      <c r="D207" s="44" t="s">
        <v>2075</v>
      </c>
      <c r="H207" s="65"/>
      <c r="I207" s="1694"/>
      <c r="J207" s="1695"/>
      <c r="K207" s="253"/>
      <c r="L207" s="705"/>
      <c r="M207" s="89"/>
      <c r="N207" s="575" t="s">
        <v>3422</v>
      </c>
      <c r="O207" s="1675"/>
      <c r="P207" s="541"/>
      <c r="R207" s="558"/>
    </row>
    <row r="208" spans="1:18" ht="11.25" customHeight="1">
      <c r="A208" s="252"/>
      <c r="B208" s="715"/>
      <c r="C208" s="552" t="s">
        <v>3442</v>
      </c>
      <c r="D208" s="44" t="s">
        <v>2076</v>
      </c>
      <c r="H208" s="65"/>
      <c r="I208" s="1694"/>
      <c r="J208" s="1695"/>
      <c r="L208" s="705"/>
      <c r="M208" s="89"/>
      <c r="N208" s="552" t="s">
        <v>3442</v>
      </c>
      <c r="O208" s="1675"/>
      <c r="P208" s="541"/>
      <c r="R208" s="558"/>
    </row>
    <row r="209" spans="1:18" ht="11.25" customHeight="1">
      <c r="A209" s="252"/>
      <c r="B209" s="715"/>
      <c r="C209" s="552" t="s">
        <v>3443</v>
      </c>
      <c r="D209" s="44" t="s">
        <v>2077</v>
      </c>
      <c r="H209" s="65"/>
      <c r="I209" s="1694"/>
      <c r="J209" s="1695"/>
      <c r="L209" s="705"/>
      <c r="M209" s="89"/>
      <c r="N209" s="552" t="s">
        <v>3443</v>
      </c>
      <c r="O209" s="1675"/>
      <c r="P209" s="541"/>
      <c r="R209" s="558"/>
    </row>
    <row r="210" spans="1:18" ht="11.25" customHeight="1" thickBot="1">
      <c r="A210" s="252"/>
      <c r="B210" s="715"/>
      <c r="C210" s="552" t="s">
        <v>3450</v>
      </c>
      <c r="D210" s="701" t="s">
        <v>3720</v>
      </c>
      <c r="E210" s="702"/>
      <c r="F210" s="702"/>
      <c r="G210" s="702"/>
      <c r="H210" s="703"/>
      <c r="I210" s="1696">
        <v>1612379.9851978756</v>
      </c>
      <c r="J210" s="1697"/>
      <c r="L210" s="709"/>
      <c r="M210" s="89"/>
      <c r="N210" s="552" t="s">
        <v>3450</v>
      </c>
      <c r="O210" s="1671"/>
      <c r="P210" s="356"/>
      <c r="R210" s="558"/>
    </row>
    <row r="211" spans="1:18" ht="12" customHeight="1" thickBot="1">
      <c r="A211" s="252"/>
      <c r="B211" s="715"/>
      <c r="D211" s="699" t="s">
        <v>3723</v>
      </c>
      <c r="H211" s="65"/>
      <c r="I211" s="1698">
        <f>SUM(I203:J210)</f>
        <v>1612379.9851978756</v>
      </c>
      <c r="J211" s="1699"/>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2869</v>
      </c>
      <c r="C213" s="722" t="s">
        <v>3722</v>
      </c>
      <c r="D213" s="699" t="s">
        <v>3724</v>
      </c>
      <c r="I213" s="1207">
        <f>'Part IV-Uses of Funds'!$G$123</f>
        <v>10144293.340241428</v>
      </c>
      <c r="J213" s="1208"/>
      <c r="M213" s="216"/>
      <c r="N213" s="31"/>
      <c r="O213" s="31"/>
      <c r="P213" s="31"/>
    </row>
    <row r="214" spans="1:18" ht="12" customHeight="1">
      <c r="B214" s="250"/>
      <c r="C214" s="698"/>
      <c r="D214" s="720" t="s">
        <v>3725</v>
      </c>
      <c r="G214" s="708"/>
      <c r="H214" s="708"/>
      <c r="I214" s="1209">
        <f>IF($I$213=0,0,$I$211/$I$213)</f>
        <v>0.1589445347367589</v>
      </c>
      <c r="J214" s="1210"/>
      <c r="L214" s="700">
        <f>IF($I$213=0,0,$L$211/$I$213)</f>
        <v>0</v>
      </c>
      <c r="M214" s="216"/>
      <c r="N214" s="31"/>
      <c r="O214" s="31"/>
      <c r="P214" s="31"/>
    </row>
    <row r="215" spans="1:18" s="132" customFormat="1" ht="5.25" customHeight="1">
      <c r="B215" s="715"/>
    </row>
    <row r="216" spans="1:18" s="51" customFormat="1" ht="12.75" customHeight="1">
      <c r="A216" s="189" t="s">
        <v>2866</v>
      </c>
      <c r="B216" s="256" t="s">
        <v>3897</v>
      </c>
      <c r="D216" s="47"/>
      <c r="E216" s="44"/>
      <c r="F216" s="1"/>
      <c r="G216" s="38" t="s">
        <v>3898</v>
      </c>
      <c r="H216" s="44"/>
      <c r="I216" s="1"/>
      <c r="J216" s="38"/>
      <c r="K216" s="38"/>
      <c r="L216" s="38"/>
      <c r="M216" s="89">
        <v>1</v>
      </c>
      <c r="N216" s="803" t="s">
        <v>2866</v>
      </c>
      <c r="O216" s="1598">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700"/>
      <c r="F219" s="1701"/>
      <c r="G219" s="1701"/>
      <c r="H219" s="1702"/>
      <c r="K219" s="253"/>
      <c r="M219" s="7"/>
      <c r="N219" s="7"/>
      <c r="O219" s="7"/>
      <c r="P219" s="7"/>
    </row>
    <row r="220" spans="1:18" ht="12" customHeight="1">
      <c r="A220" s="252"/>
      <c r="B220" s="582" t="s">
        <v>3321</v>
      </c>
      <c r="D220" s="583"/>
      <c r="E220" s="1703"/>
      <c r="F220" s="1704"/>
      <c r="G220" s="1704"/>
      <c r="H220" s="1704"/>
      <c r="I220" s="1704"/>
      <c r="J220" s="1704"/>
      <c r="K220" s="1704"/>
      <c r="L220" s="1704"/>
      <c r="M220" s="1704"/>
      <c r="N220" s="1704"/>
      <c r="O220" s="1704"/>
      <c r="P220" s="1313"/>
    </row>
    <row r="221" spans="1:18" ht="12.6" customHeight="1">
      <c r="B221" s="44" t="s">
        <v>3862</v>
      </c>
      <c r="E221" s="704"/>
      <c r="I221" s="1705"/>
      <c r="J221" s="1706"/>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70" customHeight="1">
      <c r="A224" s="1602" t="s">
        <v>4152</v>
      </c>
      <c r="B224" s="1603"/>
      <c r="C224" s="1603"/>
      <c r="D224" s="1603"/>
      <c r="E224" s="1603"/>
      <c r="F224" s="1603"/>
      <c r="G224" s="1603"/>
      <c r="H224" s="1603"/>
      <c r="I224" s="1603"/>
      <c r="J224" s="1603"/>
      <c r="K224" s="1603"/>
      <c r="L224" s="1603"/>
      <c r="M224" s="1603"/>
      <c r="N224" s="1603"/>
      <c r="O224" s="1603"/>
      <c r="P224" s="1604"/>
    </row>
    <row r="225" spans="1:18" s="134" customFormat="1" ht="11.1" customHeight="1">
      <c r="A225" s="50"/>
      <c r="B225" s="129" t="s">
        <v>2739</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3658</v>
      </c>
      <c r="D229" s="40"/>
      <c r="H229" s="65" t="s">
        <v>3287</v>
      </c>
      <c r="N229" s="803" t="s">
        <v>2863</v>
      </c>
      <c r="O229" s="1670" t="s">
        <v>3974</v>
      </c>
      <c r="P229" s="355"/>
      <c r="R229" s="558"/>
    </row>
    <row r="230" spans="1:18" s="51" customFormat="1" ht="24.6" customHeight="1">
      <c r="A230" s="50"/>
      <c r="B230" s="1211" t="s">
        <v>3641</v>
      </c>
      <c r="C230" s="1212"/>
      <c r="D230" s="1212"/>
      <c r="E230" s="1212"/>
      <c r="F230" s="1212"/>
      <c r="G230" s="1212"/>
      <c r="H230" s="1212"/>
      <c r="I230" s="1212"/>
      <c r="J230" s="1212"/>
      <c r="K230" s="1212"/>
      <c r="L230" s="1212"/>
      <c r="M230" s="54"/>
      <c r="N230" s="74"/>
      <c r="O230" s="1671" t="s">
        <v>3974</v>
      </c>
      <c r="P230" s="356"/>
    </row>
    <row r="231" spans="1:18" s="51" customFormat="1" ht="12" customHeight="1">
      <c r="A231" s="189" t="s">
        <v>2866</v>
      </c>
      <c r="B231" s="236" t="s">
        <v>3726</v>
      </c>
      <c r="D231" s="40"/>
      <c r="E231" s="40"/>
      <c r="F231" s="40"/>
      <c r="H231" s="65" t="s">
        <v>3287</v>
      </c>
      <c r="N231" s="803" t="s">
        <v>2866</v>
      </c>
      <c r="O231" s="1598"/>
      <c r="P231" s="232"/>
      <c r="R231" s="558"/>
    </row>
    <row r="232" spans="1:18" s="51" customFormat="1" ht="12" customHeight="1">
      <c r="A232" s="50"/>
      <c r="B232" s="65" t="s">
        <v>3729</v>
      </c>
      <c r="D232" s="47"/>
      <c r="E232" s="44"/>
      <c r="F232" s="1"/>
      <c r="G232" s="1"/>
      <c r="H232" s="1"/>
      <c r="I232" s="1"/>
      <c r="J232" s="38"/>
      <c r="K232" s="38"/>
      <c r="L232" s="38"/>
      <c r="M232" s="821"/>
      <c r="N232" s="1"/>
      <c r="O232" s="854"/>
      <c r="P232" s="4"/>
    </row>
    <row r="233" spans="1:18" s="132" customFormat="1" ht="11.25" customHeight="1">
      <c r="B233" s="551" t="s">
        <v>2867</v>
      </c>
      <c r="C233" s="697" t="s">
        <v>3727</v>
      </c>
      <c r="E233" s="117"/>
      <c r="F233" s="62"/>
      <c r="G233" s="62"/>
      <c r="H233" s="62"/>
      <c r="I233" s="62"/>
      <c r="J233" s="64"/>
      <c r="K233" s="72"/>
      <c r="L233" s="68" t="str">
        <f>IF(M233&gt;14,"Over limit!","")</f>
        <v/>
      </c>
      <c r="N233" s="250" t="s">
        <v>2867</v>
      </c>
      <c r="O233" s="1670"/>
      <c r="P233" s="355"/>
    </row>
    <row r="234" spans="1:18" s="132" customFormat="1" ht="11.25" customHeight="1">
      <c r="B234" s="551" t="s">
        <v>2869</v>
      </c>
      <c r="C234" s="697" t="s">
        <v>3728</v>
      </c>
      <c r="N234" s="250" t="s">
        <v>2869</v>
      </c>
      <c r="O234" s="1675"/>
      <c r="P234" s="541"/>
    </row>
    <row r="235" spans="1:18" s="132" customFormat="1" ht="11.25" customHeight="1">
      <c r="B235" s="551" t="s">
        <v>3548</v>
      </c>
      <c r="C235" s="697" t="s">
        <v>3730</v>
      </c>
      <c r="N235" s="250" t="s">
        <v>3548</v>
      </c>
      <c r="O235" s="1675"/>
      <c r="P235" s="541"/>
    </row>
    <row r="236" spans="1:18" s="132" customFormat="1" ht="11.25" customHeight="1">
      <c r="B236" s="551" t="s">
        <v>1762</v>
      </c>
      <c r="C236" s="697" t="s">
        <v>3731</v>
      </c>
      <c r="N236" s="250" t="s">
        <v>1762</v>
      </c>
      <c r="O236" s="1671"/>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602"/>
      <c r="B238" s="1603"/>
      <c r="C238" s="1603"/>
      <c r="D238" s="1603"/>
      <c r="E238" s="1603"/>
      <c r="F238" s="1603"/>
      <c r="G238" s="1603"/>
      <c r="H238" s="1603"/>
      <c r="I238" s="1603"/>
      <c r="J238" s="1603"/>
      <c r="K238" s="1603"/>
      <c r="L238" s="1603"/>
      <c r="M238" s="1603"/>
      <c r="N238" s="1603"/>
      <c r="O238" s="1603"/>
      <c r="P238" s="1604"/>
      <c r="Q238" s="736" t="s">
        <v>1806</v>
      </c>
    </row>
    <row r="239" spans="1:18" s="134" customFormat="1" ht="10.5" customHeight="1">
      <c r="A239" s="50"/>
      <c r="B239" s="129" t="s">
        <v>2739</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3732</v>
      </c>
      <c r="D243" s="40"/>
      <c r="E243" s="40"/>
      <c r="F243" s="40"/>
      <c r="L243" s="558" t="str">
        <f>IF(OR($O243=$M243,$O243=0,$O243=""),"","* * Check Score! * *")</f>
        <v/>
      </c>
      <c r="M243" s="7">
        <v>3</v>
      </c>
      <c r="N243" s="803" t="s">
        <v>2863</v>
      </c>
      <c r="O243" s="1707">
        <v>3</v>
      </c>
      <c r="P243" s="743"/>
      <c r="Q243" s="148"/>
      <c r="R243" s="558" t="str">
        <f>IF(OR($O243=$M243,$O243=0,$O243=""),"","* * Check Score! * *")</f>
        <v/>
      </c>
    </row>
    <row r="244" spans="1:18" s="51" customFormat="1" ht="36" customHeight="1">
      <c r="A244" s="189"/>
      <c r="B244" s="1180" t="s">
        <v>3734</v>
      </c>
      <c r="C244" s="1180"/>
      <c r="D244" s="1180"/>
      <c r="E244" s="1180"/>
      <c r="F244" s="1180"/>
      <c r="G244" s="1180"/>
      <c r="H244" s="1180"/>
      <c r="I244" s="1180"/>
      <c r="J244" s="1180"/>
      <c r="K244" s="1180"/>
      <c r="L244" s="1180"/>
      <c r="M244" s="558"/>
      <c r="N244" s="558"/>
      <c r="O244" s="1708"/>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3733</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21" t="s">
        <v>172</v>
      </c>
      <c r="D247" s="1121"/>
      <c r="E247" s="1121"/>
      <c r="F247" s="1121"/>
      <c r="G247" s="1121"/>
      <c r="H247" s="1121"/>
      <c r="I247" s="1121"/>
      <c r="J247" s="1121"/>
      <c r="K247" s="1121"/>
      <c r="L247" s="1121"/>
      <c r="M247" s="656">
        <v>2</v>
      </c>
      <c r="O247" s="1707"/>
      <c r="P247" s="743"/>
    </row>
    <row r="248" spans="1:18" s="655" customFormat="1" ht="24" customHeight="1">
      <c r="A248" s="711" t="s">
        <v>1921</v>
      </c>
      <c r="B248" s="723" t="s">
        <v>2869</v>
      </c>
      <c r="C248" s="1121" t="s">
        <v>3760</v>
      </c>
      <c r="D248" s="1121"/>
      <c r="E248" s="1121"/>
      <c r="F248" s="1121"/>
      <c r="G248" s="1121"/>
      <c r="H248" s="1121"/>
      <c r="I248" s="1121"/>
      <c r="J248" s="1121"/>
      <c r="K248" s="1121"/>
      <c r="L248" s="1121"/>
      <c r="M248" s="656">
        <v>1</v>
      </c>
      <c r="O248" s="1708"/>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602"/>
      <c r="B250" s="1603"/>
      <c r="C250" s="1603"/>
      <c r="D250" s="1603"/>
      <c r="E250" s="1603"/>
      <c r="F250" s="1603"/>
      <c r="G250" s="1603"/>
      <c r="H250" s="1603"/>
      <c r="I250" s="1603"/>
      <c r="J250" s="1603"/>
      <c r="K250" s="1603"/>
      <c r="L250" s="1603"/>
      <c r="M250" s="1603"/>
      <c r="N250" s="1603"/>
      <c r="O250" s="1603"/>
      <c r="P250" s="1604"/>
    </row>
    <row r="251" spans="1:18" s="51" customFormat="1" ht="12" customHeight="1">
      <c r="B251" s="114" t="s">
        <v>2739</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98" t="s">
        <v>3974</v>
      </c>
      <c r="P255" s="232"/>
    </row>
    <row r="256" spans="1:18" ht="12.6" customHeight="1">
      <c r="A256" s="189" t="s">
        <v>2863</v>
      </c>
      <c r="B256" s="254" t="s">
        <v>2020</v>
      </c>
      <c r="D256" s="40"/>
      <c r="E256" s="40"/>
      <c r="F256" s="40"/>
      <c r="G256" s="40"/>
      <c r="H256" s="40"/>
      <c r="I256" s="40"/>
      <c r="J256" s="40"/>
      <c r="K256" s="40"/>
      <c r="L256" s="40"/>
      <c r="M256" s="157"/>
      <c r="N256" s="803" t="s">
        <v>2863</v>
      </c>
      <c r="O256" s="1709">
        <v>10</v>
      </c>
      <c r="P256" s="580"/>
    </row>
    <row r="257" spans="1:18" ht="12.6" customHeight="1">
      <c r="A257" s="189" t="s">
        <v>2866</v>
      </c>
      <c r="B257" s="254" t="s">
        <v>325</v>
      </c>
      <c r="D257" s="40"/>
      <c r="E257" s="40"/>
      <c r="F257" s="40"/>
      <c r="G257" s="48"/>
      <c r="H257" s="48"/>
      <c r="I257" s="48"/>
      <c r="J257" s="48"/>
      <c r="K257" s="48"/>
      <c r="M257" s="134"/>
      <c r="N257" s="803" t="s">
        <v>2866</v>
      </c>
      <c r="O257" s="1598" t="s">
        <v>4075</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75" customHeight="1">
      <c r="A259" s="1602" t="s">
        <v>4150</v>
      </c>
      <c r="B259" s="1603"/>
      <c r="C259" s="1603"/>
      <c r="D259" s="1603"/>
      <c r="E259" s="1603"/>
      <c r="F259" s="1603"/>
      <c r="G259" s="1603"/>
      <c r="H259" s="1603"/>
      <c r="I259" s="1603"/>
      <c r="J259" s="1603"/>
      <c r="K259" s="1603"/>
      <c r="L259" s="1603"/>
      <c r="M259" s="1603"/>
      <c r="N259" s="1603"/>
      <c r="O259" s="1603"/>
      <c r="P259" s="1604"/>
      <c r="Q259" s="736" t="s">
        <v>1806</v>
      </c>
      <c r="R259" s="737"/>
    </row>
    <row r="260" spans="1:18" s="134" customFormat="1" ht="11.25" customHeight="1">
      <c r="A260" s="80"/>
      <c r="B260" s="80" t="s">
        <v>2739</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3735</v>
      </c>
      <c r="C263" s="64"/>
      <c r="D263" s="159"/>
      <c r="E263" s="159"/>
      <c r="F263" s="49"/>
      <c r="H263" s="47"/>
      <c r="K263" s="56"/>
      <c r="M263" s="3">
        <v>20</v>
      </c>
      <c r="N263" s="7"/>
      <c r="O263" s="93">
        <f>MIN($M263,(O264+O273))</f>
        <v>7</v>
      </c>
      <c r="P263" s="93">
        <f>MIN($M263,(P264+P273))</f>
        <v>0</v>
      </c>
      <c r="Q263" s="148" t="s">
        <v>612</v>
      </c>
    </row>
    <row r="264" spans="1:18" s="51" customFormat="1" ht="13.5" customHeight="1">
      <c r="A264" s="189" t="s">
        <v>2863</v>
      </c>
      <c r="B264" s="236" t="s">
        <v>3736</v>
      </c>
      <c r="D264" s="73" t="s">
        <v>3966</v>
      </c>
      <c r="H264" s="47"/>
      <c r="I264" s="47"/>
      <c r="K264" s="47"/>
      <c r="L264" s="558"/>
      <c r="M264" s="3">
        <v>6</v>
      </c>
      <c r="N264" s="79" t="s">
        <v>2863</v>
      </c>
      <c r="O264" s="125">
        <f>IF(O265=$M265,$M265, IF(O267=$M267,$M267, IF(O269=$M269,$M269,0)))</f>
        <v>3</v>
      </c>
      <c r="P264" s="125">
        <f>IF(P265=$M265,$M265, IF(P267=$M267,$M267, IF(P269=$M269,$M269,0)))</f>
        <v>0</v>
      </c>
      <c r="Q264" s="148"/>
    </row>
    <row r="265" spans="1:18" s="655" customFormat="1" ht="12" customHeight="1">
      <c r="A265" s="654" t="str">
        <f>IF($I$90="HOPE VI Initiative", "X","")</f>
        <v/>
      </c>
      <c r="B265" s="723" t="s">
        <v>2867</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62"/>
      <c r="K266" s="862"/>
      <c r="L266" s="862"/>
      <c r="M266" s="714"/>
      <c r="O266" s="1663" t="s">
        <v>3975</v>
      </c>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3949</v>
      </c>
      <c r="D268" s="1121"/>
      <c r="E268" s="1121"/>
      <c r="F268" s="1121"/>
      <c r="G268" s="1121"/>
      <c r="H268" s="1121"/>
      <c r="I268" s="1121"/>
      <c r="J268" s="1121"/>
      <c r="K268" s="1121"/>
      <c r="L268" s="1121"/>
      <c r="M268" s="714"/>
      <c r="N268" s="656"/>
      <c r="O268" s="1710" t="s">
        <v>3975</v>
      </c>
      <c r="P268" s="712"/>
    </row>
    <row r="269" spans="1:18" s="655" customFormat="1" ht="12" customHeight="1">
      <c r="A269" s="713" t="s">
        <v>1921</v>
      </c>
      <c r="B269" s="723" t="s">
        <v>3548</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3</v>
      </c>
      <c r="P269" s="125">
        <f>IF(AND('Part I-Project Information'!$E$82="Yes",'Part I-Project Information'!$H$121="Yes",OR(P270="Yes",P271="Yes",P272="Yes")),$M269,0)</f>
        <v>0</v>
      </c>
    </row>
    <row r="270" spans="1:18" s="655" customFormat="1" ht="22.5" customHeight="1">
      <c r="A270" s="654"/>
      <c r="B270" s="575" t="s">
        <v>3418</v>
      </c>
      <c r="C270" s="1125" t="s">
        <v>3950</v>
      </c>
      <c r="D270" s="1125"/>
      <c r="E270" s="1125"/>
      <c r="F270" s="1125"/>
      <c r="G270" s="1125"/>
      <c r="H270" s="1125"/>
      <c r="I270" s="1125"/>
      <c r="J270" s="1125"/>
      <c r="K270" s="1125"/>
      <c r="L270" s="1125"/>
      <c r="M270" s="656"/>
      <c r="N270" s="575" t="s">
        <v>3418</v>
      </c>
      <c r="O270" s="1711" t="s">
        <v>3974</v>
      </c>
      <c r="P270" s="740"/>
    </row>
    <row r="271" spans="1:18" s="655" customFormat="1" ht="22.5" customHeight="1">
      <c r="A271" s="654"/>
      <c r="B271" s="575" t="s">
        <v>3419</v>
      </c>
      <c r="C271" s="1121" t="s">
        <v>3761</v>
      </c>
      <c r="D271" s="1121"/>
      <c r="E271" s="1121"/>
      <c r="F271" s="1121"/>
      <c r="G271" s="1121"/>
      <c r="H271" s="1121"/>
      <c r="I271" s="1121"/>
      <c r="J271" s="1121"/>
      <c r="K271" s="1121"/>
      <c r="L271" s="1121"/>
      <c r="M271" s="656"/>
      <c r="N271" s="575" t="s">
        <v>3419</v>
      </c>
      <c r="O271" s="1712" t="s">
        <v>3975</v>
      </c>
      <c r="P271" s="741"/>
    </row>
    <row r="272" spans="1:18" s="655" customFormat="1" ht="22.5" customHeight="1">
      <c r="A272" s="654"/>
      <c r="B272" s="575" t="s">
        <v>3420</v>
      </c>
      <c r="C272" s="1121" t="s">
        <v>3738</v>
      </c>
      <c r="D272" s="1121"/>
      <c r="E272" s="1121"/>
      <c r="F272" s="1121"/>
      <c r="G272" s="1121"/>
      <c r="H272" s="1121"/>
      <c r="I272" s="1121"/>
      <c r="J272" s="1121"/>
      <c r="K272" s="1121"/>
      <c r="L272" s="1121"/>
      <c r="M272" s="656"/>
      <c r="N272" s="575" t="s">
        <v>3420</v>
      </c>
      <c r="O272" s="1713" t="s">
        <v>3975</v>
      </c>
      <c r="P272" s="742"/>
    </row>
    <row r="273" spans="1:18" ht="13.5" customHeight="1">
      <c r="A273" s="189" t="s">
        <v>2866</v>
      </c>
      <c r="B273" s="236" t="s">
        <v>3739</v>
      </c>
      <c r="D273" s="40"/>
      <c r="E273" s="73" t="s">
        <v>3965</v>
      </c>
      <c r="F273" s="40"/>
      <c r="G273" s="158"/>
      <c r="H273" s="40"/>
      <c r="I273" s="40"/>
      <c r="J273" s="40"/>
      <c r="K273" s="40"/>
      <c r="L273" s="40"/>
      <c r="M273" s="1">
        <v>14</v>
      </c>
      <c r="N273" s="803" t="s">
        <v>2866</v>
      </c>
      <c r="O273" s="125">
        <f>MIN($M273,O274+O277+O278+O281+O282)</f>
        <v>4</v>
      </c>
      <c r="P273" s="125">
        <f>MIN($M273,P274+P277+P278+P281+P282+P283)</f>
        <v>0</v>
      </c>
      <c r="R273" s="655"/>
    </row>
    <row r="274" spans="1:18" s="132" customFormat="1" ht="12.75" customHeight="1">
      <c r="B274" s="551" t="s">
        <v>2867</v>
      </c>
      <c r="C274" s="724" t="s">
        <v>3740</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21" t="s">
        <v>3742</v>
      </c>
      <c r="D275" s="1121"/>
      <c r="E275" s="1121"/>
      <c r="F275" s="1121"/>
      <c r="G275" s="1121"/>
      <c r="H275" s="1121"/>
      <c r="I275" s="1121"/>
      <c r="J275" s="1121"/>
      <c r="K275" s="1121"/>
      <c r="L275" s="1121"/>
      <c r="M275" s="656">
        <v>4</v>
      </c>
      <c r="N275" s="575" t="s">
        <v>3418</v>
      </c>
      <c r="O275" s="1711">
        <v>0</v>
      </c>
      <c r="P275" s="740"/>
    </row>
    <row r="276" spans="1:18" s="655" customFormat="1" ht="22.5" customHeight="1">
      <c r="A276" s="219" t="s">
        <v>3762</v>
      </c>
      <c r="B276" s="575" t="s">
        <v>3419</v>
      </c>
      <c r="C276" s="1121" t="s">
        <v>3743</v>
      </c>
      <c r="D276" s="1121"/>
      <c r="E276" s="1121"/>
      <c r="F276" s="1121"/>
      <c r="G276" s="1121"/>
      <c r="H276" s="1121"/>
      <c r="I276" s="1121"/>
      <c r="J276" s="1121"/>
      <c r="K276" s="1121"/>
      <c r="L276" s="1121"/>
      <c r="M276" s="656">
        <v>2</v>
      </c>
      <c r="N276" s="575" t="s">
        <v>3419</v>
      </c>
      <c r="O276" s="1713">
        <v>0</v>
      </c>
      <c r="P276" s="742"/>
    </row>
    <row r="277" spans="1:18" s="132" customFormat="1" ht="12" customHeight="1">
      <c r="B277" s="551" t="s">
        <v>2869</v>
      </c>
      <c r="C277" s="724" t="s">
        <v>3741</v>
      </c>
      <c r="L277" s="558" t="str">
        <f>IF(OR($O277=$M277,$O277=0,$O277=""),"","* * Check Score! * *")</f>
        <v/>
      </c>
      <c r="M277" s="8">
        <v>1</v>
      </c>
      <c r="N277" s="250" t="s">
        <v>2869</v>
      </c>
      <c r="O277" s="1663"/>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2</v>
      </c>
      <c r="P278" s="125">
        <f>IF(AND('Part I-Project Information'!$E$82="Yes",'Part I-Project Information'!$H$121="Yes"),MIN(P279+P280,$M278),0)</f>
        <v>0</v>
      </c>
    </row>
    <row r="279" spans="1:18" s="655" customFormat="1" ht="12" customHeight="1">
      <c r="A279" s="654"/>
      <c r="B279" s="575" t="s">
        <v>3418</v>
      </c>
      <c r="C279" s="1121" t="s">
        <v>3746</v>
      </c>
      <c r="D279" s="1121"/>
      <c r="E279" s="1121"/>
      <c r="F279" s="1121"/>
      <c r="G279" s="1121"/>
      <c r="H279" s="1121"/>
      <c r="I279" s="1121"/>
      <c r="J279" s="1121"/>
      <c r="K279" s="1121"/>
      <c r="L279" s="1121"/>
      <c r="M279" s="656">
        <v>2</v>
      </c>
      <c r="N279" s="575" t="s">
        <v>3418</v>
      </c>
      <c r="O279" s="1707">
        <v>2</v>
      </c>
      <c r="P279" s="743"/>
    </row>
    <row r="280" spans="1:18" s="655" customFormat="1" ht="12" customHeight="1">
      <c r="A280" s="219" t="s">
        <v>3762</v>
      </c>
      <c r="B280" s="575" t="s">
        <v>3419</v>
      </c>
      <c r="C280" s="1121" t="s">
        <v>3745</v>
      </c>
      <c r="D280" s="1121"/>
      <c r="E280" s="1121"/>
      <c r="F280" s="1121"/>
      <c r="G280" s="1121"/>
      <c r="H280" s="1121"/>
      <c r="I280" s="1121"/>
      <c r="J280" s="1121"/>
      <c r="K280" s="1121"/>
      <c r="L280" s="1121"/>
      <c r="M280" s="656">
        <v>1</v>
      </c>
      <c r="N280" s="575" t="s">
        <v>3419</v>
      </c>
      <c r="O280" s="1708"/>
      <c r="P280" s="744"/>
    </row>
    <row r="281" spans="1:18" s="132" customFormat="1" ht="12" customHeight="1">
      <c r="B281" s="551" t="s">
        <v>1762</v>
      </c>
      <c r="C281" s="724" t="s">
        <v>3747</v>
      </c>
      <c r="F281" s="697" t="s">
        <v>3863</v>
      </c>
      <c r="L281" s="558"/>
      <c r="M281" s="8">
        <v>2</v>
      </c>
      <c r="N281" s="250" t="s">
        <v>1762</v>
      </c>
      <c r="O281" s="1663"/>
      <c r="P281" s="85"/>
    </row>
    <row r="282" spans="1:18" s="132" customFormat="1" ht="12" customHeight="1">
      <c r="B282" s="551" t="s">
        <v>1763</v>
      </c>
      <c r="C282" s="724" t="s">
        <v>3748</v>
      </c>
      <c r="F282" s="697" t="s">
        <v>3750</v>
      </c>
      <c r="J282" s="1175">
        <f>'Part IV-Uses of Funds'!$B$39/'Part IV-Uses of Funds'!$G$123</f>
        <v>0.63033074710434389</v>
      </c>
      <c r="K282" s="1176"/>
      <c r="L282" s="558"/>
      <c r="M282" s="8">
        <v>2</v>
      </c>
      <c r="N282" s="250" t="s">
        <v>1763</v>
      </c>
      <c r="O282" s="1663">
        <v>2</v>
      </c>
      <c r="P282" s="85"/>
    </row>
    <row r="283" spans="1:18" s="132" customFormat="1" ht="12" customHeight="1">
      <c r="B283" s="551" t="s">
        <v>2758</v>
      </c>
      <c r="C283" s="724" t="s">
        <v>3749</v>
      </c>
      <c r="F283" s="697" t="s">
        <v>3951</v>
      </c>
      <c r="L283" s="558"/>
      <c r="M283" s="8">
        <v>3</v>
      </c>
      <c r="N283" s="250" t="s">
        <v>2758</v>
      </c>
      <c r="P283" s="85"/>
    </row>
    <row r="284" spans="1:18" s="51" customFormat="1" ht="12" customHeight="1">
      <c r="A284" s="189"/>
      <c r="B284" s="575" t="s">
        <v>3418</v>
      </c>
      <c r="C284" s="65" t="s">
        <v>3287</v>
      </c>
      <c r="D284" s="40"/>
      <c r="N284" s="803"/>
      <c r="O284" s="1598" t="s">
        <v>3974</v>
      </c>
      <c r="P284" s="232"/>
      <c r="R284" s="558"/>
    </row>
    <row r="285" spans="1:18" s="51" customFormat="1" ht="12" customHeight="1">
      <c r="A285" s="189"/>
      <c r="B285" s="575" t="s">
        <v>3419</v>
      </c>
      <c r="C285" s="65" t="s">
        <v>3945</v>
      </c>
      <c r="D285" s="40"/>
      <c r="N285" s="803"/>
      <c r="O285" s="1598" t="s">
        <v>3974</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26.25" customHeight="1">
      <c r="A287" s="1602" t="s">
        <v>4151</v>
      </c>
      <c r="B287" s="1603"/>
      <c r="C287" s="1603"/>
      <c r="D287" s="1603"/>
      <c r="E287" s="1603"/>
      <c r="F287" s="1603"/>
      <c r="G287" s="1603"/>
      <c r="H287" s="1603"/>
      <c r="I287" s="1603"/>
      <c r="J287" s="1603"/>
      <c r="K287" s="1603"/>
      <c r="L287" s="1603"/>
      <c r="M287" s="1603"/>
      <c r="N287" s="1603"/>
      <c r="O287" s="1603"/>
      <c r="P287" s="1604"/>
    </row>
    <row r="288" spans="1:18" s="51" customFormat="1" ht="11.25" customHeight="1">
      <c r="A288" s="50"/>
      <c r="B288" s="114" t="s">
        <v>2739</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64</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57</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3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3511</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2807</v>
      </c>
      <c r="I327" s="813" t="s">
        <v>3491</v>
      </c>
      <c r="J327" s="167"/>
      <c r="K327" s="167"/>
      <c r="L327" s="167"/>
      <c r="M327" s="248"/>
      <c r="N327" s="249"/>
    </row>
    <row r="328" spans="1:14">
      <c r="A328" s="156"/>
      <c r="B328" s="156"/>
      <c r="C328" s="167"/>
      <c r="D328" s="167"/>
      <c r="E328" s="167"/>
      <c r="F328" s="167"/>
      <c r="G328" s="812" t="s">
        <v>2102</v>
      </c>
      <c r="H328" s="813" t="s">
        <v>3193</v>
      </c>
      <c r="I328" s="813" t="s">
        <v>3493</v>
      </c>
      <c r="J328" s="167"/>
      <c r="K328" s="167"/>
      <c r="L328" s="167"/>
      <c r="M328" s="248"/>
      <c r="N328" s="249"/>
    </row>
    <row r="329" spans="1:14" ht="25.5">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3017</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scale="96"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5.xml><?xml version="1.0" encoding="utf-8"?>
<worksheet xmlns="http://schemas.openxmlformats.org/spreadsheetml/2006/main" xmlns:r="http://schemas.openxmlformats.org/officeDocument/2006/relationships">
  <sheetPr codeName="Sheet16" enableFormatConditionsCalculation="0">
    <pageSetUpPr fitToPage="1"/>
  </sheetPr>
  <dimension ref="A1:F24"/>
  <sheetViews>
    <sheetView workbookViewId="0">
      <selection activeCell="E234" sqref="E234"/>
    </sheetView>
  </sheetViews>
  <sheetFormatPr defaultColWidth="8.85546875" defaultRowHeight="12.75"/>
  <cols>
    <col min="1" max="1" width="88.42578125" customWidth="1"/>
  </cols>
  <sheetData>
    <row r="1" spans="1:6" ht="15.75">
      <c r="A1" s="577" t="s">
        <v>3939</v>
      </c>
    </row>
    <row r="2" spans="1:6" ht="16.5">
      <c r="A2" s="576" t="str">
        <f>'Part I-Project Information'!F22</f>
        <v>Allen Wilson - Phase III</v>
      </c>
    </row>
    <row r="3" spans="1:6" ht="16.5">
      <c r="A3" s="576" t="str">
        <f>CONCATENATE('Part I-Project Information'!F24,", ", 'Part I-Project Information'!J25," County")</f>
        <v>Decatur, DeKalb County</v>
      </c>
    </row>
    <row r="4" spans="1:6" ht="12" customHeight="1"/>
    <row r="5" spans="1:6" ht="113.25" customHeight="1">
      <c r="A5" s="1216" t="s">
        <v>4078</v>
      </c>
      <c r="B5" s="1129" t="s">
        <v>3959</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8" enableFormatConditionsCalculation="0">
    <pageSetUpPr fitToPage="1"/>
  </sheetPr>
  <dimension ref="A1:F24"/>
  <sheetViews>
    <sheetView workbookViewId="0">
      <selection activeCell="E234" sqref="E234"/>
    </sheetView>
  </sheetViews>
  <sheetFormatPr defaultColWidth="8.85546875" defaultRowHeight="12.75"/>
  <cols>
    <col min="1" max="1" width="88.42578125" customWidth="1"/>
  </cols>
  <sheetData>
    <row r="1" spans="1:6" ht="15.75">
      <c r="A1" s="577" t="s">
        <v>3940</v>
      </c>
    </row>
    <row r="2" spans="1:6" ht="16.5">
      <c r="A2" s="576" t="str">
        <f>'Part I-Project Information'!F22</f>
        <v>Allen Wilson - Phase III</v>
      </c>
    </row>
    <row r="3" spans="1:6" ht="16.5">
      <c r="A3" s="576" t="str">
        <f>CONCATENATE('Part I-Project Information'!F24,", ", 'Part I-Project Information'!J25," County")</f>
        <v>Decatur, DeKalb County</v>
      </c>
    </row>
    <row r="4" spans="1:6" ht="12" customHeight="1"/>
    <row r="5" spans="1:6" ht="60" customHeight="1">
      <c r="A5" s="1216" t="s">
        <v>3958</v>
      </c>
      <c r="B5" s="1129" t="s">
        <v>3960</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7.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workbookViewId="0">
      <selection activeCell="E241" sqref="E241:F241"/>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2920</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3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2860</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8.xml><?xml version="1.0" encoding="utf-8"?>
<worksheet xmlns="http://schemas.openxmlformats.org/spreadsheetml/2006/main" xmlns:r="http://schemas.openxmlformats.org/officeDocument/2006/relationships">
  <sheetPr codeName="Sheet14" enableFormatConditionsCalculation="0">
    <pageSetUpPr fitToPage="1"/>
  </sheetPr>
  <dimension ref="A1:Z194"/>
  <sheetViews>
    <sheetView workbookViewId="0"/>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3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3499999999999996"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3499999999999996"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11493693</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13792452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12643051</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1.1"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3499999999999996"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1.1" customHeight="1"/>
    <row r="80" spans="1:26" ht="13.3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3624</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enableFormatConditionsCalculation="0">
    <pageSetUpPr fitToPage="1"/>
  </sheetPr>
  <dimension ref="A1:F24"/>
  <sheetViews>
    <sheetView workbookViewId="0">
      <selection sqref="A1:XFD1048576"/>
    </sheetView>
  </sheetViews>
  <sheetFormatPr defaultColWidth="8.85546875" defaultRowHeight="12.75"/>
  <cols>
    <col min="1" max="1" width="144.85546875" style="31" customWidth="1"/>
    <col min="2" max="16384" width="8.85546875" style="31"/>
  </cols>
  <sheetData>
    <row r="1" spans="1:6" ht="15.75">
      <c r="A1" s="1280" t="s">
        <v>1479</v>
      </c>
    </row>
    <row r="2" spans="1:6" ht="16.5">
      <c r="A2" s="1281" t="str">
        <f>'Part I-Project Information'!F22</f>
        <v>Allen Wilson - Phase III</v>
      </c>
    </row>
    <row r="3" spans="1:6" ht="16.5">
      <c r="A3" s="1281" t="str">
        <f>CONCATENATE('Part I-Project Information'!F24,", ", 'Part I-Project Information'!J25," County")</f>
        <v>Decatur, DeKalb County</v>
      </c>
    </row>
    <row r="4" spans="1:6" ht="12" customHeight="1"/>
    <row r="5" spans="1:6" ht="111" customHeight="1">
      <c r="A5" s="1282" t="s">
        <v>4115</v>
      </c>
      <c r="B5" s="886" t="s">
        <v>3964</v>
      </c>
      <c r="C5" s="886"/>
      <c r="D5" s="886"/>
      <c r="E5" s="886"/>
      <c r="F5" s="886"/>
    </row>
    <row r="6" spans="1:6" ht="19.5"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49.5" customHeight="1">
      <c r="A22" s="1282"/>
    </row>
    <row r="23" spans="1:1" ht="68.25"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5"/>
  <sheetViews>
    <sheetView tabSelected="1"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4.1" customHeight="1">
      <c r="A1" s="893" t="str">
        <f>CONCATENATE("PART ONE - PROJECT INFORMATION"," - ",$O$4," ",$F$22,", ",'Part I-Project Information'!F24,", ",'Part I-Project Information'!J25," County")</f>
        <v>PART ONE - PROJECT INFORMATION - 2012-059 Allen Wilson - Phase III, Decatur, DeKalb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3866</v>
      </c>
      <c r="P3" s="908"/>
    </row>
    <row r="4" spans="1:16" s="449" customFormat="1" ht="12" customHeight="1" thickBot="1">
      <c r="A4" s="844"/>
      <c r="B4" s="452"/>
      <c r="C4" s="452"/>
      <c r="D4" s="453"/>
      <c r="E4" s="400" t="s">
        <v>615</v>
      </c>
      <c r="H4" s="836"/>
      <c r="I4" s="836"/>
      <c r="J4" s="836"/>
      <c r="O4" s="1284" t="s">
        <v>4153</v>
      </c>
      <c r="P4" s="1285"/>
    </row>
    <row r="5" spans="1:16" s="449" customFormat="1" ht="12" customHeight="1">
      <c r="A5" s="844"/>
      <c r="B5" s="452"/>
      <c r="C5" s="452"/>
      <c r="D5" s="452"/>
      <c r="E5" s="836"/>
      <c r="H5" s="836"/>
      <c r="I5" s="836"/>
      <c r="J5" s="836"/>
      <c r="K5" s="394"/>
      <c r="M5" s="836"/>
    </row>
    <row r="6" spans="1:16" s="449" customFormat="1" ht="13.35" customHeight="1">
      <c r="A6" s="452" t="s">
        <v>873</v>
      </c>
      <c r="C6" s="452" t="s">
        <v>3348</v>
      </c>
      <c r="D6" s="416"/>
      <c r="E6" s="454"/>
      <c r="F6" s="455" t="s">
        <v>2567</v>
      </c>
      <c r="J6" s="898">
        <f>'Part IV-Uses of Funds'!J165</f>
        <v>709410.55779100012</v>
      </c>
      <c r="K6" s="899"/>
      <c r="O6" s="896" t="s">
        <v>3865</v>
      </c>
      <c r="P6" s="896"/>
    </row>
    <row r="7" spans="1:16" s="2" customFormat="1" ht="13.35" customHeight="1">
      <c r="A7" s="5"/>
      <c r="C7" s="5"/>
      <c r="D7" s="31"/>
      <c r="E7" s="549"/>
      <c r="F7" s="449" t="s">
        <v>1850</v>
      </c>
      <c r="J7" s="900">
        <f>'Part III A-Sources of Funds'!J5</f>
        <v>0</v>
      </c>
      <c r="K7" s="901"/>
      <c r="M7" s="449"/>
      <c r="N7" s="449"/>
      <c r="O7" s="1286" t="s">
        <v>4087</v>
      </c>
      <c r="P7" s="1287"/>
    </row>
    <row r="8" spans="1:16" s="449" customFormat="1" ht="7.35" customHeight="1">
      <c r="A8" s="452"/>
      <c r="C8" s="452"/>
      <c r="D8" s="416"/>
      <c r="E8" s="454"/>
      <c r="F8" s="454"/>
      <c r="I8" s="456"/>
      <c r="N8" s="457"/>
    </row>
    <row r="9" spans="1:16" s="449" customFormat="1" ht="13.35" customHeight="1">
      <c r="A9" s="456" t="s">
        <v>1136</v>
      </c>
      <c r="C9" s="452" t="s">
        <v>2926</v>
      </c>
      <c r="F9" s="1288" t="s">
        <v>3982</v>
      </c>
      <c r="G9" s="1289"/>
      <c r="H9" s="1290"/>
      <c r="I9" s="1291" t="s">
        <v>1137</v>
      </c>
      <c r="J9" s="1292"/>
      <c r="K9" s="1293"/>
      <c r="L9" s="1293"/>
      <c r="M9" s="1293"/>
      <c r="N9" s="1293"/>
      <c r="O9" s="1293"/>
      <c r="P9" s="1294"/>
    </row>
    <row r="10" spans="1:16" s="449" customFormat="1" ht="7.35" customHeight="1">
      <c r="I10" s="416"/>
      <c r="J10" s="416"/>
      <c r="K10" s="416"/>
      <c r="L10" s="416"/>
      <c r="M10" s="416"/>
      <c r="N10" s="416"/>
      <c r="O10" s="416"/>
      <c r="P10" s="416"/>
    </row>
    <row r="11" spans="1:16" s="449" customFormat="1" ht="13.3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35" customHeight="1">
      <c r="C13" s="449" t="s">
        <v>3219</v>
      </c>
      <c r="F13" s="1292" t="s">
        <v>3983</v>
      </c>
      <c r="G13" s="1293"/>
      <c r="H13" s="1293"/>
      <c r="I13" s="1293"/>
      <c r="J13" s="1293"/>
      <c r="K13" s="1293"/>
      <c r="L13" s="1294"/>
      <c r="M13" s="827" t="s">
        <v>2860</v>
      </c>
      <c r="N13" s="1292" t="s">
        <v>3984</v>
      </c>
      <c r="O13" s="1293"/>
      <c r="P13" s="1294"/>
    </row>
    <row r="14" spans="1:16" s="449" customFormat="1" ht="13.35" customHeight="1">
      <c r="C14" s="455" t="s">
        <v>2861</v>
      </c>
      <c r="F14" s="1292" t="s">
        <v>3985</v>
      </c>
      <c r="G14" s="1293"/>
      <c r="H14" s="1293"/>
      <c r="I14" s="1293"/>
      <c r="J14" s="1293"/>
      <c r="K14" s="1293"/>
      <c r="L14" s="1294"/>
      <c r="M14" s="827" t="s">
        <v>2573</v>
      </c>
      <c r="O14" s="1295">
        <v>4042702101</v>
      </c>
      <c r="P14" s="1296"/>
    </row>
    <row r="15" spans="1:16" s="449" customFormat="1" ht="13.35" customHeight="1">
      <c r="C15" s="455" t="s">
        <v>876</v>
      </c>
      <c r="F15" s="1297" t="s">
        <v>235</v>
      </c>
      <c r="G15" s="1298"/>
      <c r="H15" s="1299"/>
      <c r="M15" s="827" t="s">
        <v>2658</v>
      </c>
      <c r="O15" s="1300">
        <v>4042702123</v>
      </c>
      <c r="P15" s="1301"/>
    </row>
    <row r="16" spans="1:16" s="449" customFormat="1" ht="13.35" customHeight="1">
      <c r="C16" s="455" t="s">
        <v>2655</v>
      </c>
      <c r="F16" s="1302" t="s">
        <v>1337</v>
      </c>
      <c r="I16" s="836" t="s">
        <v>3138</v>
      </c>
      <c r="J16" s="1303">
        <v>300302612</v>
      </c>
      <c r="K16" s="1304"/>
      <c r="M16" s="827" t="s">
        <v>2859</v>
      </c>
      <c r="O16" s="1300">
        <v>4049155811</v>
      </c>
      <c r="P16" s="1301"/>
    </row>
    <row r="17" spans="1:16" s="449" customFormat="1" ht="13.35" customHeight="1">
      <c r="B17" s="833"/>
      <c r="C17" s="455" t="s">
        <v>2572</v>
      </c>
      <c r="F17" s="1300">
        <v>4042702101</v>
      </c>
      <c r="G17" s="1305"/>
      <c r="H17" s="1301"/>
      <c r="I17" s="828" t="s">
        <v>2571</v>
      </c>
      <c r="J17" s="1306"/>
      <c r="K17" s="836" t="s">
        <v>2864</v>
      </c>
      <c r="L17" s="1292" t="s">
        <v>3986</v>
      </c>
      <c r="M17" s="1293"/>
      <c r="N17" s="1293"/>
      <c r="O17" s="1293"/>
      <c r="P17" s="1294"/>
    </row>
    <row r="18" spans="1:16" s="449" customFormat="1" ht="13.35" customHeight="1">
      <c r="A18" s="452"/>
      <c r="B18" s="454"/>
      <c r="C18" s="440" t="s">
        <v>919</v>
      </c>
      <c r="D18" s="454"/>
      <c r="G18" s="454"/>
      <c r="H18" s="454"/>
      <c r="I18" s="458"/>
    </row>
    <row r="19" spans="1:16" s="449" customFormat="1" ht="7.35" customHeight="1">
      <c r="A19" s="844"/>
      <c r="B19" s="844"/>
      <c r="C19" s="459"/>
      <c r="D19" s="833"/>
      <c r="E19" s="833"/>
      <c r="F19" s="833"/>
      <c r="H19" s="836"/>
      <c r="I19" s="833"/>
      <c r="J19" s="459"/>
      <c r="K19" s="833"/>
      <c r="P19" s="460"/>
    </row>
    <row r="20" spans="1:16" s="449" customFormat="1" ht="13.3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35" customHeight="1">
      <c r="A22" s="452"/>
      <c r="B22" s="452"/>
      <c r="C22" s="449" t="s">
        <v>874</v>
      </c>
      <c r="D22" s="461"/>
      <c r="F22" s="1307" t="s">
        <v>3987</v>
      </c>
      <c r="G22" s="1308"/>
      <c r="H22" s="1308"/>
      <c r="I22" s="1308"/>
      <c r="J22" s="1308"/>
      <c r="K22" s="1308"/>
      <c r="L22" s="1309"/>
      <c r="M22" s="827" t="s">
        <v>3087</v>
      </c>
      <c r="O22" s="1292" t="s">
        <v>3988</v>
      </c>
      <c r="P22" s="1294"/>
    </row>
    <row r="23" spans="1:16" s="449" customFormat="1" ht="13.35" customHeight="1">
      <c r="A23" s="462"/>
      <c r="B23" s="452"/>
      <c r="C23" s="449" t="s">
        <v>875</v>
      </c>
      <c r="D23" s="463"/>
      <c r="F23" s="1292" t="s">
        <v>3989</v>
      </c>
      <c r="G23" s="1293"/>
      <c r="H23" s="1293"/>
      <c r="I23" s="1293"/>
      <c r="J23" s="1293"/>
      <c r="K23" s="1293"/>
      <c r="L23" s="1294"/>
      <c r="M23" s="827" t="s">
        <v>2939</v>
      </c>
      <c r="O23" s="1292" t="s">
        <v>3975</v>
      </c>
      <c r="P23" s="1294"/>
    </row>
    <row r="24" spans="1:16" s="449" customFormat="1" ht="13.35" customHeight="1">
      <c r="A24" s="844"/>
      <c r="B24" s="452"/>
      <c r="C24" s="449" t="s">
        <v>876</v>
      </c>
      <c r="F24" s="1292" t="s">
        <v>235</v>
      </c>
      <c r="G24" s="1293"/>
      <c r="H24" s="1294"/>
      <c r="I24" s="836" t="s">
        <v>418</v>
      </c>
      <c r="J24" s="1303">
        <v>300303209</v>
      </c>
      <c r="K24" s="1304"/>
      <c r="L24" s="540" t="str">
        <f>IF(AND(NOT(F22=""),NOT(F24="Select from list"),J24=""),"Enter Zip!","")</f>
        <v/>
      </c>
      <c r="M24" s="827" t="s">
        <v>3197</v>
      </c>
      <c r="O24" s="1292"/>
      <c r="P24" s="1294"/>
    </row>
    <row r="25" spans="1:16" s="449" customFormat="1" ht="13.35" customHeight="1">
      <c r="A25" s="844"/>
      <c r="B25" s="452"/>
      <c r="C25" s="887" t="s">
        <v>2938</v>
      </c>
      <c r="D25" s="887"/>
      <c r="F25" s="1310" t="s">
        <v>3974</v>
      </c>
      <c r="I25" s="494" t="s">
        <v>877</v>
      </c>
      <c r="J25" s="1311" t="str">
        <f>IF($F$24="","",VLOOKUP($F$24,$N$181:$O$784,2,FALSE))</f>
        <v>DeKalb</v>
      </c>
      <c r="K25" s="1312"/>
      <c r="M25" s="465" t="s">
        <v>3212</v>
      </c>
      <c r="O25" s="1292">
        <v>225.30109999999999</v>
      </c>
      <c r="P25" s="1313"/>
    </row>
    <row r="26" spans="1:16" s="449" customFormat="1" ht="13.35" customHeight="1">
      <c r="A26" s="844"/>
      <c r="B26" s="452"/>
      <c r="C26" s="449" t="s">
        <v>2162</v>
      </c>
      <c r="F26" s="1314" t="s">
        <v>3975</v>
      </c>
      <c r="H26" s="457" t="s">
        <v>3655</v>
      </c>
      <c r="I26" s="682" t="str">
        <f>VLOOKUP($J$25,$C$181:$F$340,4)</f>
        <v>MSA</v>
      </c>
      <c r="J26" s="1315" t="str">
        <f>IF($F$24="","",VLOOKUP($J$25,$C$181:$H$340,3,FALSE))</f>
        <v>Atlanta-Sandy Springs-Marietta</v>
      </c>
      <c r="K26" s="1316"/>
      <c r="L26" s="1317"/>
      <c r="M26" s="827" t="s">
        <v>625</v>
      </c>
      <c r="N26" s="1318" t="s">
        <v>3975</v>
      </c>
      <c r="O26" s="457" t="s">
        <v>626</v>
      </c>
      <c r="P26" s="1318" t="s">
        <v>3975</v>
      </c>
    </row>
    <row r="27" spans="1:16" s="449" customFormat="1" ht="3" customHeight="1">
      <c r="A27" s="844"/>
      <c r="B27" s="452"/>
      <c r="C27" s="452"/>
      <c r="I27" s="455"/>
      <c r="J27" s="833"/>
      <c r="L27" s="843"/>
      <c r="M27" s="843"/>
      <c r="N27" s="843"/>
      <c r="O27" s="843"/>
      <c r="P27" s="843"/>
    </row>
    <row r="28" spans="1:16" s="449" customFormat="1" ht="13.35" customHeight="1">
      <c r="A28" s="844"/>
      <c r="B28" s="452"/>
      <c r="F28" s="897" t="s">
        <v>419</v>
      </c>
      <c r="G28" s="897"/>
      <c r="H28" s="896" t="s">
        <v>1132</v>
      </c>
      <c r="I28" s="896"/>
      <c r="J28" s="896" t="s">
        <v>1133</v>
      </c>
      <c r="K28" s="896"/>
      <c r="L28" s="459"/>
    </row>
    <row r="29" spans="1:16" s="449" customFormat="1" ht="13.35" customHeight="1">
      <c r="A29" s="844"/>
      <c r="B29" s="452"/>
      <c r="C29" s="449" t="s">
        <v>878</v>
      </c>
      <c r="D29" s="452"/>
      <c r="F29" s="1319">
        <v>4</v>
      </c>
      <c r="G29" s="1320"/>
      <c r="H29" s="1319">
        <v>42</v>
      </c>
      <c r="I29" s="1320"/>
      <c r="J29" s="1319">
        <v>85</v>
      </c>
      <c r="K29" s="1320"/>
    </row>
    <row r="30" spans="1:16" s="449" customFormat="1" ht="13.3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35" customHeight="1">
      <c r="A32" s="844"/>
      <c r="B32" s="844"/>
      <c r="C32" s="452" t="s">
        <v>896</v>
      </c>
      <c r="F32" s="1321" t="s">
        <v>3990</v>
      </c>
      <c r="G32" s="1322"/>
      <c r="H32" s="1322"/>
      <c r="I32" s="1322"/>
      <c r="J32" s="1322"/>
      <c r="K32" s="1323"/>
      <c r="L32" s="466"/>
      <c r="M32" s="466"/>
      <c r="N32" s="466"/>
    </row>
    <row r="33" spans="1:19" s="449" customFormat="1" ht="13.35" customHeight="1">
      <c r="A33" s="844"/>
      <c r="B33" s="844"/>
      <c r="C33" s="449" t="s">
        <v>897</v>
      </c>
      <c r="F33" s="1324" t="s">
        <v>3991</v>
      </c>
      <c r="G33" s="1325"/>
      <c r="H33" s="1325"/>
      <c r="I33" s="1325"/>
      <c r="J33" s="1326"/>
      <c r="K33" s="467" t="s">
        <v>2860</v>
      </c>
      <c r="L33" s="1321" t="s">
        <v>3992</v>
      </c>
      <c r="M33" s="1322"/>
      <c r="N33" s="1323"/>
    </row>
    <row r="34" spans="1:19" s="449" customFormat="1" ht="13.35" customHeight="1">
      <c r="A34" s="844"/>
      <c r="B34" s="844"/>
      <c r="C34" s="449" t="s">
        <v>2861</v>
      </c>
      <c r="F34" s="1321" t="s">
        <v>3993</v>
      </c>
      <c r="G34" s="1322"/>
      <c r="H34" s="1322"/>
      <c r="I34" s="1322"/>
      <c r="J34" s="1323"/>
      <c r="K34" s="468" t="s">
        <v>876</v>
      </c>
      <c r="L34" s="1292" t="s">
        <v>235</v>
      </c>
      <c r="M34" s="1293"/>
      <c r="N34" s="1294"/>
    </row>
    <row r="35" spans="1:19" s="449" customFormat="1" ht="13.35" customHeight="1">
      <c r="A35" s="844"/>
      <c r="B35" s="844"/>
      <c r="C35" s="827" t="s">
        <v>3138</v>
      </c>
      <c r="F35" s="1327">
        <v>300300220</v>
      </c>
      <c r="G35" s="1328"/>
      <c r="H35" s="828" t="s">
        <v>2862</v>
      </c>
      <c r="I35" s="1329">
        <v>4043704100</v>
      </c>
      <c r="J35" s="1330"/>
      <c r="K35" s="1331"/>
      <c r="L35" s="828" t="s">
        <v>2658</v>
      </c>
      <c r="M35" s="1329">
        <v>4043702678</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3661</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2863</v>
      </c>
      <c r="C39" s="452" t="s">
        <v>3214</v>
      </c>
      <c r="F39" s="1306" t="s">
        <v>3975</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35" customHeight="1">
      <c r="A41" s="844"/>
      <c r="B41" s="844" t="s">
        <v>2866</v>
      </c>
      <c r="C41" s="452" t="s">
        <v>996</v>
      </c>
      <c r="J41" s="593" t="s">
        <v>1845</v>
      </c>
      <c r="K41" s="594"/>
      <c r="L41" s="906" t="s">
        <v>1840</v>
      </c>
      <c r="M41" s="906"/>
      <c r="N41" s="906"/>
      <c r="O41" s="906"/>
      <c r="P41" s="907"/>
      <c r="Q41" s="836"/>
    </row>
    <row r="42" spans="1:19" ht="13.35" customHeight="1">
      <c r="B42" s="844"/>
      <c r="C42" s="449" t="s">
        <v>3213</v>
      </c>
      <c r="D42" s="449"/>
      <c r="E42" s="449"/>
      <c r="F42" s="473">
        <f>'Part VI-Revenues &amp; Expenses'!$M$74</f>
        <v>71</v>
      </c>
      <c r="J42" s="397"/>
      <c r="L42" s="449"/>
      <c r="Q42" s="836"/>
    </row>
    <row r="43" spans="1:19" s="449" customFormat="1" ht="13.35" customHeight="1">
      <c r="A43" s="844"/>
      <c r="B43" s="844"/>
      <c r="C43" s="455" t="s">
        <v>439</v>
      </c>
      <c r="D43" s="833"/>
      <c r="F43" s="473">
        <f>'Part VI-Revenues &amp; Expenses'!$M$81</f>
        <v>0</v>
      </c>
      <c r="Q43" s="836"/>
    </row>
    <row r="44" spans="1:19" s="449" customFormat="1" ht="13.35" customHeight="1">
      <c r="A44" s="844"/>
      <c r="B44" s="844"/>
      <c r="C44" s="455" t="s">
        <v>415</v>
      </c>
      <c r="D44" s="833"/>
      <c r="F44" s="473">
        <f>'Part VI-Revenues &amp; Expenses'!$M$77</f>
        <v>0</v>
      </c>
      <c r="G44" s="449" t="s">
        <v>417</v>
      </c>
      <c r="L44" s="1332"/>
      <c r="M44" s="472"/>
      <c r="N44" s="472"/>
      <c r="O44" s="472"/>
      <c r="P44" s="472"/>
      <c r="Q44" s="836"/>
    </row>
    <row r="45" spans="1:19" s="449" customFormat="1" ht="13.35" customHeight="1">
      <c r="A45" s="844"/>
      <c r="B45" s="844"/>
      <c r="C45" s="474" t="s">
        <v>416</v>
      </c>
      <c r="F45" s="473">
        <f>'Part VI-Revenues &amp; Expenses'!$M$80</f>
        <v>0</v>
      </c>
      <c r="L45" s="472"/>
    </row>
    <row r="46" spans="1:19" s="449" customFormat="1" ht="13.35" customHeight="1">
      <c r="A46" s="844"/>
      <c r="B46" s="844"/>
      <c r="C46" s="474" t="s">
        <v>440</v>
      </c>
      <c r="F46" s="473">
        <f>'Part VI-Revenues &amp; Expenses'!$M$82</f>
        <v>0</v>
      </c>
      <c r="P46" s="833"/>
    </row>
    <row r="47" spans="1:19" s="449" customFormat="1" ht="3.6" customHeight="1">
      <c r="A47" s="844"/>
      <c r="P47" s="833"/>
    </row>
    <row r="48" spans="1:19" s="449" customFormat="1" ht="13.35" customHeight="1">
      <c r="A48" s="844"/>
      <c r="B48" s="462" t="s">
        <v>1145</v>
      </c>
      <c r="C48" s="461" t="s">
        <v>3190</v>
      </c>
      <c r="D48" s="833"/>
      <c r="I48" s="903" t="s">
        <v>1993</v>
      </c>
      <c r="J48" s="462" t="s">
        <v>3005</v>
      </c>
      <c r="K48" s="475" t="s">
        <v>3220</v>
      </c>
      <c r="M48" s="833"/>
      <c r="N48" s="833"/>
      <c r="O48" s="833"/>
      <c r="P48" s="836"/>
      <c r="Q48" s="836"/>
      <c r="R48" s="836"/>
      <c r="S48" s="833"/>
    </row>
    <row r="49" spans="1:16" s="449" customFormat="1" ht="13.35" customHeight="1">
      <c r="A49" s="844"/>
      <c r="B49" s="829"/>
      <c r="C49" s="459" t="s">
        <v>3191</v>
      </c>
      <c r="D49" s="833"/>
      <c r="E49" s="833"/>
      <c r="H49" s="476">
        <f>SUM(H50:H51)</f>
        <v>71</v>
      </c>
      <c r="I49" s="904"/>
      <c r="J49" s="844"/>
      <c r="K49" s="459" t="s">
        <v>3221</v>
      </c>
      <c r="M49" s="833"/>
      <c r="N49" s="833"/>
      <c r="O49" s="833"/>
      <c r="P49" s="476">
        <f>'Part VI-Revenues &amp; Expenses'!$M$96</f>
        <v>75576</v>
      </c>
    </row>
    <row r="50" spans="1:16" s="449" customFormat="1" ht="13.35" customHeight="1">
      <c r="A50" s="844"/>
      <c r="B50" s="472"/>
      <c r="D50" s="477" t="s">
        <v>459</v>
      </c>
      <c r="E50" s="477"/>
      <c r="H50" s="476">
        <f>'Part VI-Revenues &amp; Expenses'!$M$57</f>
        <v>11</v>
      </c>
      <c r="I50" s="476">
        <f>'Part VI-Revenues &amp; Expenses'!$M$65</f>
        <v>0</v>
      </c>
      <c r="K50" s="459" t="s">
        <v>306</v>
      </c>
      <c r="M50" s="833"/>
      <c r="N50" s="833"/>
      <c r="O50" s="833"/>
      <c r="P50" s="476">
        <f>'Part VI-Revenues &amp; Expenses'!$M$97</f>
        <v>0</v>
      </c>
    </row>
    <row r="51" spans="1:16" s="449" customFormat="1" ht="13.35" customHeight="1">
      <c r="A51" s="844"/>
      <c r="D51" s="477" t="s">
        <v>2686</v>
      </c>
      <c r="E51" s="477"/>
      <c r="H51" s="476">
        <f>'Part VI-Revenues &amp; Expenses'!$M$56</f>
        <v>60</v>
      </c>
      <c r="I51" s="476">
        <f>'Part VI-Revenues &amp; Expenses'!$M$64</f>
        <v>0</v>
      </c>
      <c r="K51" s="459" t="s">
        <v>3222</v>
      </c>
      <c r="M51" s="833"/>
      <c r="N51" s="833"/>
      <c r="O51" s="833"/>
      <c r="P51" s="476">
        <f>+P49+P50</f>
        <v>75576</v>
      </c>
    </row>
    <row r="52" spans="1:16" s="449" customFormat="1" ht="13.3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35" customHeight="1">
      <c r="A53" s="844"/>
      <c r="C53" s="459" t="s">
        <v>3389</v>
      </c>
      <c r="D53" s="833"/>
      <c r="E53" s="833"/>
      <c r="H53" s="476">
        <f>+H49+H52</f>
        <v>71</v>
      </c>
      <c r="J53" s="844"/>
      <c r="K53" s="459" t="s">
        <v>1995</v>
      </c>
      <c r="M53" s="833"/>
      <c r="N53" s="833"/>
      <c r="O53" s="833"/>
      <c r="P53" s="476">
        <f>+P51+P52</f>
        <v>75576</v>
      </c>
    </row>
    <row r="54" spans="1:16" s="449" customFormat="1" ht="13.35" customHeight="1">
      <c r="A54" s="844"/>
      <c r="C54" s="459" t="s">
        <v>3390</v>
      </c>
      <c r="D54" s="833"/>
      <c r="E54" s="833"/>
      <c r="H54" s="476">
        <f>'Part VI-Revenues &amp; Expenses'!$M$61</f>
        <v>0</v>
      </c>
      <c r="J54" s="844"/>
    </row>
    <row r="55" spans="1:16" s="449" customFormat="1" ht="13.35" customHeight="1">
      <c r="A55" s="844"/>
      <c r="C55" s="459" t="s">
        <v>2649</v>
      </c>
      <c r="D55" s="833"/>
      <c r="E55" s="833"/>
      <c r="H55" s="476">
        <f>+H53+H54</f>
        <v>71</v>
      </c>
      <c r="J55" s="833"/>
    </row>
    <row r="56" spans="1:16" s="449" customFormat="1" ht="3" customHeight="1">
      <c r="A56" s="844"/>
      <c r="I56" s="836"/>
      <c r="L56" s="836"/>
      <c r="M56" s="836"/>
      <c r="N56" s="833"/>
      <c r="P56" s="460"/>
    </row>
    <row r="57" spans="1:16" s="449" customFormat="1" ht="13.35" customHeight="1">
      <c r="A57" s="844"/>
      <c r="B57" s="844" t="s">
        <v>2588</v>
      </c>
      <c r="C57" s="461" t="s">
        <v>3215</v>
      </c>
      <c r="D57" s="477" t="s">
        <v>2877</v>
      </c>
      <c r="G57" s="833"/>
      <c r="H57" s="1333">
        <v>9</v>
      </c>
      <c r="K57" s="459" t="s">
        <v>1641</v>
      </c>
      <c r="O57" s="833"/>
      <c r="P57" s="1333"/>
    </row>
    <row r="58" spans="1:16" s="449" customFormat="1" ht="13.35" customHeight="1">
      <c r="A58" s="844"/>
      <c r="B58" s="844"/>
      <c r="D58" s="829" t="s">
        <v>2878</v>
      </c>
      <c r="H58" s="1333"/>
      <c r="I58" s="833"/>
      <c r="K58" s="459" t="s">
        <v>305</v>
      </c>
      <c r="O58" s="833"/>
      <c r="P58" s="476">
        <f>+P53+P57</f>
        <v>75576</v>
      </c>
    </row>
    <row r="59" spans="1:16" s="449" customFormat="1" ht="13.35" customHeight="1">
      <c r="A59" s="844"/>
      <c r="B59" s="844"/>
      <c r="D59" s="829" t="s">
        <v>2879</v>
      </c>
      <c r="H59" s="476">
        <f>+H57+H58</f>
        <v>9</v>
      </c>
      <c r="I59" s="833"/>
    </row>
    <row r="60" spans="1:16" s="449" customFormat="1" ht="3" customHeight="1">
      <c r="A60" s="844"/>
      <c r="B60" s="844"/>
      <c r="C60" s="833"/>
      <c r="D60" s="833"/>
      <c r="E60" s="833"/>
      <c r="F60" s="833"/>
      <c r="G60" s="836"/>
      <c r="I60" s="459"/>
      <c r="J60" s="833"/>
      <c r="P60" s="460"/>
    </row>
    <row r="61" spans="1:16" s="449" customFormat="1" ht="13.35" customHeight="1">
      <c r="A61" s="844"/>
      <c r="B61" s="844" t="s">
        <v>2589</v>
      </c>
      <c r="C61" s="461" t="s">
        <v>997</v>
      </c>
      <c r="D61" s="833"/>
      <c r="E61" s="833"/>
      <c r="F61" s="833"/>
      <c r="G61" s="833"/>
      <c r="H61" s="1333"/>
    </row>
    <row r="62" spans="1:16" s="449" customFormat="1" ht="9" customHeight="1">
      <c r="A62" s="844"/>
      <c r="B62" s="844"/>
      <c r="C62" s="459"/>
      <c r="D62" s="833"/>
      <c r="E62" s="833"/>
      <c r="F62" s="833"/>
      <c r="G62" s="836"/>
      <c r="H62" s="833"/>
      <c r="I62" s="459"/>
      <c r="J62" s="459"/>
      <c r="K62" s="833"/>
      <c r="P62" s="460"/>
    </row>
    <row r="63" spans="1:16" s="449" customFormat="1" ht="13.3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35" customHeight="1">
      <c r="A65" s="844"/>
      <c r="B65" s="844" t="s">
        <v>2863</v>
      </c>
      <c r="C65" s="394" t="s">
        <v>3963</v>
      </c>
      <c r="D65" s="830"/>
      <c r="E65" s="830"/>
      <c r="F65" s="833"/>
      <c r="G65" s="836"/>
      <c r="H65" s="1334" t="s">
        <v>3995</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35" customHeight="1">
      <c r="A67" s="844"/>
      <c r="B67" s="844" t="s">
        <v>2866</v>
      </c>
      <c r="C67" s="461" t="s">
        <v>1985</v>
      </c>
      <c r="D67" s="833"/>
      <c r="E67" s="477"/>
      <c r="G67" s="479" t="s">
        <v>1282</v>
      </c>
      <c r="H67" s="1333">
        <v>4</v>
      </c>
      <c r="K67" s="887" t="s">
        <v>755</v>
      </c>
      <c r="L67" s="887"/>
      <c r="P67" s="480">
        <f>IF('Part VI-Revenues &amp; Expenses'!$M$62=0,0,$H67/'Part VI-Revenues &amp; Expenses'!$M$62)</f>
        <v>5.6338028169014086E-2</v>
      </c>
    </row>
    <row r="68" spans="1:16" s="449" customFormat="1" ht="3" customHeight="1">
      <c r="A68" s="844"/>
      <c r="B68" s="844"/>
      <c r="D68" s="829"/>
      <c r="E68" s="829"/>
      <c r="F68" s="829"/>
      <c r="G68" s="829"/>
      <c r="I68" s="836"/>
      <c r="K68" s="827"/>
      <c r="L68" s="827"/>
      <c r="M68" s="836"/>
      <c r="P68" s="836"/>
    </row>
    <row r="69" spans="1:16" s="449" customFormat="1" ht="13.35" customHeight="1">
      <c r="A69" s="844"/>
      <c r="B69" s="844" t="s">
        <v>1145</v>
      </c>
      <c r="C69" s="461" t="s">
        <v>2712</v>
      </c>
      <c r="D69" s="477"/>
      <c r="E69" s="477"/>
      <c r="G69" s="479" t="s">
        <v>1282</v>
      </c>
      <c r="H69" s="1333">
        <v>2</v>
      </c>
      <c r="K69" s="887" t="s">
        <v>755</v>
      </c>
      <c r="L69" s="887"/>
      <c r="P69" s="480">
        <f>IF('Part VI-Revenues &amp; Expenses'!$M$62=0,0,$H69/'Part VI-Revenues &amp; Expenses'!$M$62)</f>
        <v>2.8169014084507043E-2</v>
      </c>
    </row>
    <row r="70" spans="1:16" s="449" customFormat="1" ht="3" customHeight="1">
      <c r="A70" s="844"/>
      <c r="B70" s="844"/>
      <c r="D70" s="829"/>
      <c r="E70" s="829"/>
      <c r="F70" s="829"/>
      <c r="G70" s="829"/>
      <c r="I70" s="836"/>
      <c r="K70" s="827"/>
      <c r="L70" s="827"/>
      <c r="M70" s="836"/>
      <c r="P70" s="836"/>
    </row>
    <row r="71" spans="1:16" s="449" customFormat="1" ht="13.35" customHeight="1">
      <c r="A71" s="844"/>
      <c r="B71" s="844" t="s">
        <v>3005</v>
      </c>
      <c r="C71" s="461" t="s">
        <v>1847</v>
      </c>
      <c r="D71" s="477"/>
      <c r="E71" s="477"/>
      <c r="G71" s="479" t="s">
        <v>1848</v>
      </c>
      <c r="H71" s="1333">
        <v>0</v>
      </c>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3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35" customHeight="1">
      <c r="A75" s="844"/>
      <c r="B75" s="844" t="s">
        <v>2863</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35" customHeight="1">
      <c r="B77" s="844" t="s">
        <v>2866</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35" customHeight="1">
      <c r="A79" s="481" t="s">
        <v>359</v>
      </c>
      <c r="B79" s="844"/>
      <c r="C79" s="830" t="s">
        <v>2927</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35" customHeight="1">
      <c r="B81" s="844"/>
      <c r="C81" s="452"/>
      <c r="E81" s="1306" t="s">
        <v>3974</v>
      </c>
      <c r="F81" s="477" t="s">
        <v>3638</v>
      </c>
      <c r="H81" s="1306" t="s">
        <v>3975</v>
      </c>
      <c r="I81" s="827" t="s">
        <v>3637</v>
      </c>
      <c r="K81" s="1306" t="s">
        <v>3975</v>
      </c>
      <c r="L81" s="449" t="s">
        <v>339</v>
      </c>
    </row>
    <row r="82" spans="1:16" s="449" customFormat="1" ht="13.35" customHeight="1">
      <c r="A82" s="844"/>
      <c r="B82" s="844"/>
      <c r="D82" s="470"/>
      <c r="E82" s="1306" t="s">
        <v>3974</v>
      </c>
      <c r="F82" s="827" t="s">
        <v>611</v>
      </c>
      <c r="H82" s="1306" t="s">
        <v>3975</v>
      </c>
      <c r="I82" s="829" t="s">
        <v>3025</v>
      </c>
    </row>
    <row r="83" spans="1:16" s="449" customFormat="1" ht="9" customHeight="1">
      <c r="A83" s="844"/>
      <c r="B83" s="844"/>
      <c r="D83" s="470"/>
      <c r="E83" s="833"/>
      <c r="I83" s="470"/>
      <c r="J83" s="459"/>
      <c r="K83" s="833"/>
      <c r="P83" s="460"/>
    </row>
    <row r="84" spans="1:16" s="449" customFormat="1" ht="13.3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3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35" customHeight="1">
      <c r="C87" s="455" t="s">
        <v>1527</v>
      </c>
      <c r="D87" s="463"/>
      <c r="E87" s="1292"/>
      <c r="F87" s="1293"/>
      <c r="G87" s="1293"/>
      <c r="H87" s="1293"/>
      <c r="I87" s="1293"/>
      <c r="J87" s="1293"/>
      <c r="K87" s="1293"/>
      <c r="L87" s="1294"/>
      <c r="M87" s="905" t="s">
        <v>1294</v>
      </c>
      <c r="N87" s="905"/>
      <c r="O87" s="1307"/>
      <c r="P87" s="1309"/>
    </row>
    <row r="88" spans="1:16" s="449" customFormat="1" ht="13.35" customHeight="1">
      <c r="C88" s="455" t="s">
        <v>876</v>
      </c>
      <c r="E88" s="1292"/>
      <c r="F88" s="1341"/>
      <c r="G88" s="1342"/>
      <c r="H88" s="828" t="s">
        <v>2655</v>
      </c>
      <c r="I88" s="1306"/>
      <c r="J88" s="483" t="s">
        <v>3138</v>
      </c>
      <c r="K88" s="1303"/>
      <c r="L88" s="1342"/>
      <c r="M88" s="416"/>
      <c r="N88" s="416"/>
      <c r="O88" s="416"/>
      <c r="P88" s="416"/>
    </row>
    <row r="89" spans="1:16" s="449" customFormat="1" ht="13.35" customHeight="1">
      <c r="C89" s="449" t="s">
        <v>3089</v>
      </c>
      <c r="E89" s="1292"/>
      <c r="F89" s="1341"/>
      <c r="G89" s="1342"/>
      <c r="H89" s="836" t="s">
        <v>2860</v>
      </c>
      <c r="I89" s="1292"/>
      <c r="J89" s="1341"/>
      <c r="K89" s="1342"/>
      <c r="L89" s="846" t="s">
        <v>2864</v>
      </c>
      <c r="M89" s="1292"/>
      <c r="N89" s="1341"/>
      <c r="O89" s="1341"/>
      <c r="P89" s="1342"/>
    </row>
    <row r="90" spans="1:16" s="449" customFormat="1" ht="13.35" customHeight="1">
      <c r="C90" s="455" t="s">
        <v>3088</v>
      </c>
      <c r="E90" s="1300"/>
      <c r="F90" s="1305"/>
      <c r="G90" s="1301"/>
      <c r="H90" s="836" t="s">
        <v>2658</v>
      </c>
      <c r="I90" s="1329"/>
      <c r="J90" s="1342"/>
      <c r="K90" s="483" t="s">
        <v>2659</v>
      </c>
      <c r="L90" s="1329"/>
      <c r="M90" s="1342"/>
      <c r="N90" s="483" t="s">
        <v>2859</v>
      </c>
      <c r="O90" s="1329"/>
      <c r="P90" s="1342"/>
    </row>
    <row r="91" spans="1:16" s="449" customFormat="1" ht="3" customHeight="1">
      <c r="A91" s="844"/>
      <c r="B91" s="844"/>
      <c r="G91" s="470"/>
      <c r="H91" s="836"/>
      <c r="I91" s="836"/>
      <c r="M91" s="460"/>
    </row>
    <row r="92" spans="1:16" s="449" customFormat="1" ht="13.3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35" customHeight="1">
      <c r="C94" s="477" t="s">
        <v>3045</v>
      </c>
      <c r="D94" s="484"/>
      <c r="E94" s="484"/>
      <c r="F94" s="484"/>
      <c r="G94" s="484"/>
      <c r="H94" s="484"/>
      <c r="I94" s="484"/>
      <c r="J94" s="484"/>
      <c r="K94" s="484"/>
      <c r="L94" s="484"/>
      <c r="M94" s="484"/>
      <c r="N94" s="484"/>
      <c r="O94" s="484"/>
      <c r="P94" s="484"/>
    </row>
    <row r="95" spans="1:16" s="449" customFormat="1" ht="5.0999999999999996" customHeight="1">
      <c r="A95" s="844"/>
      <c r="B95" s="844"/>
      <c r="C95" s="485"/>
      <c r="D95" s="485"/>
      <c r="E95" s="485"/>
      <c r="F95" s="485"/>
      <c r="G95" s="485"/>
      <c r="H95" s="485"/>
      <c r="I95" s="485"/>
      <c r="J95" s="485"/>
      <c r="K95" s="485"/>
      <c r="L95" s="485"/>
      <c r="M95" s="485"/>
      <c r="N95" s="485"/>
      <c r="O95" s="485"/>
      <c r="P95" s="485"/>
    </row>
    <row r="96" spans="1:16" s="449" customFormat="1" ht="13.35" customHeight="1">
      <c r="A96" s="844"/>
      <c r="B96" s="844" t="s">
        <v>2863</v>
      </c>
      <c r="C96" s="830" t="s">
        <v>1986</v>
      </c>
      <c r="D96" s="829"/>
      <c r="E96" s="829"/>
      <c r="F96" s="836"/>
      <c r="G96" s="836"/>
      <c r="H96" s="1343">
        <v>1</v>
      </c>
      <c r="N96" s="833"/>
      <c r="O96" s="833"/>
    </row>
    <row r="97" spans="1:16" s="449" customFormat="1" ht="3.6" customHeight="1">
      <c r="A97" s="844"/>
      <c r="B97" s="844"/>
      <c r="C97" s="485"/>
      <c r="D97" s="485"/>
      <c r="E97" s="485"/>
      <c r="F97" s="485"/>
      <c r="G97" s="485"/>
      <c r="H97" s="485"/>
      <c r="J97" s="485"/>
      <c r="M97" s="485"/>
      <c r="N97" s="485"/>
      <c r="O97" s="485"/>
    </row>
    <row r="98" spans="1:16" s="449" customFormat="1" ht="13.35" customHeight="1">
      <c r="A98" s="844"/>
      <c r="B98" s="844" t="s">
        <v>2866</v>
      </c>
      <c r="C98" s="830" t="s">
        <v>493</v>
      </c>
      <c r="D98" s="829"/>
      <c r="E98" s="829"/>
      <c r="F98" s="836"/>
      <c r="G98" s="836"/>
      <c r="H98" s="1344">
        <f>J6</f>
        <v>709410.55779100012</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35" customHeight="1">
      <c r="B100" s="844" t="s">
        <v>1145</v>
      </c>
      <c r="C100" s="830" t="s">
        <v>369</v>
      </c>
      <c r="D100" s="829"/>
      <c r="E100" s="829"/>
      <c r="F100" s="836"/>
      <c r="G100" s="836"/>
      <c r="H100" s="836"/>
      <c r="I100" s="836"/>
      <c r="J100" s="470"/>
      <c r="K100" s="836"/>
      <c r="L100" s="836"/>
      <c r="N100" s="833"/>
      <c r="O100" s="833"/>
    </row>
    <row r="101" spans="1:16" s="449" customFormat="1" ht="13.35" customHeight="1">
      <c r="B101" s="844"/>
      <c r="C101" s="829" t="s">
        <v>3026</v>
      </c>
      <c r="D101" s="829"/>
      <c r="F101" s="829" t="s">
        <v>1652</v>
      </c>
      <c r="G101" s="836"/>
      <c r="H101" s="836"/>
      <c r="I101" s="836"/>
      <c r="J101" s="829" t="s">
        <v>3026</v>
      </c>
      <c r="K101" s="829"/>
      <c r="M101" s="829" t="s">
        <v>1652</v>
      </c>
      <c r="N101" s="836"/>
      <c r="O101" s="836"/>
      <c r="P101" s="836"/>
    </row>
    <row r="102" spans="1:16" s="449" customFormat="1" ht="13.35" customHeight="1">
      <c r="A102" s="844"/>
      <c r="B102" s="844"/>
      <c r="C102" s="1345" t="s">
        <v>3996</v>
      </c>
      <c r="D102" s="1346"/>
      <c r="E102" s="1346"/>
      <c r="F102" s="1346" t="s">
        <v>3997</v>
      </c>
      <c r="G102" s="1346"/>
      <c r="H102" s="1346"/>
      <c r="I102" s="1347"/>
      <c r="J102" s="1345">
        <v>8</v>
      </c>
      <c r="K102" s="1346"/>
      <c r="L102" s="1346"/>
      <c r="M102" s="1346"/>
      <c r="N102" s="1346"/>
      <c r="O102" s="1346"/>
      <c r="P102" s="1347"/>
    </row>
    <row r="103" spans="1:16" s="449" customFormat="1" ht="13.35" customHeight="1">
      <c r="A103" s="844"/>
      <c r="B103" s="844"/>
      <c r="C103" s="1348" t="s">
        <v>3996</v>
      </c>
      <c r="D103" s="1349"/>
      <c r="E103" s="1350"/>
      <c r="F103" s="1351" t="s">
        <v>3998</v>
      </c>
      <c r="G103" s="1349"/>
      <c r="H103" s="1349"/>
      <c r="I103" s="1352"/>
      <c r="J103" s="1353">
        <v>9</v>
      </c>
      <c r="K103" s="1354"/>
      <c r="L103" s="1354"/>
      <c r="M103" s="1354"/>
      <c r="N103" s="1354"/>
      <c r="O103" s="1354"/>
      <c r="P103" s="1355"/>
    </row>
    <row r="104" spans="1:16" s="449" customFormat="1" ht="13.35" customHeight="1">
      <c r="A104" s="844"/>
      <c r="B104" s="844"/>
      <c r="C104" s="1353">
        <v>3</v>
      </c>
      <c r="D104" s="1354"/>
      <c r="E104" s="1354"/>
      <c r="F104" s="1354"/>
      <c r="G104" s="1354"/>
      <c r="H104" s="1354"/>
      <c r="I104" s="1355"/>
      <c r="J104" s="1353">
        <v>10</v>
      </c>
      <c r="K104" s="1354"/>
      <c r="L104" s="1354"/>
      <c r="M104" s="1354"/>
      <c r="N104" s="1354"/>
      <c r="O104" s="1354"/>
      <c r="P104" s="1355"/>
    </row>
    <row r="105" spans="1:16" s="449" customFormat="1" ht="13.35" customHeight="1">
      <c r="A105" s="844"/>
      <c r="B105" s="844"/>
      <c r="C105" s="1353">
        <v>4</v>
      </c>
      <c r="D105" s="1354"/>
      <c r="E105" s="1354"/>
      <c r="F105" s="1354"/>
      <c r="G105" s="1354"/>
      <c r="H105" s="1354"/>
      <c r="I105" s="1355"/>
      <c r="J105" s="1353">
        <v>11</v>
      </c>
      <c r="K105" s="1354"/>
      <c r="L105" s="1354"/>
      <c r="M105" s="1354"/>
      <c r="N105" s="1354"/>
      <c r="O105" s="1354"/>
      <c r="P105" s="1355"/>
    </row>
    <row r="106" spans="1:16" s="449" customFormat="1" ht="13.35" customHeight="1">
      <c r="A106" s="844"/>
      <c r="B106" s="844"/>
      <c r="C106" s="1353">
        <v>5</v>
      </c>
      <c r="D106" s="1354"/>
      <c r="E106" s="1354"/>
      <c r="F106" s="1354"/>
      <c r="G106" s="1354"/>
      <c r="H106" s="1354"/>
      <c r="I106" s="1355"/>
      <c r="J106" s="1353">
        <v>12</v>
      </c>
      <c r="K106" s="1354"/>
      <c r="L106" s="1354"/>
      <c r="M106" s="1354"/>
      <c r="N106" s="1354"/>
      <c r="O106" s="1354"/>
      <c r="P106" s="1355"/>
    </row>
    <row r="107" spans="1:16" s="449" customFormat="1" ht="13.35" customHeight="1">
      <c r="A107" s="844"/>
      <c r="B107" s="844"/>
      <c r="C107" s="1353">
        <v>6</v>
      </c>
      <c r="D107" s="1354"/>
      <c r="E107" s="1354"/>
      <c r="F107" s="1354"/>
      <c r="G107" s="1354"/>
      <c r="H107" s="1354"/>
      <c r="I107" s="1355"/>
      <c r="J107" s="1353">
        <v>13</v>
      </c>
      <c r="K107" s="1354"/>
      <c r="L107" s="1354"/>
      <c r="M107" s="1354"/>
      <c r="N107" s="1354"/>
      <c r="O107" s="1354"/>
      <c r="P107" s="1355"/>
    </row>
    <row r="108" spans="1:16" s="449" customFormat="1" ht="13.35" customHeight="1">
      <c r="A108" s="844"/>
      <c r="B108" s="844"/>
      <c r="C108" s="1356">
        <v>7</v>
      </c>
      <c r="D108" s="1357"/>
      <c r="E108" s="1357"/>
      <c r="F108" s="1357"/>
      <c r="G108" s="1357"/>
      <c r="H108" s="1357"/>
      <c r="I108" s="1358"/>
      <c r="J108" s="1356">
        <v>14</v>
      </c>
      <c r="K108" s="1357"/>
      <c r="L108" s="1357"/>
      <c r="M108" s="1357"/>
      <c r="N108" s="1357"/>
      <c r="O108" s="1357"/>
      <c r="P108" s="1358"/>
    </row>
    <row r="109" spans="1:16" s="449" customFormat="1" ht="5.0999999999999996" customHeight="1">
      <c r="A109" s="844"/>
      <c r="B109" s="844"/>
      <c r="C109" s="485"/>
      <c r="D109" s="485"/>
      <c r="E109" s="485"/>
      <c r="F109" s="485"/>
      <c r="G109" s="485"/>
      <c r="H109" s="485"/>
      <c r="I109" s="485"/>
      <c r="J109" s="485"/>
      <c r="K109" s="485"/>
      <c r="L109" s="485"/>
      <c r="M109" s="485"/>
      <c r="N109" s="485"/>
      <c r="O109" s="485"/>
      <c r="P109" s="485"/>
    </row>
    <row r="110" spans="1:16" s="449" customFormat="1" ht="13.35" customHeight="1">
      <c r="A110" s="844"/>
      <c r="B110" s="844" t="s">
        <v>3005</v>
      </c>
      <c r="C110" s="914" t="s">
        <v>2719</v>
      </c>
      <c r="D110" s="914"/>
      <c r="E110" s="914"/>
      <c r="F110" s="914"/>
      <c r="G110" s="914"/>
      <c r="H110" s="914"/>
      <c r="I110" s="914"/>
      <c r="J110" s="914"/>
      <c r="K110" s="914"/>
      <c r="L110" s="914"/>
      <c r="M110" s="914"/>
      <c r="N110" s="914"/>
      <c r="O110" s="914"/>
      <c r="P110" s="914"/>
    </row>
    <row r="111" spans="1:16" s="449" customFormat="1" ht="13.35" customHeight="1">
      <c r="A111" s="844"/>
      <c r="B111" s="844"/>
      <c r="C111" s="914"/>
      <c r="D111" s="914"/>
      <c r="E111" s="914"/>
      <c r="F111" s="914"/>
      <c r="G111" s="914"/>
      <c r="H111" s="914"/>
      <c r="I111" s="914"/>
      <c r="J111" s="914"/>
      <c r="K111" s="914"/>
      <c r="L111" s="914"/>
      <c r="M111" s="914"/>
      <c r="N111" s="914"/>
      <c r="O111" s="914"/>
      <c r="P111" s="914"/>
    </row>
    <row r="112" spans="1:16" s="449" customFormat="1" ht="13.35" customHeight="1">
      <c r="B112" s="844"/>
      <c r="C112" s="829" t="s">
        <v>3026</v>
      </c>
      <c r="D112" s="829"/>
      <c r="F112" s="829" t="s">
        <v>1652</v>
      </c>
      <c r="G112" s="836"/>
      <c r="H112" s="836"/>
      <c r="I112" s="836"/>
      <c r="J112" s="829" t="s">
        <v>3026</v>
      </c>
      <c r="K112" s="829"/>
      <c r="M112" s="829" t="s">
        <v>1652</v>
      </c>
      <c r="N112" s="836"/>
      <c r="O112" s="836"/>
      <c r="P112" s="836"/>
    </row>
    <row r="113" spans="1:16" s="449" customFormat="1" ht="13.3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35" customHeight="1">
      <c r="A114" s="844"/>
      <c r="B114" s="844"/>
      <c r="C114" s="1353">
        <v>2</v>
      </c>
      <c r="D114" s="1354"/>
      <c r="E114" s="1354"/>
      <c r="F114" s="1354"/>
      <c r="G114" s="1354"/>
      <c r="H114" s="1354"/>
      <c r="I114" s="1355"/>
      <c r="J114" s="1353">
        <v>9</v>
      </c>
      <c r="K114" s="1354"/>
      <c r="L114" s="1354"/>
      <c r="M114" s="1354"/>
      <c r="N114" s="1354"/>
      <c r="O114" s="1354"/>
      <c r="P114" s="1355"/>
    </row>
    <row r="115" spans="1:16" s="449" customFormat="1" ht="13.35" customHeight="1">
      <c r="A115" s="844"/>
      <c r="B115" s="844"/>
      <c r="C115" s="1353">
        <v>3</v>
      </c>
      <c r="D115" s="1354"/>
      <c r="E115" s="1354"/>
      <c r="F115" s="1354"/>
      <c r="G115" s="1354"/>
      <c r="H115" s="1354"/>
      <c r="I115" s="1355"/>
      <c r="J115" s="1353">
        <v>10</v>
      </c>
      <c r="K115" s="1354"/>
      <c r="L115" s="1354"/>
      <c r="M115" s="1354"/>
      <c r="N115" s="1354"/>
      <c r="O115" s="1354"/>
      <c r="P115" s="1355"/>
    </row>
    <row r="116" spans="1:16" s="449" customFormat="1" ht="13.35" customHeight="1">
      <c r="A116" s="844"/>
      <c r="B116" s="844"/>
      <c r="C116" s="1353">
        <v>4</v>
      </c>
      <c r="D116" s="1354"/>
      <c r="E116" s="1354"/>
      <c r="F116" s="1354"/>
      <c r="G116" s="1354"/>
      <c r="H116" s="1354"/>
      <c r="I116" s="1355"/>
      <c r="J116" s="1353">
        <v>11</v>
      </c>
      <c r="K116" s="1354"/>
      <c r="L116" s="1354"/>
      <c r="M116" s="1354"/>
      <c r="N116" s="1354"/>
      <c r="O116" s="1354"/>
      <c r="P116" s="1355"/>
    </row>
    <row r="117" spans="1:16" s="449" customFormat="1" ht="13.35" customHeight="1">
      <c r="A117" s="844"/>
      <c r="B117" s="844"/>
      <c r="C117" s="1353">
        <v>5</v>
      </c>
      <c r="D117" s="1354"/>
      <c r="E117" s="1354"/>
      <c r="F117" s="1354"/>
      <c r="G117" s="1354"/>
      <c r="H117" s="1354"/>
      <c r="I117" s="1355"/>
      <c r="J117" s="1353">
        <v>12</v>
      </c>
      <c r="K117" s="1354"/>
      <c r="L117" s="1354"/>
      <c r="M117" s="1354"/>
      <c r="N117" s="1354"/>
      <c r="O117" s="1354"/>
      <c r="P117" s="1355"/>
    </row>
    <row r="118" spans="1:16" s="449" customFormat="1" ht="13.35" customHeight="1">
      <c r="A118" s="844"/>
      <c r="B118" s="844"/>
      <c r="C118" s="1353">
        <v>6</v>
      </c>
      <c r="D118" s="1354"/>
      <c r="E118" s="1354"/>
      <c r="F118" s="1354"/>
      <c r="G118" s="1354"/>
      <c r="H118" s="1354"/>
      <c r="I118" s="1355"/>
      <c r="J118" s="1353">
        <v>13</v>
      </c>
      <c r="K118" s="1354"/>
      <c r="L118" s="1354"/>
      <c r="M118" s="1354"/>
      <c r="N118" s="1354"/>
      <c r="O118" s="1354"/>
      <c r="P118" s="1355"/>
    </row>
    <row r="119" spans="1:16" s="449" customFormat="1" ht="13.35" customHeight="1">
      <c r="A119" s="844"/>
      <c r="B119" s="844"/>
      <c r="C119" s="1356">
        <v>7</v>
      </c>
      <c r="D119" s="1357"/>
      <c r="E119" s="1357"/>
      <c r="F119" s="1357"/>
      <c r="G119" s="1357"/>
      <c r="H119" s="1357"/>
      <c r="I119" s="1358"/>
      <c r="J119" s="1356">
        <v>14</v>
      </c>
      <c r="K119" s="1357"/>
      <c r="L119" s="1357"/>
      <c r="M119" s="1357"/>
      <c r="N119" s="1357"/>
      <c r="O119" s="1357"/>
      <c r="P119" s="1358"/>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35" customHeight="1">
      <c r="A121" s="481" t="s">
        <v>436</v>
      </c>
      <c r="B121" s="844"/>
      <c r="C121" s="478" t="s">
        <v>3401</v>
      </c>
      <c r="D121" s="478"/>
      <c r="E121" s="478"/>
      <c r="F121" s="478"/>
      <c r="H121" s="1306" t="s">
        <v>3974</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35" customHeight="1">
      <c r="A123" s="844"/>
      <c r="B123" s="844" t="s">
        <v>2863</v>
      </c>
      <c r="C123" s="456" t="s">
        <v>2560</v>
      </c>
      <c r="H123" s="1306"/>
      <c r="M123" s="836"/>
      <c r="N123" s="833"/>
      <c r="O123" s="833"/>
      <c r="P123" s="460"/>
    </row>
    <row r="124" spans="1:16" s="449" customFormat="1" ht="13.35" customHeight="1">
      <c r="A124" s="844"/>
      <c r="B124" s="844"/>
      <c r="C124" s="829" t="s">
        <v>3403</v>
      </c>
      <c r="D124" s="829"/>
      <c r="E124" s="829"/>
      <c r="F124" s="836"/>
      <c r="H124" s="1359"/>
      <c r="N124" s="833"/>
      <c r="O124" s="833"/>
      <c r="P124" s="460"/>
    </row>
    <row r="125" spans="1:16" s="449" customFormat="1" ht="13.35" customHeight="1">
      <c r="A125" s="844"/>
      <c r="B125" s="844"/>
      <c r="C125" s="486" t="s">
        <v>2559</v>
      </c>
      <c r="D125" s="455"/>
      <c r="H125" s="1292"/>
      <c r="I125" s="1294"/>
      <c r="P125" s="460"/>
    </row>
    <row r="126" spans="1:16" s="449" customFormat="1" ht="13.35" customHeight="1">
      <c r="A126" s="844"/>
      <c r="B126" s="844"/>
      <c r="C126" s="829" t="s">
        <v>3404</v>
      </c>
      <c r="D126" s="829"/>
      <c r="E126" s="829"/>
      <c r="F126" s="836"/>
      <c r="H126" s="1359"/>
      <c r="K126" s="416" t="s">
        <v>3157</v>
      </c>
      <c r="O126" s="1292" t="s">
        <v>671</v>
      </c>
      <c r="P126" s="1294"/>
    </row>
    <row r="127" spans="1:16" s="449" customFormat="1" ht="13.35" customHeight="1">
      <c r="A127" s="844"/>
      <c r="B127" s="844"/>
      <c r="C127" s="829" t="s">
        <v>3402</v>
      </c>
      <c r="F127" s="836"/>
      <c r="H127" s="1343"/>
      <c r="K127" s="416" t="s">
        <v>3158</v>
      </c>
      <c r="O127" s="1292" t="s">
        <v>671</v>
      </c>
      <c r="P127" s="1294"/>
    </row>
    <row r="128" spans="1:16" s="449" customFormat="1" ht="13.3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35" customHeight="1">
      <c r="A130" s="844"/>
      <c r="B130" s="844" t="s">
        <v>2866</v>
      </c>
      <c r="C130" s="830" t="s">
        <v>3496</v>
      </c>
      <c r="D130" s="829"/>
      <c r="E130" s="829"/>
      <c r="F130" s="836"/>
      <c r="H130" s="1343" t="s">
        <v>3975</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35" customHeight="1">
      <c r="A132" s="844"/>
      <c r="B132" s="844" t="s">
        <v>1145</v>
      </c>
      <c r="C132" s="830" t="s">
        <v>904</v>
      </c>
      <c r="D132" s="829"/>
      <c r="E132" s="829"/>
      <c r="F132" s="836"/>
      <c r="G132" s="836"/>
      <c r="N132" s="833"/>
      <c r="O132" s="833"/>
      <c r="P132" s="460"/>
    </row>
    <row r="133" spans="1:16" s="449" customFormat="1" ht="13.35" customHeight="1">
      <c r="A133" s="844"/>
      <c r="B133" s="844"/>
      <c r="C133" s="829" t="s">
        <v>998</v>
      </c>
      <c r="D133" s="829"/>
      <c r="E133" s="829"/>
      <c r="F133" s="836"/>
      <c r="G133" s="836"/>
      <c r="H133" s="1343" t="s">
        <v>3975</v>
      </c>
      <c r="K133" s="829" t="s">
        <v>2136</v>
      </c>
      <c r="L133" s="829"/>
      <c r="M133" s="836"/>
      <c r="N133" s="836"/>
      <c r="O133" s="1343" t="s">
        <v>3974</v>
      </c>
      <c r="P133" s="460"/>
    </row>
    <row r="134" spans="1:16" s="449" customFormat="1" ht="13.35" customHeight="1">
      <c r="A134" s="844"/>
      <c r="B134" s="844"/>
      <c r="C134" s="829" t="s">
        <v>999</v>
      </c>
      <c r="D134" s="829"/>
      <c r="E134" s="829"/>
      <c r="F134" s="836"/>
      <c r="G134" s="836"/>
      <c r="H134" s="1343" t="s">
        <v>3975</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35" customHeight="1">
      <c r="A136" s="481" t="s">
        <v>437</v>
      </c>
      <c r="B136" s="844"/>
      <c r="C136" s="478" t="s">
        <v>1713</v>
      </c>
      <c r="D136" s="478"/>
      <c r="E136" s="478"/>
      <c r="F136" s="478"/>
      <c r="G136" s="836"/>
      <c r="H136" s="836"/>
      <c r="I136" s="836"/>
      <c r="J136" s="470"/>
      <c r="K136" s="836"/>
      <c r="L136" s="836"/>
      <c r="N136" s="833"/>
      <c r="O136" s="833"/>
      <c r="P136" s="460"/>
    </row>
    <row r="137" spans="1:16" s="449" customFormat="1" ht="2.1" customHeight="1">
      <c r="A137" s="481"/>
      <c r="B137" s="844"/>
      <c r="C137" s="830"/>
      <c r="D137" s="830"/>
      <c r="E137" s="830"/>
      <c r="F137" s="830"/>
      <c r="G137" s="836"/>
      <c r="H137" s="836"/>
      <c r="I137" s="836"/>
      <c r="J137" s="470"/>
      <c r="K137" s="836"/>
      <c r="L137" s="836"/>
      <c r="N137" s="833"/>
      <c r="O137" s="833"/>
    </row>
    <row r="138" spans="1:16" s="449" customFormat="1" ht="13.35" customHeight="1">
      <c r="A138" s="844"/>
      <c r="B138" s="844" t="s">
        <v>2863</v>
      </c>
      <c r="C138" s="469" t="s">
        <v>2687</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3974</v>
      </c>
      <c r="N139" s="833"/>
      <c r="O139" s="833"/>
      <c r="P139" s="460"/>
    </row>
    <row r="140" spans="1:16" s="449" customFormat="1" ht="12.6" customHeight="1">
      <c r="A140" s="844"/>
      <c r="B140" s="844"/>
      <c r="C140" s="449" t="s">
        <v>872</v>
      </c>
      <c r="K140" s="1333">
        <v>71</v>
      </c>
      <c r="L140" s="455" t="s">
        <v>2651</v>
      </c>
      <c r="P140" s="487">
        <f>IF('Part VI-Revenues &amp; Expenses'!$M$60=0,0,$K140/'Part VI-Revenues &amp; Expenses'!$M$60)</f>
        <v>1</v>
      </c>
    </row>
    <row r="141" spans="1:16" s="449" customFormat="1" ht="12.6" customHeight="1">
      <c r="A141" s="844"/>
      <c r="B141" s="844"/>
      <c r="C141" s="449" t="s">
        <v>3061</v>
      </c>
      <c r="K141" s="1333">
        <v>2500</v>
      </c>
      <c r="L141" s="455" t="s">
        <v>2651</v>
      </c>
      <c r="P141" s="487">
        <f>IF('Part VI-Revenues &amp; Expenses'!$M$60=0,0,$K141/'Part VI-Revenues &amp; Expenses'!$M$60)</f>
        <v>35.2112676056338</v>
      </c>
    </row>
    <row r="142" spans="1:16" s="449" customFormat="1" ht="12.6" customHeight="1">
      <c r="A142" s="844"/>
      <c r="B142" s="844"/>
      <c r="C142" s="449" t="s">
        <v>2652</v>
      </c>
      <c r="E142" s="1292" t="s">
        <v>3999</v>
      </c>
      <c r="F142" s="1293"/>
      <c r="G142" s="1293"/>
      <c r="H142" s="1293"/>
      <c r="I142" s="1293"/>
      <c r="J142" s="1293"/>
      <c r="K142" s="1294"/>
      <c r="L142" s="488" t="s">
        <v>2653</v>
      </c>
      <c r="M142" s="1292" t="s">
        <v>3983</v>
      </c>
      <c r="N142" s="1293"/>
      <c r="O142" s="1293"/>
      <c r="P142" s="1294"/>
    </row>
    <row r="143" spans="1:16" s="449" customFormat="1" ht="12.6" customHeight="1">
      <c r="A143" s="844"/>
      <c r="B143" s="844"/>
      <c r="C143" s="455" t="s">
        <v>2654</v>
      </c>
      <c r="D143" s="463"/>
      <c r="E143" s="1360" t="s">
        <v>4000</v>
      </c>
      <c r="F143" s="1293"/>
      <c r="G143" s="1293"/>
      <c r="H143" s="1293"/>
      <c r="I143" s="1293"/>
      <c r="J143" s="1293"/>
      <c r="K143" s="1361"/>
      <c r="L143" s="827" t="s">
        <v>2656</v>
      </c>
      <c r="M143" s="1307" t="s">
        <v>3986</v>
      </c>
      <c r="N143" s="1308"/>
      <c r="O143" s="1308"/>
      <c r="P143" s="1309"/>
    </row>
    <row r="144" spans="1:16" s="449" customFormat="1" ht="12.6" customHeight="1">
      <c r="A144" s="844"/>
      <c r="B144" s="844"/>
      <c r="C144" s="455" t="s">
        <v>876</v>
      </c>
      <c r="E144" s="1292" t="s">
        <v>235</v>
      </c>
      <c r="F144" s="1293"/>
      <c r="G144" s="1293"/>
      <c r="H144" s="1294"/>
      <c r="I144" s="483" t="s">
        <v>3138</v>
      </c>
      <c r="J144" s="1303">
        <v>300302612</v>
      </c>
      <c r="K144" s="1304"/>
      <c r="L144" s="488" t="s">
        <v>2659</v>
      </c>
      <c r="M144" s="1300">
        <v>4042702101</v>
      </c>
      <c r="N144" s="1305"/>
      <c r="O144" s="1301"/>
    </row>
    <row r="145" spans="1:16" s="449" customFormat="1" ht="12.6" customHeight="1">
      <c r="A145" s="844"/>
      <c r="B145" s="844"/>
      <c r="C145" s="455" t="s">
        <v>2657</v>
      </c>
      <c r="E145" s="1300">
        <v>4042702101</v>
      </c>
      <c r="F145" s="1305"/>
      <c r="G145" s="1301"/>
      <c r="H145" s="489" t="s">
        <v>2658</v>
      </c>
      <c r="I145" s="1300">
        <v>4042702122</v>
      </c>
      <c r="J145" s="1305"/>
      <c r="K145" s="1301"/>
      <c r="L145" s="490" t="s">
        <v>2859</v>
      </c>
      <c r="M145" s="1300">
        <v>4049155811</v>
      </c>
      <c r="N145" s="1305"/>
      <c r="O145" s="1301"/>
    </row>
    <row r="146" spans="1:16" s="449" customFormat="1" ht="2.1"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2866</v>
      </c>
      <c r="C147" s="830" t="s">
        <v>2219</v>
      </c>
      <c r="D147" s="830"/>
      <c r="E147" s="830"/>
      <c r="F147" s="830"/>
      <c r="G147" s="830"/>
      <c r="I147" s="1343" t="s">
        <v>3975</v>
      </c>
      <c r="J147" s="912" t="s">
        <v>1158</v>
      </c>
      <c r="K147" s="913"/>
      <c r="L147" s="1343"/>
      <c r="M147" s="909" t="s">
        <v>3247</v>
      </c>
      <c r="N147" s="910"/>
      <c r="O147" s="911"/>
      <c r="P147" s="1359"/>
    </row>
    <row r="148" spans="1:16" s="449" customFormat="1" ht="2.1"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3975</v>
      </c>
      <c r="L149" s="416"/>
      <c r="M149" s="416"/>
      <c r="P149" s="460"/>
    </row>
    <row r="150" spans="1:16" s="449" customFormat="1" ht="2.1"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3005</v>
      </c>
      <c r="C151" s="892" t="s">
        <v>2858</v>
      </c>
      <c r="D151" s="892"/>
      <c r="E151" s="892"/>
      <c r="F151" s="892"/>
      <c r="G151" s="830"/>
      <c r="H151" s="1343" t="s">
        <v>3974</v>
      </c>
    </row>
    <row r="152" spans="1:16" s="449" customFormat="1" ht="12.6" customHeight="1">
      <c r="B152" s="844"/>
      <c r="C152" s="891" t="s">
        <v>2067</v>
      </c>
      <c r="D152" s="891"/>
      <c r="E152" s="830"/>
      <c r="F152" s="830"/>
      <c r="G152" s="830"/>
      <c r="H152" s="1362">
        <v>96</v>
      </c>
    </row>
    <row r="153" spans="1:16" s="449" customFormat="1" ht="12.6" customHeight="1">
      <c r="A153" s="844"/>
      <c r="B153" s="844"/>
      <c r="C153" s="887" t="s">
        <v>1283</v>
      </c>
      <c r="D153" s="887"/>
      <c r="E153" s="452"/>
      <c r="F153" s="830"/>
      <c r="G153" s="830"/>
      <c r="H153" s="1362">
        <f>ROUNDDOWN(H152*0.96,0)</f>
        <v>92</v>
      </c>
      <c r="K153" s="459"/>
      <c r="P153" s="460"/>
    </row>
    <row r="154" spans="1:16" s="449" customFormat="1" ht="12.6" customHeight="1">
      <c r="B154" s="844"/>
      <c r="C154" s="887" t="s">
        <v>2647</v>
      </c>
      <c r="D154" s="887"/>
      <c r="E154" s="452"/>
      <c r="F154" s="830"/>
      <c r="G154" s="830"/>
      <c r="H154" s="493">
        <f>IF(H152="","",H153/H152)</f>
        <v>0.95833333333333337</v>
      </c>
      <c r="K154" s="459"/>
      <c r="M154" s="833"/>
      <c r="P154" s="460"/>
    </row>
    <row r="155" spans="1:16" s="449" customFormat="1" ht="2.1" customHeight="1">
      <c r="A155" s="844"/>
      <c r="B155" s="844"/>
      <c r="C155" s="830"/>
      <c r="D155" s="830"/>
      <c r="E155" s="452"/>
      <c r="F155" s="830"/>
      <c r="G155" s="830"/>
      <c r="H155" s="492"/>
      <c r="J155" s="459"/>
      <c r="K155" s="470"/>
      <c r="M155" s="833"/>
      <c r="O155" s="836"/>
      <c r="P155" s="460"/>
    </row>
    <row r="156" spans="1:16" s="449" customFormat="1" ht="13.3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3974</v>
      </c>
      <c r="L157" s="833" t="s">
        <v>3906</v>
      </c>
      <c r="P157" s="1343" t="s">
        <v>3975</v>
      </c>
    </row>
    <row r="158" spans="1:16" s="449" customFormat="1" ht="12.6" customHeight="1">
      <c r="A158" s="844"/>
      <c r="B158" s="844"/>
      <c r="C158" s="833" t="s">
        <v>3115</v>
      </c>
      <c r="H158" s="1343" t="s">
        <v>3974</v>
      </c>
      <c r="L158" s="833" t="s">
        <v>2222</v>
      </c>
      <c r="P158" s="1343" t="s">
        <v>3975</v>
      </c>
    </row>
    <row r="159" spans="1:16" s="449" customFormat="1" ht="12.6" customHeight="1">
      <c r="A159" s="844"/>
      <c r="C159" s="833" t="s">
        <v>1849</v>
      </c>
      <c r="D159" s="495"/>
      <c r="H159" s="1343" t="s">
        <v>3975</v>
      </c>
      <c r="L159" s="833" t="s">
        <v>2387</v>
      </c>
      <c r="P159" s="1343" t="s">
        <v>3975</v>
      </c>
    </row>
    <row r="160" spans="1:16" s="449" customFormat="1" ht="12.6" customHeight="1">
      <c r="A160" s="844"/>
      <c r="B160" s="844"/>
      <c r="C160" s="833" t="s">
        <v>2221</v>
      </c>
      <c r="D160" s="461"/>
      <c r="E160" s="833"/>
      <c r="F160" s="833"/>
      <c r="H160" s="1343" t="s">
        <v>3974</v>
      </c>
      <c r="K160" s="461"/>
      <c r="L160" s="449" t="s">
        <v>3907</v>
      </c>
      <c r="M160" s="833"/>
      <c r="P160" s="1343" t="s">
        <v>3975</v>
      </c>
    </row>
    <row r="161" spans="1:21" s="449" customFormat="1" ht="12.6" customHeight="1">
      <c r="A161" s="844"/>
      <c r="B161" s="452"/>
      <c r="C161" s="833" t="s">
        <v>2139</v>
      </c>
      <c r="D161" s="461"/>
      <c r="H161" s="1343" t="s">
        <v>3975</v>
      </c>
      <c r="L161" s="833" t="s">
        <v>3953</v>
      </c>
      <c r="M161" s="833"/>
      <c r="P161" s="1343" t="s">
        <v>3975</v>
      </c>
    </row>
    <row r="162" spans="1:21" s="449" customFormat="1" ht="12.6" customHeight="1">
      <c r="A162" s="844"/>
      <c r="B162" s="844"/>
      <c r="C162" s="833" t="s">
        <v>2668</v>
      </c>
      <c r="D162" s="461"/>
      <c r="E162" s="833"/>
      <c r="F162" s="833"/>
      <c r="H162" s="1343" t="s">
        <v>3975</v>
      </c>
      <c r="I162" s="494" t="s">
        <v>3700</v>
      </c>
      <c r="O162" s="1363"/>
      <c r="P162" s="1364"/>
    </row>
    <row r="163" spans="1:21" s="449" customFormat="1" ht="12.6" customHeight="1">
      <c r="A163" s="844"/>
      <c r="B163" s="844"/>
      <c r="C163" s="833" t="s">
        <v>3955</v>
      </c>
      <c r="E163" s="1334"/>
      <c r="F163" s="1365"/>
      <c r="G163" s="1335"/>
      <c r="H163" s="1343"/>
    </row>
    <row r="164" spans="1:21" s="449" customFormat="1" ht="2.1" customHeight="1">
      <c r="A164" s="844"/>
      <c r="B164" s="844"/>
      <c r="P164" s="459"/>
    </row>
    <row r="165" spans="1:21" s="449" customFormat="1" ht="13.35" customHeight="1">
      <c r="B165" s="844" t="s">
        <v>2589</v>
      </c>
      <c r="C165" s="456" t="s">
        <v>1135</v>
      </c>
    </row>
    <row r="166" spans="1:21" s="449" customFormat="1" ht="12.6" customHeight="1">
      <c r="A166" s="844"/>
      <c r="B166" s="844"/>
      <c r="C166" s="455" t="s">
        <v>898</v>
      </c>
      <c r="D166" s="829"/>
      <c r="E166" s="829"/>
      <c r="F166" s="836"/>
      <c r="G166" s="836"/>
      <c r="H166" s="1339" t="s">
        <v>2586</v>
      </c>
      <c r="I166" s="1340"/>
      <c r="N166" s="833"/>
      <c r="O166" s="833"/>
      <c r="P166" s="460"/>
    </row>
    <row r="167" spans="1:21" s="449" customFormat="1" ht="12.6" customHeight="1">
      <c r="A167" s="844"/>
      <c r="B167" s="844"/>
      <c r="C167" s="455" t="s">
        <v>341</v>
      </c>
      <c r="D167" s="829"/>
      <c r="E167" s="829"/>
      <c r="F167" s="836"/>
      <c r="G167" s="836"/>
      <c r="H167" s="1339" t="s">
        <v>2586</v>
      </c>
      <c r="I167" s="1340"/>
      <c r="N167" s="833"/>
      <c r="O167" s="833"/>
      <c r="P167" s="460"/>
    </row>
    <row r="168" spans="1:21" s="449" customFormat="1" ht="12.6" customHeight="1">
      <c r="A168" s="844"/>
      <c r="B168" s="844"/>
      <c r="C168" s="455" t="s">
        <v>3213</v>
      </c>
      <c r="D168" s="829"/>
      <c r="E168" s="829"/>
      <c r="F168" s="836"/>
      <c r="G168" s="836"/>
      <c r="H168" s="1339">
        <v>41638</v>
      </c>
      <c r="I168" s="1340"/>
      <c r="N168" s="833"/>
      <c r="O168" s="833"/>
      <c r="P168" s="460"/>
    </row>
    <row r="169" spans="1:21" s="449" customFormat="1" ht="2.1"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409.6" customHeight="1">
      <c r="A171" s="1366" t="s">
        <v>4128</v>
      </c>
      <c r="B171" s="1367"/>
      <c r="C171" s="1367"/>
      <c r="D171" s="1367"/>
      <c r="E171" s="1367"/>
      <c r="F171" s="1367"/>
      <c r="G171" s="1367"/>
      <c r="H171" s="1367"/>
      <c r="I171" s="1367"/>
      <c r="J171" s="1368"/>
      <c r="K171" s="1369"/>
      <c r="L171" s="1370"/>
      <c r="M171" s="1370"/>
      <c r="N171" s="1370"/>
      <c r="O171" s="1370"/>
      <c r="P171" s="1371"/>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3.1"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3380</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2969</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2977</v>
      </c>
      <c r="K188" s="614"/>
      <c r="L188" s="609"/>
      <c r="M188" s="610"/>
      <c r="N188" s="615" t="s">
        <v>2976</v>
      </c>
      <c r="O188" s="615" t="s">
        <v>1884</v>
      </c>
      <c r="P188" s="497" t="s">
        <v>2231</v>
      </c>
      <c r="Q188" s="1372"/>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2842</v>
      </c>
      <c r="K189" s="616"/>
      <c r="L189" s="609"/>
      <c r="M189" s="610"/>
      <c r="N189" s="615" t="s">
        <v>2637</v>
      </c>
      <c r="O189" s="615" t="s">
        <v>1450</v>
      </c>
      <c r="P189" s="497" t="s">
        <v>2232</v>
      </c>
      <c r="Q189" s="1372"/>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2843</v>
      </c>
      <c r="O190" s="615" t="s">
        <v>595</v>
      </c>
      <c r="P190" s="497" t="s">
        <v>2233</v>
      </c>
      <c r="Q190" s="1372"/>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72"/>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3376</v>
      </c>
      <c r="P192" s="497" t="s">
        <v>2235</v>
      </c>
      <c r="Q192" s="1372"/>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72"/>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72"/>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72"/>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3175</v>
      </c>
      <c r="K196" s="614"/>
      <c r="L196" s="609"/>
      <c r="M196" s="610"/>
      <c r="N196" s="615" t="s">
        <v>624</v>
      </c>
      <c r="O196" s="615" t="s">
        <v>131</v>
      </c>
      <c r="P196" s="497" t="s">
        <v>2239</v>
      </c>
      <c r="Q196" s="1372"/>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3177</v>
      </c>
      <c r="K197" s="614"/>
      <c r="L197" s="609"/>
      <c r="M197" s="610"/>
      <c r="N197" s="615" t="s">
        <v>3176</v>
      </c>
      <c r="O197" s="615" t="s">
        <v>3491</v>
      </c>
      <c r="P197" s="497" t="s">
        <v>2240</v>
      </c>
      <c r="Q197" s="1372"/>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2720</v>
      </c>
      <c r="O198" s="615" t="s">
        <v>3072</v>
      </c>
      <c r="P198" s="497" t="s">
        <v>2241</v>
      </c>
      <c r="Q198" s="1372"/>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3072</v>
      </c>
      <c r="P199" s="497" t="s">
        <v>2242</v>
      </c>
      <c r="Q199" s="1372"/>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72"/>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72"/>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72"/>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72"/>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72"/>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72"/>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2795</v>
      </c>
      <c r="P206" s="497" t="s">
        <v>2249</v>
      </c>
      <c r="Q206" s="1372"/>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73"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72"/>
      <c r="S208" s="596"/>
      <c r="T208" s="596"/>
      <c r="U208" s="596"/>
      <c r="V208" s="596"/>
      <c r="W208" s="596"/>
      <c r="X208" s="596"/>
      <c r="Y208" s="596"/>
      <c r="Z208" s="596"/>
      <c r="AA208" s="596"/>
    </row>
    <row r="209" spans="2:27" ht="12" customHeight="1">
      <c r="B209" s="761" t="s">
        <v>1912</v>
      </c>
      <c r="C209" s="761" t="s">
        <v>202</v>
      </c>
      <c r="D209" s="761" t="s">
        <v>1902</v>
      </c>
      <c r="E209" s="762" t="s">
        <v>2929</v>
      </c>
      <c r="F209" s="762" t="s">
        <v>3657</v>
      </c>
      <c r="G209" s="763" t="s">
        <v>879</v>
      </c>
      <c r="H209" s="764" t="s">
        <v>501</v>
      </c>
      <c r="I209" s="680"/>
      <c r="J209" s="613" t="s">
        <v>495</v>
      </c>
      <c r="K209" s="614"/>
      <c r="L209" s="497"/>
      <c r="M209" s="610"/>
      <c r="N209" s="615" t="s">
        <v>1262</v>
      </c>
      <c r="O209" s="615" t="s">
        <v>235</v>
      </c>
      <c r="P209" s="497" t="s">
        <v>2251</v>
      </c>
      <c r="Q209" s="1372"/>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2960</v>
      </c>
      <c r="O210" s="615" t="s">
        <v>1880</v>
      </c>
      <c r="P210" s="497" t="s">
        <v>2252</v>
      </c>
      <c r="Q210" s="1372"/>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73"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2961</v>
      </c>
      <c r="K212" s="616"/>
      <c r="L212" s="609"/>
      <c r="M212" s="610"/>
      <c r="N212" s="615" t="s">
        <v>2963</v>
      </c>
      <c r="O212" s="615" t="s">
        <v>3490</v>
      </c>
      <c r="P212" s="497" t="s">
        <v>2253</v>
      </c>
      <c r="Q212" s="1372"/>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2962</v>
      </c>
      <c r="K213" s="616"/>
      <c r="L213" s="609"/>
      <c r="M213" s="610"/>
      <c r="N213" s="615" t="s">
        <v>2880</v>
      </c>
      <c r="O213" s="615" t="s">
        <v>3068</v>
      </c>
      <c r="P213" s="497" t="s">
        <v>2254</v>
      </c>
      <c r="Q213" s="1372"/>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2964</v>
      </c>
      <c r="K214" s="616"/>
      <c r="L214" s="609"/>
      <c r="M214" s="610"/>
      <c r="N214" s="615" t="s">
        <v>2965</v>
      </c>
      <c r="O214" s="615" t="s">
        <v>397</v>
      </c>
      <c r="P214" s="497" t="s">
        <v>2255</v>
      </c>
      <c r="Q214" s="1372"/>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2996</v>
      </c>
      <c r="K215" s="616"/>
      <c r="L215" s="609"/>
      <c r="M215" s="610"/>
      <c r="N215" s="615" t="s">
        <v>2997</v>
      </c>
      <c r="O215" s="615" t="s">
        <v>887</v>
      </c>
      <c r="P215" s="497" t="s">
        <v>2256</v>
      </c>
      <c r="Q215" s="1372"/>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2998</v>
      </c>
      <c r="K216" s="616"/>
      <c r="L216" s="609"/>
      <c r="M216" s="610"/>
      <c r="N216" s="615" t="s">
        <v>2999</v>
      </c>
      <c r="O216" s="615" t="s">
        <v>2384</v>
      </c>
      <c r="P216" s="497" t="s">
        <v>2257</v>
      </c>
      <c r="Q216" s="1372"/>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3000</v>
      </c>
      <c r="K217" s="616"/>
      <c r="L217" s="609"/>
      <c r="M217" s="610"/>
      <c r="N217" s="615" t="s">
        <v>3001</v>
      </c>
      <c r="O217" s="615" t="s">
        <v>235</v>
      </c>
      <c r="P217" s="497" t="s">
        <v>2258</v>
      </c>
      <c r="Q217" s="1372"/>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3002</v>
      </c>
      <c r="K218" s="616"/>
      <c r="L218" s="609"/>
      <c r="M218" s="610"/>
      <c r="N218" s="615" t="s">
        <v>2638</v>
      </c>
      <c r="O218" s="615" t="s">
        <v>131</v>
      </c>
      <c r="P218" s="497" t="s">
        <v>2259</v>
      </c>
      <c r="Q218" s="1372"/>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72"/>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72"/>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2884</v>
      </c>
      <c r="K221" s="616"/>
      <c r="L221" s="609"/>
      <c r="M221" s="610"/>
      <c r="N221" s="615" t="s">
        <v>1881</v>
      </c>
      <c r="O221" s="615" t="s">
        <v>397</v>
      </c>
      <c r="P221" s="497" t="s">
        <v>2262</v>
      </c>
      <c r="Q221" s="1372"/>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72"/>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3147</v>
      </c>
      <c r="K223" s="616"/>
      <c r="L223" s="609"/>
      <c r="M223" s="610"/>
      <c r="N223" s="615" t="s">
        <v>3148</v>
      </c>
      <c r="O223" s="615" t="s">
        <v>1748</v>
      </c>
      <c r="P223" s="497" t="s">
        <v>2264</v>
      </c>
      <c r="Q223" s="1372"/>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3149</v>
      </c>
      <c r="K224" s="616"/>
      <c r="L224" s="609"/>
      <c r="M224" s="610"/>
      <c r="N224" s="615" t="s">
        <v>3150</v>
      </c>
      <c r="O224" s="615" t="s">
        <v>3156</v>
      </c>
      <c r="P224" s="497" t="s">
        <v>2265</v>
      </c>
      <c r="Q224" s="1372"/>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2838</v>
      </c>
      <c r="H225" s="764" t="s">
        <v>500</v>
      </c>
      <c r="I225" s="680"/>
      <c r="J225" s="613" t="s">
        <v>3151</v>
      </c>
      <c r="K225" s="616"/>
      <c r="L225" s="609"/>
      <c r="M225" s="610"/>
      <c r="N225" s="497" t="s">
        <v>3590</v>
      </c>
      <c r="O225" s="497" t="s">
        <v>887</v>
      </c>
      <c r="P225" s="1374" t="s">
        <v>3032</v>
      </c>
      <c r="Q225" s="1372"/>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2839</v>
      </c>
      <c r="H226" s="764" t="s">
        <v>500</v>
      </c>
      <c r="I226" s="680"/>
      <c r="J226" s="613" t="s">
        <v>3183</v>
      </c>
      <c r="K226" s="616"/>
      <c r="L226" s="609"/>
      <c r="M226" s="610"/>
      <c r="N226" s="615" t="s">
        <v>3152</v>
      </c>
      <c r="O226" s="615" t="s">
        <v>130</v>
      </c>
      <c r="P226" s="497" t="s">
        <v>2266</v>
      </c>
      <c r="Q226" s="1372"/>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72"/>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72"/>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2840</v>
      </c>
      <c r="H229" s="764" t="s">
        <v>500</v>
      </c>
      <c r="I229" s="680"/>
      <c r="J229" s="613" t="s">
        <v>3051</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3052</v>
      </c>
      <c r="K230" s="616"/>
      <c r="L230" s="609"/>
      <c r="M230" s="610"/>
      <c r="N230" s="615" t="s">
        <v>1312</v>
      </c>
      <c r="O230" s="615" t="s">
        <v>3625</v>
      </c>
      <c r="P230" s="1373"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3053</v>
      </c>
      <c r="O231" s="615" t="s">
        <v>3627</v>
      </c>
      <c r="P231" s="497" t="s">
        <v>2270</v>
      </c>
      <c r="Q231" s="1372"/>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72"/>
      <c r="S232" s="596"/>
      <c r="T232" s="596"/>
      <c r="U232" s="596"/>
      <c r="V232" s="596"/>
      <c r="W232" s="596"/>
      <c r="X232" s="596"/>
      <c r="Y232" s="596"/>
      <c r="Z232" s="596"/>
      <c r="AA232" s="596"/>
    </row>
    <row r="233" spans="2:27" ht="12" customHeight="1">
      <c r="B233" s="766"/>
      <c r="C233" s="761" t="s">
        <v>3154</v>
      </c>
      <c r="D233" s="761" t="s">
        <v>1749</v>
      </c>
      <c r="E233" s="762" t="s">
        <v>3155</v>
      </c>
      <c r="F233" s="762" t="s">
        <v>3656</v>
      </c>
      <c r="G233" s="763" t="s">
        <v>1904</v>
      </c>
      <c r="H233" s="764" t="s">
        <v>500</v>
      </c>
      <c r="I233" s="680"/>
      <c r="J233" s="613" t="s">
        <v>3431</v>
      </c>
      <c r="K233" s="614"/>
      <c r="L233" s="609"/>
      <c r="M233" s="610"/>
      <c r="N233" s="497" t="s">
        <v>3591</v>
      </c>
      <c r="O233" s="497" t="s">
        <v>388</v>
      </c>
      <c r="P233" s="1374" t="s">
        <v>3032</v>
      </c>
      <c r="Q233" s="1372"/>
      <c r="S233" s="596"/>
      <c r="T233" s="596"/>
      <c r="U233" s="596"/>
      <c r="V233" s="596"/>
      <c r="W233" s="596"/>
      <c r="X233" s="596"/>
      <c r="Y233" s="596"/>
      <c r="Z233" s="596"/>
      <c r="AA233" s="596"/>
    </row>
    <row r="234" spans="2:27" ht="12" customHeight="1">
      <c r="B234" s="766"/>
      <c r="C234" s="761" t="s">
        <v>3156</v>
      </c>
      <c r="D234" s="761" t="s">
        <v>1749</v>
      </c>
      <c r="E234" s="762" t="s">
        <v>920</v>
      </c>
      <c r="F234" s="762" t="s">
        <v>3656</v>
      </c>
      <c r="G234" s="763" t="s">
        <v>1905</v>
      </c>
      <c r="H234" s="764" t="s">
        <v>500</v>
      </c>
      <c r="I234" s="680"/>
      <c r="J234" s="613" t="s">
        <v>3433</v>
      </c>
      <c r="K234" s="614"/>
      <c r="L234" s="609"/>
      <c r="M234" s="610"/>
      <c r="N234" s="615" t="s">
        <v>3430</v>
      </c>
      <c r="O234" s="615" t="s">
        <v>2798</v>
      </c>
      <c r="P234" s="497" t="s">
        <v>2272</v>
      </c>
      <c r="Q234" s="1372"/>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72"/>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3139</v>
      </c>
      <c r="K236" s="614"/>
      <c r="L236" s="609"/>
      <c r="M236" s="610"/>
      <c r="N236" s="615" t="s">
        <v>3435</v>
      </c>
      <c r="O236" s="615" t="s">
        <v>196</v>
      </c>
      <c r="P236" s="497" t="s">
        <v>2274</v>
      </c>
      <c r="Q236" s="1372"/>
      <c r="S236" s="596"/>
      <c r="T236" s="596"/>
      <c r="U236" s="596"/>
      <c r="V236" s="596"/>
      <c r="W236" s="596"/>
      <c r="X236" s="596"/>
      <c r="Y236" s="596"/>
      <c r="Z236" s="596"/>
      <c r="AA236" s="596"/>
    </row>
    <row r="237" spans="2:27" ht="12" customHeight="1">
      <c r="B237" s="766"/>
      <c r="C237" s="761" t="s">
        <v>924</v>
      </c>
      <c r="D237" s="761" t="s">
        <v>1878</v>
      </c>
      <c r="E237" s="765" t="s">
        <v>3182</v>
      </c>
      <c r="F237" s="765" t="s">
        <v>3657</v>
      </c>
      <c r="G237" s="763" t="s">
        <v>1907</v>
      </c>
      <c r="H237" s="764" t="s">
        <v>501</v>
      </c>
      <c r="I237" s="681"/>
      <c r="J237" s="613" t="s">
        <v>983</v>
      </c>
      <c r="K237" s="614"/>
      <c r="L237" s="609"/>
      <c r="M237" s="610"/>
      <c r="N237" s="615" t="s">
        <v>3140</v>
      </c>
      <c r="O237" s="615" t="s">
        <v>921</v>
      </c>
      <c r="P237" s="497" t="s">
        <v>2275</v>
      </c>
      <c r="Q237" s="1372"/>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72"/>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72"/>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72"/>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3130</v>
      </c>
      <c r="K241" s="614"/>
      <c r="L241" s="609"/>
      <c r="M241" s="610"/>
      <c r="N241" s="497" t="s">
        <v>3592</v>
      </c>
      <c r="O241" s="497" t="s">
        <v>3487</v>
      </c>
      <c r="P241" s="1374" t="s">
        <v>3032</v>
      </c>
      <c r="Q241" s="1372"/>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3131</v>
      </c>
      <c r="K242" s="614"/>
      <c r="L242" s="609"/>
      <c r="M242" s="610"/>
      <c r="N242" s="615" t="s">
        <v>3132</v>
      </c>
      <c r="O242" s="615" t="s">
        <v>2500</v>
      </c>
      <c r="P242" s="497" t="s">
        <v>2279</v>
      </c>
      <c r="Q242" s="1372"/>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3133</v>
      </c>
      <c r="K243" s="614"/>
      <c r="L243" s="609"/>
      <c r="M243" s="610"/>
      <c r="N243" s="615" t="s">
        <v>3134</v>
      </c>
      <c r="O243" s="615" t="s">
        <v>3621</v>
      </c>
      <c r="P243" s="497" t="s">
        <v>2280</v>
      </c>
      <c r="Q243" s="1372"/>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72"/>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3184</v>
      </c>
      <c r="O245" s="615" t="s">
        <v>385</v>
      </c>
      <c r="P245" s="497" t="s">
        <v>2282</v>
      </c>
      <c r="Q245" s="1372"/>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3185</v>
      </c>
      <c r="K246" s="614"/>
      <c r="L246" s="609"/>
      <c r="M246" s="610"/>
      <c r="N246" s="615" t="s">
        <v>3254</v>
      </c>
      <c r="O246" s="615" t="s">
        <v>1368</v>
      </c>
      <c r="P246" s="497" t="s">
        <v>2283</v>
      </c>
      <c r="Q246" s="1372"/>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3218</v>
      </c>
      <c r="K247" s="614"/>
      <c r="L247" s="609"/>
      <c r="M247" s="610"/>
      <c r="N247" s="615" t="s">
        <v>52</v>
      </c>
      <c r="O247" s="615" t="s">
        <v>392</v>
      </c>
      <c r="P247" s="497" t="s">
        <v>2284</v>
      </c>
      <c r="Q247" s="1372"/>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72"/>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72"/>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3339</v>
      </c>
      <c r="O250" s="615" t="s">
        <v>235</v>
      </c>
      <c r="P250" s="497" t="s">
        <v>2287</v>
      </c>
      <c r="Q250" s="1372"/>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3338</v>
      </c>
      <c r="K251" s="614"/>
      <c r="L251" s="609"/>
      <c r="M251" s="610"/>
      <c r="N251" s="615" t="s">
        <v>3370</v>
      </c>
      <c r="O251" s="615" t="s">
        <v>2499</v>
      </c>
      <c r="P251" s="497" t="s">
        <v>2288</v>
      </c>
      <c r="Q251" s="1372"/>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3369</v>
      </c>
      <c r="K252" s="614"/>
      <c r="L252" s="609"/>
      <c r="M252" s="610"/>
      <c r="N252" s="615" t="s">
        <v>888</v>
      </c>
      <c r="O252" s="615" t="s">
        <v>1894</v>
      </c>
      <c r="P252" s="497" t="s">
        <v>2289</v>
      </c>
      <c r="Q252" s="1372"/>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3371</v>
      </c>
      <c r="K253" s="614"/>
      <c r="L253" s="609"/>
      <c r="M253" s="610"/>
      <c r="N253" s="615" t="s">
        <v>1891</v>
      </c>
      <c r="O253" s="615" t="s">
        <v>923</v>
      </c>
      <c r="P253" s="497" t="s">
        <v>2290</v>
      </c>
      <c r="Q253" s="1372"/>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3372</v>
      </c>
      <c r="K254" s="614"/>
      <c r="L254" s="609"/>
      <c r="M254" s="610"/>
      <c r="N254" s="615" t="s">
        <v>3328</v>
      </c>
      <c r="O254" s="615" t="s">
        <v>3491</v>
      </c>
      <c r="P254" s="497" t="s">
        <v>2291</v>
      </c>
      <c r="Q254" s="1372"/>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3327</v>
      </c>
      <c r="K255" s="614"/>
      <c r="L255" s="609"/>
      <c r="M255" s="610"/>
      <c r="N255" s="615" t="s">
        <v>12</v>
      </c>
      <c r="O255" s="615" t="s">
        <v>932</v>
      </c>
      <c r="P255" s="497" t="s">
        <v>2292</v>
      </c>
      <c r="Q255" s="1372"/>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72"/>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72"/>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72"/>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72"/>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3080</v>
      </c>
      <c r="P260" s="497" t="s">
        <v>2297</v>
      </c>
      <c r="Q260" s="1372"/>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72"/>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72"/>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72"/>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3206</v>
      </c>
      <c r="K264" s="614"/>
      <c r="L264" s="609"/>
      <c r="M264" s="610"/>
      <c r="N264" s="615" t="s">
        <v>3207</v>
      </c>
      <c r="O264" s="615" t="s">
        <v>935</v>
      </c>
      <c r="P264" s="497" t="s">
        <v>2301</v>
      </c>
      <c r="Q264" s="1372"/>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3208</v>
      </c>
      <c r="K265" s="614"/>
      <c r="L265" s="609"/>
      <c r="M265" s="610"/>
      <c r="N265" s="615" t="s">
        <v>1899</v>
      </c>
      <c r="O265" s="615" t="s">
        <v>933</v>
      </c>
      <c r="P265" s="497" t="s">
        <v>2302</v>
      </c>
      <c r="Q265" s="1372"/>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3209</v>
      </c>
      <c r="K266" s="614"/>
      <c r="L266" s="609"/>
      <c r="M266" s="610"/>
      <c r="N266" s="615" t="s">
        <v>3211</v>
      </c>
      <c r="O266" s="615" t="s">
        <v>113</v>
      </c>
      <c r="P266" s="497" t="s">
        <v>2303</v>
      </c>
      <c r="Q266" s="1372"/>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3210</v>
      </c>
      <c r="K267" s="614"/>
      <c r="L267" s="609"/>
      <c r="M267" s="610"/>
      <c r="N267" s="615" t="s">
        <v>2164</v>
      </c>
      <c r="O267" s="615" t="s">
        <v>2384</v>
      </c>
      <c r="P267" s="497" t="s">
        <v>2304</v>
      </c>
      <c r="Q267" s="1372"/>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72"/>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72"/>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72"/>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72"/>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72"/>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72"/>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72"/>
      <c r="S274" s="596"/>
      <c r="T274" s="596"/>
      <c r="U274" s="596"/>
      <c r="V274" s="596"/>
      <c r="W274" s="596"/>
      <c r="X274" s="596"/>
      <c r="Y274" s="596"/>
      <c r="Z274" s="596"/>
      <c r="AA274" s="596"/>
    </row>
    <row r="275" spans="2:27" ht="12" customHeight="1">
      <c r="B275" s="766"/>
      <c r="C275" s="761" t="s">
        <v>217</v>
      </c>
      <c r="D275" s="761" t="s">
        <v>1902</v>
      </c>
      <c r="E275" s="762" t="s">
        <v>2929</v>
      </c>
      <c r="F275" s="762" t="s">
        <v>3657</v>
      </c>
      <c r="G275" s="763" t="s">
        <v>879</v>
      </c>
      <c r="H275" s="764" t="s">
        <v>501</v>
      </c>
      <c r="I275" s="680"/>
      <c r="J275" s="613" t="s">
        <v>2600</v>
      </c>
      <c r="K275" s="614"/>
      <c r="L275" s="609"/>
      <c r="M275" s="610"/>
      <c r="N275" s="615" t="s">
        <v>1531</v>
      </c>
      <c r="O275" s="615" t="s">
        <v>924</v>
      </c>
      <c r="P275" s="497" t="s">
        <v>2312</v>
      </c>
      <c r="Q275" s="1372"/>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72"/>
      <c r="S276" s="596"/>
      <c r="T276" s="596"/>
      <c r="U276" s="596"/>
      <c r="V276" s="596"/>
      <c r="W276" s="596"/>
      <c r="X276" s="596"/>
      <c r="Y276" s="596"/>
      <c r="Z276" s="596"/>
      <c r="AA276" s="596"/>
    </row>
    <row r="277" spans="2:27" ht="12" customHeight="1">
      <c r="B277" s="766"/>
      <c r="C277" s="761" t="s">
        <v>2753</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72"/>
      <c r="S277" s="596"/>
      <c r="T277" s="596"/>
      <c r="U277" s="596"/>
      <c r="V277" s="596"/>
      <c r="W277" s="596"/>
      <c r="X277" s="596"/>
      <c r="Y277" s="596"/>
      <c r="Z277" s="596"/>
      <c r="AA277" s="596"/>
    </row>
    <row r="278" spans="2:27" ht="12" customHeight="1">
      <c r="B278" s="766"/>
      <c r="C278" s="761" t="s">
        <v>2754</v>
      </c>
      <c r="D278" s="761" t="s">
        <v>1749</v>
      </c>
      <c r="E278" s="762" t="s">
        <v>12</v>
      </c>
      <c r="F278" s="762" t="s">
        <v>3657</v>
      </c>
      <c r="G278" s="763" t="s">
        <v>3616</v>
      </c>
      <c r="H278" s="764" t="s">
        <v>501</v>
      </c>
      <c r="I278" s="680"/>
      <c r="J278" s="613" t="s">
        <v>282</v>
      </c>
      <c r="K278" s="614"/>
      <c r="L278" s="609"/>
      <c r="M278" s="610"/>
      <c r="N278" s="615" t="s">
        <v>2949</v>
      </c>
      <c r="O278" s="615" t="s">
        <v>389</v>
      </c>
      <c r="P278" s="497" t="s">
        <v>2315</v>
      </c>
      <c r="Q278" s="1372"/>
      <c r="S278" s="596"/>
      <c r="T278" s="596"/>
      <c r="U278" s="596"/>
      <c r="V278" s="596"/>
      <c r="W278" s="596"/>
      <c r="X278" s="596"/>
      <c r="Y278" s="596"/>
      <c r="Z278" s="596"/>
      <c r="AA278" s="596"/>
    </row>
    <row r="279" spans="2:27" ht="12" customHeight="1">
      <c r="B279" s="766"/>
      <c r="C279" s="761" t="s">
        <v>2755</v>
      </c>
      <c r="D279" s="761" t="s">
        <v>1902</v>
      </c>
      <c r="E279" s="765" t="s">
        <v>1249</v>
      </c>
      <c r="F279" s="765" t="s">
        <v>3657</v>
      </c>
      <c r="G279" s="763" t="s">
        <v>970</v>
      </c>
      <c r="H279" s="764" t="s">
        <v>501</v>
      </c>
      <c r="I279" s="681"/>
      <c r="J279" s="613" t="s">
        <v>284</v>
      </c>
      <c r="K279" s="614"/>
      <c r="L279" s="609"/>
      <c r="M279" s="610"/>
      <c r="N279" s="615" t="s">
        <v>2951</v>
      </c>
      <c r="O279" s="615" t="s">
        <v>387</v>
      </c>
      <c r="P279" s="497" t="s">
        <v>2316</v>
      </c>
      <c r="Q279" s="1372"/>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2953</v>
      </c>
      <c r="O280" s="615" t="s">
        <v>887</v>
      </c>
      <c r="P280" s="497" t="s">
        <v>2317</v>
      </c>
      <c r="Q280" s="1372"/>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2948</v>
      </c>
      <c r="K281" s="614"/>
      <c r="L281" s="609"/>
      <c r="M281" s="610"/>
      <c r="N281" s="615" t="s">
        <v>2955</v>
      </c>
      <c r="O281" s="615" t="s">
        <v>3623</v>
      </c>
      <c r="P281" s="497" t="s">
        <v>2318</v>
      </c>
      <c r="Q281" s="1372"/>
      <c r="S281" s="596"/>
      <c r="T281" s="596"/>
      <c r="U281" s="596"/>
      <c r="V281" s="596"/>
      <c r="W281" s="596"/>
      <c r="X281" s="596"/>
      <c r="Y281" s="596"/>
      <c r="Z281" s="596"/>
      <c r="AA281" s="596"/>
    </row>
    <row r="282" spans="2:27" ht="12" customHeight="1">
      <c r="B282" s="766"/>
      <c r="C282" s="761" t="s">
        <v>2386</v>
      </c>
      <c r="D282" s="761" t="s">
        <v>1902</v>
      </c>
      <c r="E282" s="765" t="s">
        <v>2928</v>
      </c>
      <c r="F282" s="765" t="s">
        <v>3657</v>
      </c>
      <c r="G282" s="763" t="s">
        <v>973</v>
      </c>
      <c r="H282" s="764" t="s">
        <v>501</v>
      </c>
      <c r="I282" s="681"/>
      <c r="J282" s="613" t="s">
        <v>2950</v>
      </c>
      <c r="K282" s="614"/>
      <c r="L282" s="609"/>
      <c r="M282" s="610"/>
      <c r="N282" s="615" t="s">
        <v>962</v>
      </c>
      <c r="O282" s="615" t="s">
        <v>1744</v>
      </c>
      <c r="P282" s="497" t="s">
        <v>2319</v>
      </c>
      <c r="Q282" s="1372"/>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2952</v>
      </c>
      <c r="K283" s="614"/>
      <c r="L283" s="609"/>
      <c r="M283" s="610"/>
      <c r="N283" s="497" t="s">
        <v>3594</v>
      </c>
      <c r="O283" s="497" t="s">
        <v>2889</v>
      </c>
      <c r="P283" s="1374" t="s">
        <v>3032</v>
      </c>
      <c r="Q283" s="1372"/>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2954</v>
      </c>
      <c r="K284" s="614"/>
      <c r="L284" s="609"/>
      <c r="M284" s="610"/>
      <c r="N284" s="615" t="s">
        <v>2957</v>
      </c>
      <c r="O284" s="615" t="s">
        <v>238</v>
      </c>
      <c r="P284" s="497" t="s">
        <v>2320</v>
      </c>
      <c r="Q284" s="1372"/>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2831</v>
      </c>
      <c r="H285" s="764" t="s">
        <v>501</v>
      </c>
      <c r="I285" s="680"/>
      <c r="J285" s="613" t="s">
        <v>2956</v>
      </c>
      <c r="K285" s="614"/>
      <c r="L285" s="609"/>
      <c r="M285" s="610"/>
      <c r="N285" s="615" t="s">
        <v>2959</v>
      </c>
      <c r="O285" s="615" t="s">
        <v>238</v>
      </c>
      <c r="P285" s="497" t="s">
        <v>2321</v>
      </c>
      <c r="Q285" s="1372"/>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2958</v>
      </c>
      <c r="K286" s="614"/>
      <c r="L286" s="609"/>
      <c r="M286" s="610"/>
      <c r="N286" s="615" t="s">
        <v>942</v>
      </c>
      <c r="O286" s="615" t="s">
        <v>2889</v>
      </c>
      <c r="P286" s="497" t="s">
        <v>2322</v>
      </c>
      <c r="Q286" s="1372"/>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3253</v>
      </c>
      <c r="O287" s="615" t="s">
        <v>131</v>
      </c>
      <c r="P287" s="497" t="s">
        <v>2323</v>
      </c>
      <c r="Q287" s="1372"/>
      <c r="S287" s="596"/>
      <c r="T287" s="596"/>
      <c r="U287" s="596"/>
      <c r="V287" s="596"/>
      <c r="W287" s="596"/>
      <c r="X287" s="596"/>
      <c r="Y287" s="596"/>
      <c r="Z287" s="596"/>
      <c r="AA287" s="596"/>
    </row>
    <row r="288" spans="2:27" ht="12" customHeight="1">
      <c r="B288" s="766"/>
      <c r="C288" s="761" t="s">
        <v>3627</v>
      </c>
      <c r="D288" s="761" t="s">
        <v>1902</v>
      </c>
      <c r="E288" s="762" t="s">
        <v>2929</v>
      </c>
      <c r="F288" s="762" t="s">
        <v>3657</v>
      </c>
      <c r="G288" s="763" t="s">
        <v>879</v>
      </c>
      <c r="H288" s="764" t="s">
        <v>501</v>
      </c>
      <c r="I288" s="680"/>
      <c r="J288" s="613" t="s">
        <v>3251</v>
      </c>
      <c r="K288" s="614"/>
      <c r="L288" s="609"/>
      <c r="M288" s="610"/>
      <c r="N288" s="615" t="s">
        <v>1799</v>
      </c>
      <c r="O288" s="615" t="s">
        <v>887</v>
      </c>
      <c r="P288" s="497" t="s">
        <v>2324</v>
      </c>
      <c r="Q288" s="1372"/>
      <c r="S288" s="596"/>
      <c r="T288" s="596"/>
      <c r="U288" s="596"/>
      <c r="V288" s="596"/>
      <c r="W288" s="596"/>
      <c r="X288" s="596"/>
      <c r="Y288" s="596"/>
      <c r="Z288" s="596"/>
      <c r="AA288" s="596"/>
    </row>
    <row r="289" spans="2:27" ht="12" customHeight="1">
      <c r="B289" s="766"/>
      <c r="C289" s="761" t="s">
        <v>3628</v>
      </c>
      <c r="D289" s="761" t="s">
        <v>1902</v>
      </c>
      <c r="E289" s="762" t="s">
        <v>2929</v>
      </c>
      <c r="F289" s="762" t="s">
        <v>3657</v>
      </c>
      <c r="G289" s="763" t="s">
        <v>879</v>
      </c>
      <c r="H289" s="764" t="s">
        <v>501</v>
      </c>
      <c r="I289" s="680"/>
      <c r="J289" s="613" t="s">
        <v>3252</v>
      </c>
      <c r="K289" s="614"/>
      <c r="L289" s="609"/>
      <c r="M289" s="610"/>
      <c r="N289" s="615" t="s">
        <v>1801</v>
      </c>
      <c r="O289" s="615" t="s">
        <v>3156</v>
      </c>
      <c r="P289" s="497" t="s">
        <v>2325</v>
      </c>
      <c r="Q289" s="1372"/>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72"/>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2832</v>
      </c>
      <c r="H291" s="764" t="s">
        <v>500</v>
      </c>
      <c r="I291" s="681"/>
      <c r="J291" s="613" t="s">
        <v>1800</v>
      </c>
      <c r="K291" s="614"/>
      <c r="L291" s="609"/>
      <c r="M291" s="610"/>
      <c r="N291" s="615" t="s">
        <v>1804</v>
      </c>
      <c r="O291" s="615" t="s">
        <v>380</v>
      </c>
      <c r="P291" s="497" t="s">
        <v>2327</v>
      </c>
      <c r="Q291" s="1372"/>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72"/>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2833</v>
      </c>
      <c r="H293" s="764" t="s">
        <v>500</v>
      </c>
      <c r="I293" s="680"/>
      <c r="J293" s="613" t="s">
        <v>1803</v>
      </c>
      <c r="K293" s="614"/>
      <c r="L293" s="609"/>
      <c r="M293" s="610"/>
      <c r="N293" s="615" t="s">
        <v>87</v>
      </c>
      <c r="O293" s="615" t="s">
        <v>235</v>
      </c>
      <c r="P293" s="497" t="s">
        <v>2329</v>
      </c>
      <c r="Q293" s="1372"/>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2834</v>
      </c>
      <c r="H295" s="764" t="s">
        <v>500</v>
      </c>
      <c r="I295" s="680"/>
      <c r="J295" s="613" t="s">
        <v>3500</v>
      </c>
      <c r="K295" s="614"/>
      <c r="L295" s="609"/>
      <c r="M295" s="610"/>
      <c r="N295" s="615" t="s">
        <v>93</v>
      </c>
      <c r="O295" s="615" t="s">
        <v>1888</v>
      </c>
      <c r="P295" s="497" t="s">
        <v>2331</v>
      </c>
      <c r="Q295" s="1372"/>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2835</v>
      </c>
      <c r="H296" s="764" t="s">
        <v>500</v>
      </c>
      <c r="I296" s="681"/>
      <c r="J296" s="613" t="s">
        <v>88</v>
      </c>
      <c r="K296" s="614"/>
      <c r="L296" s="609"/>
      <c r="M296" s="610"/>
      <c r="N296" s="615" t="s">
        <v>1766</v>
      </c>
      <c r="O296" s="615" t="s">
        <v>2829</v>
      </c>
      <c r="P296" s="497" t="s">
        <v>2332</v>
      </c>
      <c r="Q296" s="1372"/>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2836</v>
      </c>
      <c r="H297" s="764" t="s">
        <v>500</v>
      </c>
      <c r="I297" s="681"/>
      <c r="J297" s="613" t="s">
        <v>89</v>
      </c>
      <c r="K297" s="614"/>
      <c r="L297" s="609"/>
      <c r="M297" s="610"/>
      <c r="N297" s="615" t="s">
        <v>1768</v>
      </c>
      <c r="O297" s="615" t="s">
        <v>217</v>
      </c>
      <c r="P297" s="497" t="s">
        <v>2333</v>
      </c>
      <c r="Q297" s="1372"/>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2640</v>
      </c>
      <c r="H298" s="764" t="s">
        <v>500</v>
      </c>
      <c r="I298" s="680"/>
      <c r="J298" s="613" t="s">
        <v>90</v>
      </c>
      <c r="K298" s="614"/>
      <c r="L298" s="609"/>
      <c r="M298" s="610"/>
      <c r="N298" s="615" t="s">
        <v>1770</v>
      </c>
      <c r="O298" s="615" t="s">
        <v>1620</v>
      </c>
      <c r="P298" s="1373"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2641</v>
      </c>
      <c r="H299" s="764" t="s">
        <v>500</v>
      </c>
      <c r="I299" s="680"/>
      <c r="J299" s="613" t="s">
        <v>92</v>
      </c>
      <c r="K299" s="614"/>
      <c r="L299" s="609"/>
      <c r="M299" s="610"/>
      <c r="N299" s="615" t="s">
        <v>1772</v>
      </c>
      <c r="O299" s="615" t="s">
        <v>1744</v>
      </c>
      <c r="P299" s="497" t="s">
        <v>2334</v>
      </c>
      <c r="Q299" s="1372"/>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2642</v>
      </c>
      <c r="H300" s="764" t="s">
        <v>500</v>
      </c>
      <c r="I300" s="680"/>
      <c r="J300" s="613" t="s">
        <v>1765</v>
      </c>
      <c r="K300" s="614"/>
      <c r="L300" s="609"/>
      <c r="M300" s="610"/>
      <c r="N300" s="615" t="s">
        <v>1774</v>
      </c>
      <c r="O300" s="615" t="s">
        <v>3078</v>
      </c>
      <c r="P300" s="497" t="s">
        <v>2335</v>
      </c>
      <c r="Q300" s="1372"/>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72"/>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73"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3656</v>
      </c>
      <c r="G303" s="763" t="s">
        <v>2643</v>
      </c>
      <c r="H303" s="764" t="s">
        <v>500</v>
      </c>
      <c r="I303" s="680"/>
      <c r="J303" s="613" t="s">
        <v>1771</v>
      </c>
      <c r="K303" s="614"/>
      <c r="L303" s="609"/>
      <c r="M303" s="610"/>
      <c r="N303" s="615" t="s">
        <v>1385</v>
      </c>
      <c r="O303" s="615" t="s">
        <v>217</v>
      </c>
      <c r="P303" s="497" t="s">
        <v>2337</v>
      </c>
      <c r="Q303" s="1372"/>
      <c r="S303" s="596"/>
      <c r="T303" s="596"/>
      <c r="U303" s="596"/>
      <c r="V303" s="596"/>
      <c r="W303" s="596"/>
      <c r="X303" s="596"/>
      <c r="Y303" s="596"/>
      <c r="Z303" s="596"/>
      <c r="AA303" s="596"/>
    </row>
    <row r="304" spans="2:27" ht="12" customHeight="1">
      <c r="B304" s="766"/>
      <c r="C304" s="761" t="s">
        <v>3063</v>
      </c>
      <c r="D304" s="761" t="s">
        <v>1749</v>
      </c>
      <c r="E304" s="762" t="s">
        <v>3064</v>
      </c>
      <c r="F304" s="762" t="s">
        <v>3656</v>
      </c>
      <c r="G304" s="763" t="s">
        <v>2644</v>
      </c>
      <c r="H304" s="764" t="s">
        <v>500</v>
      </c>
      <c r="I304" s="680"/>
      <c r="J304" s="613" t="s">
        <v>1773</v>
      </c>
      <c r="K304" s="614"/>
      <c r="L304" s="609"/>
      <c r="M304" s="610"/>
      <c r="N304" s="615" t="s">
        <v>1387</v>
      </c>
      <c r="O304" s="615" t="s">
        <v>392</v>
      </c>
      <c r="P304" s="497" t="s">
        <v>2338</v>
      </c>
      <c r="Q304" s="1372"/>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3656</v>
      </c>
      <c r="G306" s="763" t="s">
        <v>630</v>
      </c>
      <c r="H306" s="764" t="s">
        <v>500</v>
      </c>
      <c r="I306" s="681"/>
      <c r="J306" s="613" t="s">
        <v>1383</v>
      </c>
      <c r="K306" s="614"/>
      <c r="L306" s="609"/>
      <c r="M306" s="610"/>
      <c r="N306" s="497" t="s">
        <v>3595</v>
      </c>
      <c r="O306" s="497" t="s">
        <v>3487</v>
      </c>
      <c r="P306" s="1374"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3657</v>
      </c>
      <c r="G307" s="763" t="s">
        <v>3611</v>
      </c>
      <c r="H307" s="764" t="s">
        <v>501</v>
      </c>
      <c r="I307" s="681"/>
      <c r="J307" s="613" t="s">
        <v>1384</v>
      </c>
      <c r="K307" s="614"/>
      <c r="L307" s="609"/>
      <c r="M307" s="610"/>
      <c r="N307" s="615" t="s">
        <v>3031</v>
      </c>
      <c r="O307" s="615" t="s">
        <v>1623</v>
      </c>
      <c r="P307" s="497" t="s">
        <v>2340</v>
      </c>
      <c r="Q307" s="1372"/>
      <c r="S307" s="596"/>
      <c r="T307" s="596"/>
      <c r="U307" s="596"/>
      <c r="V307" s="596"/>
      <c r="W307" s="596"/>
      <c r="X307" s="596"/>
      <c r="Y307" s="596"/>
      <c r="Z307" s="596"/>
      <c r="AA307" s="596"/>
    </row>
    <row r="308" spans="2:27" ht="12" customHeight="1">
      <c r="B308" s="766"/>
      <c r="C308" s="761" t="s">
        <v>3068</v>
      </c>
      <c r="D308" s="761" t="s">
        <v>1878</v>
      </c>
      <c r="E308" s="765" t="s">
        <v>3069</v>
      </c>
      <c r="F308" s="765" t="s">
        <v>3656</v>
      </c>
      <c r="G308" s="763" t="s">
        <v>265</v>
      </c>
      <c r="H308" s="764" t="s">
        <v>500</v>
      </c>
      <c r="I308" s="680"/>
      <c r="J308" s="613" t="s">
        <v>1386</v>
      </c>
      <c r="K308" s="614"/>
      <c r="L308" s="609"/>
      <c r="M308" s="610"/>
      <c r="N308" s="615" t="s">
        <v>2945</v>
      </c>
      <c r="O308" s="615" t="s">
        <v>2500</v>
      </c>
      <c r="P308" s="497" t="s">
        <v>2341</v>
      </c>
      <c r="Q308" s="1372"/>
      <c r="S308" s="596"/>
      <c r="T308" s="596"/>
      <c r="U308" s="596"/>
      <c r="V308" s="596"/>
      <c r="W308" s="596"/>
      <c r="X308" s="596"/>
      <c r="Y308" s="596"/>
      <c r="Z308" s="596"/>
      <c r="AA308" s="596"/>
    </row>
    <row r="309" spans="2:27" ht="12" customHeight="1">
      <c r="B309" s="766"/>
      <c r="C309" s="761" t="s">
        <v>3070</v>
      </c>
      <c r="D309" s="761" t="s">
        <v>1749</v>
      </c>
      <c r="E309" s="762" t="s">
        <v>3071</v>
      </c>
      <c r="F309" s="765" t="s">
        <v>3656</v>
      </c>
      <c r="G309" s="763" t="s">
        <v>1997</v>
      </c>
      <c r="H309" s="764" t="s">
        <v>500</v>
      </c>
      <c r="I309" s="680"/>
      <c r="J309" s="613" t="s">
        <v>1388</v>
      </c>
      <c r="K309" s="614"/>
      <c r="L309" s="609"/>
      <c r="M309" s="610"/>
      <c r="N309" s="615" t="s">
        <v>2947</v>
      </c>
      <c r="O309" s="615" t="s">
        <v>3547</v>
      </c>
      <c r="P309" s="497" t="s">
        <v>2342</v>
      </c>
      <c r="Q309" s="1372"/>
      <c r="S309" s="596"/>
      <c r="T309" s="596"/>
      <c r="U309" s="596"/>
      <c r="V309" s="596"/>
      <c r="W309" s="596"/>
      <c r="X309" s="596"/>
      <c r="Y309" s="596"/>
      <c r="Z309" s="596"/>
      <c r="AA309" s="596"/>
    </row>
    <row r="310" spans="2:27" ht="12" customHeight="1">
      <c r="B310" s="766"/>
      <c r="C310" s="761" t="s">
        <v>3072</v>
      </c>
      <c r="D310" s="761" t="s">
        <v>1749</v>
      </c>
      <c r="E310" s="762" t="s">
        <v>3073</v>
      </c>
      <c r="F310" s="762" t="s">
        <v>3656</v>
      </c>
      <c r="G310" s="763" t="s">
        <v>1998</v>
      </c>
      <c r="H310" s="764" t="s">
        <v>500</v>
      </c>
      <c r="I310" s="680"/>
      <c r="J310" s="613" t="s">
        <v>3029</v>
      </c>
      <c r="K310" s="614"/>
      <c r="L310" s="609"/>
      <c r="M310" s="610"/>
      <c r="N310" s="615" t="s">
        <v>1313</v>
      </c>
      <c r="O310" s="615" t="s">
        <v>387</v>
      </c>
      <c r="P310" s="1373"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3656</v>
      </c>
      <c r="G311" s="763" t="s">
        <v>1999</v>
      </c>
      <c r="H311" s="764" t="s">
        <v>500</v>
      </c>
      <c r="I311" s="680"/>
      <c r="J311" s="613" t="s">
        <v>3030</v>
      </c>
      <c r="K311" s="614"/>
      <c r="L311" s="609"/>
      <c r="M311" s="610"/>
      <c r="N311" s="615" t="s">
        <v>855</v>
      </c>
      <c r="O311" s="615" t="s">
        <v>131</v>
      </c>
      <c r="P311" s="497" t="s">
        <v>2343</v>
      </c>
      <c r="Q311" s="1372"/>
      <c r="S311" s="596"/>
      <c r="T311" s="596"/>
      <c r="U311" s="596"/>
      <c r="V311" s="596"/>
      <c r="W311" s="596"/>
      <c r="X311" s="596"/>
      <c r="Y311" s="596"/>
      <c r="Z311" s="596"/>
      <c r="AA311" s="596"/>
    </row>
    <row r="312" spans="2:27" ht="12" customHeight="1">
      <c r="B312" s="766"/>
      <c r="C312" s="761" t="s">
        <v>3076</v>
      </c>
      <c r="D312" s="761" t="s">
        <v>1902</v>
      </c>
      <c r="E312" s="762" t="s">
        <v>3077</v>
      </c>
      <c r="F312" s="762" t="s">
        <v>3656</v>
      </c>
      <c r="G312" s="763" t="s">
        <v>2894</v>
      </c>
      <c r="H312" s="764" t="s">
        <v>500</v>
      </c>
      <c r="I312" s="680"/>
      <c r="J312" s="613" t="s">
        <v>2944</v>
      </c>
      <c r="K312" s="614"/>
      <c r="L312" s="609"/>
      <c r="M312" s="610"/>
      <c r="N312" s="497" t="s">
        <v>3596</v>
      </c>
      <c r="O312" s="497" t="s">
        <v>1894</v>
      </c>
      <c r="P312" s="1374" t="s">
        <v>3032</v>
      </c>
      <c r="Q312" s="1372"/>
      <c r="S312" s="596"/>
      <c r="T312" s="596"/>
      <c r="U312" s="596"/>
      <c r="V312" s="596"/>
      <c r="W312" s="596"/>
      <c r="X312" s="596"/>
      <c r="Y312" s="596"/>
      <c r="Z312" s="596"/>
      <c r="AA312" s="596"/>
    </row>
    <row r="313" spans="2:27" ht="12" customHeight="1">
      <c r="B313" s="766"/>
      <c r="C313" s="761" t="s">
        <v>3078</v>
      </c>
      <c r="D313" s="761" t="s">
        <v>1749</v>
      </c>
      <c r="E313" s="762" t="s">
        <v>3079</v>
      </c>
      <c r="F313" s="762" t="s">
        <v>3656</v>
      </c>
      <c r="G313" s="763" t="s">
        <v>2895</v>
      </c>
      <c r="H313" s="764" t="s">
        <v>500</v>
      </c>
      <c r="I313" s="680"/>
      <c r="J313" s="613" t="s">
        <v>2946</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3656</v>
      </c>
      <c r="G314" s="763" t="s">
        <v>2896</v>
      </c>
      <c r="H314" s="764" t="s">
        <v>500</v>
      </c>
      <c r="I314" s="680"/>
      <c r="J314" s="613" t="s">
        <v>853</v>
      </c>
      <c r="K314" s="614"/>
      <c r="L314" s="609"/>
      <c r="M314" s="610"/>
      <c r="N314" s="615" t="s">
        <v>3546</v>
      </c>
      <c r="O314" s="615" t="s">
        <v>3628</v>
      </c>
      <c r="P314" s="497" t="s">
        <v>2345</v>
      </c>
      <c r="Q314" s="1372"/>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2897</v>
      </c>
      <c r="H315" s="764" t="s">
        <v>500</v>
      </c>
      <c r="I315" s="681"/>
      <c r="J315" s="613" t="s">
        <v>854</v>
      </c>
      <c r="K315" s="614"/>
      <c r="L315" s="609"/>
      <c r="M315" s="610"/>
      <c r="N315" s="615" t="s">
        <v>861</v>
      </c>
      <c r="O315" s="615" t="s">
        <v>3076</v>
      </c>
      <c r="P315" s="497" t="s">
        <v>2346</v>
      </c>
      <c r="Q315" s="1372"/>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72"/>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3656</v>
      </c>
      <c r="G318" s="763" t="s">
        <v>1688</v>
      </c>
      <c r="H318" s="764" t="s">
        <v>500</v>
      </c>
      <c r="I318" s="681"/>
      <c r="J318" s="613" t="s">
        <v>859</v>
      </c>
      <c r="K318" s="614"/>
      <c r="L318" s="609"/>
      <c r="M318" s="610"/>
      <c r="N318" s="615" t="s">
        <v>784</v>
      </c>
      <c r="O318" s="615" t="s">
        <v>197</v>
      </c>
      <c r="P318" s="1373" t="s">
        <v>1311</v>
      </c>
      <c r="Q318" s="1372"/>
      <c r="S318" s="596"/>
      <c r="T318" s="596"/>
      <c r="U318" s="596"/>
      <c r="V318" s="596"/>
      <c r="W318" s="596"/>
      <c r="X318" s="596"/>
      <c r="Y318" s="596"/>
      <c r="Z318" s="596"/>
      <c r="AA318" s="596"/>
    </row>
    <row r="319" spans="2:27" ht="12" customHeight="1">
      <c r="B319" s="766"/>
      <c r="C319" s="761" t="s">
        <v>2787</v>
      </c>
      <c r="D319" s="761" t="s">
        <v>1749</v>
      </c>
      <c r="E319" s="765" t="s">
        <v>2788</v>
      </c>
      <c r="F319" s="765" t="s">
        <v>3656</v>
      </c>
      <c r="G319" s="763" t="s">
        <v>1689</v>
      </c>
      <c r="H319" s="764" t="s">
        <v>500</v>
      </c>
      <c r="I319" s="681"/>
      <c r="J319" s="613" t="s">
        <v>860</v>
      </c>
      <c r="K319" s="614"/>
      <c r="L319" s="609"/>
      <c r="M319" s="610"/>
      <c r="N319" s="615" t="s">
        <v>1142</v>
      </c>
      <c r="O319" s="615" t="s">
        <v>1620</v>
      </c>
      <c r="P319" s="497" t="s">
        <v>2349</v>
      </c>
      <c r="Q319" s="1372"/>
      <c r="S319" s="596"/>
      <c r="T319" s="596"/>
      <c r="U319" s="596"/>
      <c r="V319" s="596"/>
      <c r="W319" s="596"/>
      <c r="X319" s="596"/>
      <c r="Y319" s="596"/>
      <c r="Z319" s="596"/>
      <c r="AA319" s="596"/>
    </row>
    <row r="320" spans="2:27" ht="12" customHeight="1">
      <c r="B320" s="766"/>
      <c r="C320" s="761" t="s">
        <v>2789</v>
      </c>
      <c r="D320" s="761" t="s">
        <v>1878</v>
      </c>
      <c r="E320" s="765" t="s">
        <v>2790</v>
      </c>
      <c r="F320" s="765" t="s">
        <v>3656</v>
      </c>
      <c r="G320" s="763" t="s">
        <v>1690</v>
      </c>
      <c r="H320" s="764" t="s">
        <v>500</v>
      </c>
      <c r="I320" s="681"/>
      <c r="J320" s="613" t="s">
        <v>862</v>
      </c>
      <c r="K320" s="614"/>
      <c r="L320" s="609"/>
      <c r="M320" s="610"/>
      <c r="N320" s="615" t="s">
        <v>1144</v>
      </c>
      <c r="O320" s="615" t="s">
        <v>130</v>
      </c>
      <c r="P320" s="497" t="s">
        <v>2350</v>
      </c>
      <c r="Q320" s="1372"/>
      <c r="S320" s="596"/>
      <c r="T320" s="596"/>
      <c r="U320" s="596"/>
      <c r="V320" s="596"/>
      <c r="W320" s="596"/>
      <c r="X320" s="596"/>
      <c r="Y320" s="596"/>
      <c r="Z320" s="596"/>
      <c r="AA320" s="596"/>
    </row>
    <row r="321" spans="2:27" ht="12" customHeight="1">
      <c r="B321" s="766"/>
      <c r="C321" s="761" t="s">
        <v>2791</v>
      </c>
      <c r="D321" s="761" t="s">
        <v>1749</v>
      </c>
      <c r="E321" s="765" t="s">
        <v>2792</v>
      </c>
      <c r="F321" s="765" t="s">
        <v>3656</v>
      </c>
      <c r="G321" s="763" t="s">
        <v>1691</v>
      </c>
      <c r="H321" s="764" t="s">
        <v>500</v>
      </c>
      <c r="I321" s="680"/>
      <c r="J321" s="613" t="s">
        <v>864</v>
      </c>
      <c r="K321" s="614"/>
      <c r="L321" s="609"/>
      <c r="M321" s="610"/>
      <c r="N321" s="615" t="s">
        <v>42</v>
      </c>
      <c r="O321" s="615" t="s">
        <v>214</v>
      </c>
      <c r="P321" s="497" t="s">
        <v>2351</v>
      </c>
      <c r="Q321" s="1372"/>
      <c r="S321" s="596"/>
      <c r="T321" s="596"/>
      <c r="U321" s="596"/>
      <c r="V321" s="596"/>
      <c r="W321" s="596"/>
      <c r="X321" s="596"/>
      <c r="Y321" s="596"/>
      <c r="Z321" s="596"/>
      <c r="AA321" s="596"/>
    </row>
    <row r="322" spans="2:27" ht="12" customHeight="1">
      <c r="B322" s="766"/>
      <c r="C322" s="761" t="s">
        <v>2793</v>
      </c>
      <c r="D322" s="761" t="s">
        <v>1902</v>
      </c>
      <c r="E322" s="762" t="s">
        <v>2794</v>
      </c>
      <c r="F322" s="765" t="s">
        <v>3656</v>
      </c>
      <c r="G322" s="763" t="s">
        <v>1692</v>
      </c>
      <c r="H322" s="764" t="s">
        <v>500</v>
      </c>
      <c r="I322" s="681"/>
      <c r="J322" s="613" t="s">
        <v>783</v>
      </c>
      <c r="K322" s="614"/>
      <c r="L322" s="609"/>
      <c r="M322" s="610"/>
      <c r="N322" s="615" t="s">
        <v>2845</v>
      </c>
      <c r="O322" s="615" t="s">
        <v>3156</v>
      </c>
      <c r="P322" s="497" t="s">
        <v>2352</v>
      </c>
      <c r="Q322" s="1372"/>
      <c r="S322" s="596"/>
      <c r="T322" s="596"/>
      <c r="U322" s="596"/>
      <c r="V322" s="596"/>
      <c r="W322" s="596"/>
      <c r="X322" s="596"/>
      <c r="Y322" s="596"/>
      <c r="Z322" s="596"/>
      <c r="AA322" s="596"/>
    </row>
    <row r="323" spans="2:27" ht="12" customHeight="1">
      <c r="B323" s="766"/>
      <c r="C323" s="761" t="s">
        <v>2795</v>
      </c>
      <c r="D323" s="761" t="s">
        <v>1749</v>
      </c>
      <c r="E323" s="765" t="s">
        <v>2796</v>
      </c>
      <c r="F323" s="762" t="s">
        <v>3656</v>
      </c>
      <c r="G323" s="763" t="s">
        <v>1693</v>
      </c>
      <c r="H323" s="764" t="s">
        <v>500</v>
      </c>
      <c r="I323" s="681"/>
      <c r="J323" s="613" t="s">
        <v>1678</v>
      </c>
      <c r="K323" s="614"/>
      <c r="L323" s="609"/>
      <c r="M323" s="610"/>
      <c r="N323" s="615" t="s">
        <v>2847</v>
      </c>
      <c r="O323" s="615" t="s">
        <v>3629</v>
      </c>
      <c r="P323" s="497" t="s">
        <v>2353</v>
      </c>
      <c r="Q323" s="1372"/>
      <c r="S323" s="596"/>
      <c r="T323" s="596"/>
      <c r="U323" s="596"/>
      <c r="V323" s="596"/>
      <c r="W323" s="596"/>
      <c r="X323" s="596"/>
      <c r="Y323" s="596"/>
      <c r="Z323" s="596"/>
      <c r="AA323" s="596"/>
    </row>
    <row r="324" spans="2:27" ht="12" customHeight="1">
      <c r="B324" s="766"/>
      <c r="C324" s="761" t="s">
        <v>2797</v>
      </c>
      <c r="D324" s="761" t="s">
        <v>1902</v>
      </c>
      <c r="E324" s="765" t="s">
        <v>1887</v>
      </c>
      <c r="F324" s="765" t="s">
        <v>3657</v>
      </c>
      <c r="G324" s="763" t="s">
        <v>3614</v>
      </c>
      <c r="H324" s="764" t="s">
        <v>501</v>
      </c>
      <c r="I324" s="681"/>
      <c r="J324" s="613" t="s">
        <v>1143</v>
      </c>
      <c r="K324" s="614"/>
      <c r="L324" s="609"/>
      <c r="M324" s="610"/>
      <c r="N324" s="615" t="s">
        <v>404</v>
      </c>
      <c r="O324" s="615" t="s">
        <v>2829</v>
      </c>
      <c r="P324" s="497" t="s">
        <v>2354</v>
      </c>
      <c r="Q324" s="1372"/>
      <c r="S324" s="596"/>
      <c r="T324" s="596"/>
      <c r="U324" s="596"/>
      <c r="V324" s="596"/>
      <c r="W324" s="596"/>
      <c r="X324" s="596"/>
      <c r="Y324" s="596"/>
      <c r="Z324" s="596"/>
      <c r="AA324" s="596"/>
    </row>
    <row r="325" spans="2:27" ht="12" customHeight="1">
      <c r="B325" s="766"/>
      <c r="C325" s="761" t="s">
        <v>2798</v>
      </c>
      <c r="D325" s="761" t="s">
        <v>1878</v>
      </c>
      <c r="E325" s="765" t="s">
        <v>2799</v>
      </c>
      <c r="F325" s="765" t="s">
        <v>3656</v>
      </c>
      <c r="G325" s="763" t="s">
        <v>1694</v>
      </c>
      <c r="H325" s="764" t="s">
        <v>500</v>
      </c>
      <c r="I325" s="680"/>
      <c r="J325" s="613" t="s">
        <v>41</v>
      </c>
      <c r="K325" s="614"/>
      <c r="L325" s="609"/>
      <c r="M325" s="610"/>
      <c r="N325" s="615" t="s">
        <v>406</v>
      </c>
      <c r="O325" s="615" t="s">
        <v>1364</v>
      </c>
      <c r="P325" s="497" t="s">
        <v>2355</v>
      </c>
      <c r="Q325" s="1372"/>
      <c r="S325" s="596"/>
      <c r="T325" s="596"/>
      <c r="U325" s="596"/>
      <c r="V325" s="596"/>
      <c r="W325" s="596"/>
      <c r="X325" s="596"/>
      <c r="Y325" s="596"/>
      <c r="Z325" s="596"/>
      <c r="AA325" s="596"/>
    </row>
    <row r="326" spans="2:27" ht="12" customHeight="1">
      <c r="B326" s="766"/>
      <c r="C326" s="761" t="s">
        <v>2887</v>
      </c>
      <c r="D326" s="761" t="s">
        <v>1902</v>
      </c>
      <c r="E326" s="762" t="s">
        <v>2888</v>
      </c>
      <c r="F326" s="765" t="s">
        <v>3656</v>
      </c>
      <c r="G326" s="763" t="s">
        <v>1695</v>
      </c>
      <c r="H326" s="764" t="s">
        <v>500</v>
      </c>
      <c r="I326" s="681"/>
      <c r="J326" s="613" t="s">
        <v>2844</v>
      </c>
      <c r="K326" s="614"/>
      <c r="L326" s="609"/>
      <c r="M326" s="610"/>
      <c r="N326" s="615" t="s">
        <v>408</v>
      </c>
      <c r="O326" s="615" t="s">
        <v>217</v>
      </c>
      <c r="P326" s="497" t="s">
        <v>2356</v>
      </c>
      <c r="Q326" s="1372"/>
      <c r="S326" s="596"/>
      <c r="T326" s="596"/>
      <c r="U326" s="596"/>
      <c r="V326" s="596"/>
      <c r="W326" s="596"/>
      <c r="X326" s="596"/>
      <c r="Y326" s="596"/>
      <c r="Z326" s="596"/>
      <c r="AA326" s="596"/>
    </row>
    <row r="327" spans="2:27" ht="12" customHeight="1">
      <c r="B327" s="766"/>
      <c r="C327" s="761" t="s">
        <v>2889</v>
      </c>
      <c r="D327" s="761" t="s">
        <v>1878</v>
      </c>
      <c r="E327" s="765" t="s">
        <v>2122</v>
      </c>
      <c r="F327" s="762" t="s">
        <v>3657</v>
      </c>
      <c r="G327" s="763" t="s">
        <v>2527</v>
      </c>
      <c r="H327" s="764" t="s">
        <v>501</v>
      </c>
      <c r="I327" s="681"/>
      <c r="J327" s="613" t="s">
        <v>2846</v>
      </c>
      <c r="K327" s="614"/>
      <c r="L327" s="609"/>
      <c r="M327" s="610"/>
      <c r="N327" s="615" t="s">
        <v>410</v>
      </c>
      <c r="O327" s="615" t="s">
        <v>3376</v>
      </c>
      <c r="P327" s="497" t="s">
        <v>2357</v>
      </c>
      <c r="Q327" s="1372"/>
      <c r="S327" s="596"/>
      <c r="T327" s="596"/>
      <c r="U327" s="596"/>
      <c r="V327" s="596"/>
      <c r="W327" s="596"/>
      <c r="X327" s="596"/>
      <c r="Y327" s="596"/>
      <c r="Z327" s="596"/>
      <c r="AA327" s="596"/>
    </row>
    <row r="328" spans="2:27" ht="12" customHeight="1">
      <c r="B328" s="766"/>
      <c r="C328" s="761" t="s">
        <v>2890</v>
      </c>
      <c r="D328" s="761" t="s">
        <v>1902</v>
      </c>
      <c r="E328" s="765" t="s">
        <v>1244</v>
      </c>
      <c r="F328" s="765" t="s">
        <v>3657</v>
      </c>
      <c r="G328" s="763" t="s">
        <v>3611</v>
      </c>
      <c r="H328" s="764" t="s">
        <v>501</v>
      </c>
      <c r="I328" s="681"/>
      <c r="J328" s="613" t="s">
        <v>403</v>
      </c>
      <c r="K328" s="614"/>
      <c r="L328" s="609"/>
      <c r="M328" s="610"/>
      <c r="N328" s="615" t="s">
        <v>412</v>
      </c>
      <c r="O328" s="615" t="s">
        <v>2754</v>
      </c>
      <c r="P328" s="497" t="s">
        <v>2358</v>
      </c>
      <c r="Q328" s="1372"/>
      <c r="S328" s="596"/>
      <c r="T328" s="596"/>
      <c r="U328" s="596"/>
      <c r="V328" s="596"/>
      <c r="W328" s="596"/>
      <c r="X328" s="596"/>
      <c r="Y328" s="596"/>
      <c r="Z328" s="596"/>
      <c r="AA328" s="596"/>
    </row>
    <row r="329" spans="2:27" ht="12" customHeight="1">
      <c r="B329" s="766"/>
      <c r="C329" s="761" t="s">
        <v>2891</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72"/>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2820</v>
      </c>
      <c r="O330" s="615" t="s">
        <v>115</v>
      </c>
      <c r="P330" s="497" t="s">
        <v>1161</v>
      </c>
      <c r="Q330" s="1372"/>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72"/>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3047</v>
      </c>
      <c r="O332" s="615" t="s">
        <v>234</v>
      </c>
      <c r="P332" s="497" t="s">
        <v>1163</v>
      </c>
      <c r="Q332" s="1372"/>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3072</v>
      </c>
      <c r="P333" s="497" t="s">
        <v>1164</v>
      </c>
      <c r="Q333" s="1372"/>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3323</v>
      </c>
      <c r="H334" s="764" t="s">
        <v>500</v>
      </c>
      <c r="I334" s="681"/>
      <c r="J334" s="613" t="s">
        <v>2819</v>
      </c>
      <c r="K334" s="614"/>
      <c r="L334" s="609"/>
      <c r="M334" s="610"/>
      <c r="N334" s="615" t="s">
        <v>192</v>
      </c>
      <c r="O334" s="615" t="s">
        <v>2753</v>
      </c>
      <c r="P334" s="497" t="s">
        <v>1165</v>
      </c>
      <c r="Q334" s="1372"/>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3324</v>
      </c>
      <c r="H335" s="764" t="s">
        <v>500</v>
      </c>
      <c r="I335" s="680"/>
      <c r="J335" s="613" t="s">
        <v>2821</v>
      </c>
      <c r="K335" s="614"/>
      <c r="L335" s="609"/>
      <c r="M335" s="610"/>
      <c r="N335" s="615" t="s">
        <v>235</v>
      </c>
      <c r="O335" s="615" t="s">
        <v>887</v>
      </c>
      <c r="P335" s="497" t="s">
        <v>1166</v>
      </c>
      <c r="Q335" s="1372"/>
      <c r="S335" s="596"/>
      <c r="T335" s="596"/>
      <c r="U335" s="596"/>
      <c r="V335" s="596"/>
      <c r="W335" s="596"/>
      <c r="X335" s="596"/>
      <c r="Y335" s="596"/>
      <c r="Z335" s="596"/>
      <c r="AA335" s="596"/>
    </row>
    <row r="336" spans="2:27" ht="12" customHeight="1">
      <c r="B336" s="766"/>
      <c r="C336" s="761" t="s">
        <v>2829</v>
      </c>
      <c r="D336" s="761" t="s">
        <v>1878</v>
      </c>
      <c r="E336" s="762" t="s">
        <v>404</v>
      </c>
      <c r="F336" s="765" t="s">
        <v>3657</v>
      </c>
      <c r="G336" s="763" t="s">
        <v>3325</v>
      </c>
      <c r="H336" s="764" t="s">
        <v>501</v>
      </c>
      <c r="I336" s="681"/>
      <c r="J336" s="613" t="s">
        <v>3046</v>
      </c>
      <c r="K336" s="614"/>
      <c r="L336" s="609"/>
      <c r="M336" s="610"/>
      <c r="N336" s="497" t="s">
        <v>3597</v>
      </c>
      <c r="O336" s="497" t="s">
        <v>2891</v>
      </c>
      <c r="P336" s="1374" t="s">
        <v>3032</v>
      </c>
      <c r="Q336" s="1372"/>
      <c r="S336" s="596"/>
      <c r="T336" s="596"/>
      <c r="U336" s="596"/>
      <c r="V336" s="596"/>
      <c r="W336" s="596"/>
      <c r="X336" s="596"/>
      <c r="Y336" s="596"/>
      <c r="Z336" s="596"/>
      <c r="AA336" s="596"/>
    </row>
    <row r="337" spans="1:27" ht="12" customHeight="1">
      <c r="B337" s="766"/>
      <c r="C337" s="761" t="s">
        <v>2830</v>
      </c>
      <c r="D337" s="761" t="s">
        <v>1749</v>
      </c>
      <c r="E337" s="765" t="s">
        <v>3373</v>
      </c>
      <c r="F337" s="762" t="s">
        <v>3656</v>
      </c>
      <c r="G337" s="763" t="s">
        <v>3326</v>
      </c>
      <c r="H337" s="764" t="s">
        <v>500</v>
      </c>
      <c r="I337" s="681"/>
      <c r="J337" s="613" t="s">
        <v>190</v>
      </c>
      <c r="K337" s="614"/>
      <c r="L337" s="609"/>
      <c r="M337" s="610"/>
      <c r="N337" s="615" t="s">
        <v>1277</v>
      </c>
      <c r="O337" s="615" t="s">
        <v>115</v>
      </c>
      <c r="P337" s="497" t="s">
        <v>1167</v>
      </c>
      <c r="Q337" s="1372"/>
      <c r="S337" s="596"/>
      <c r="T337" s="596"/>
      <c r="U337" s="596"/>
      <c r="V337" s="596"/>
      <c r="W337" s="596"/>
      <c r="X337" s="596"/>
      <c r="Y337" s="596"/>
      <c r="Z337" s="596"/>
      <c r="AA337" s="596"/>
    </row>
    <row r="338" spans="1:27" ht="12" customHeight="1">
      <c r="B338" s="766"/>
      <c r="C338" s="761" t="s">
        <v>3374</v>
      </c>
      <c r="D338" s="761" t="s">
        <v>1902</v>
      </c>
      <c r="E338" s="765" t="s">
        <v>3375</v>
      </c>
      <c r="F338" s="765" t="s">
        <v>3656</v>
      </c>
      <c r="G338" s="763" t="s">
        <v>498</v>
      </c>
      <c r="H338" s="764" t="s">
        <v>500</v>
      </c>
      <c r="I338" s="681"/>
      <c r="J338" s="613" t="s">
        <v>191</v>
      </c>
      <c r="K338" s="614"/>
      <c r="L338" s="609"/>
      <c r="M338" s="610"/>
      <c r="N338" s="615" t="s">
        <v>1279</v>
      </c>
      <c r="O338" s="615" t="s">
        <v>131</v>
      </c>
      <c r="P338" s="497" t="s">
        <v>1168</v>
      </c>
      <c r="Q338" s="1372"/>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3656</v>
      </c>
      <c r="G339" s="763" t="s">
        <v>499</v>
      </c>
      <c r="H339" s="764" t="s">
        <v>500</v>
      </c>
      <c r="I339" s="681"/>
      <c r="J339" s="613" t="s">
        <v>2184</v>
      </c>
      <c r="K339" s="614"/>
      <c r="L339" s="609"/>
      <c r="M339" s="610"/>
      <c r="N339" s="615" t="s">
        <v>1281</v>
      </c>
      <c r="O339" s="615" t="s">
        <v>395</v>
      </c>
      <c r="P339" s="497" t="s">
        <v>1169</v>
      </c>
      <c r="Q339" s="1372"/>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3657</v>
      </c>
      <c r="G340" s="763" t="s">
        <v>1683</v>
      </c>
      <c r="H340" s="764" t="s">
        <v>501</v>
      </c>
      <c r="J340" s="613" t="s">
        <v>1276</v>
      </c>
      <c r="K340" s="614"/>
      <c r="L340" s="609"/>
      <c r="M340" s="610"/>
      <c r="N340" s="615" t="s">
        <v>3407</v>
      </c>
      <c r="O340" s="615" t="s">
        <v>2038</v>
      </c>
      <c r="P340" s="497" t="s">
        <v>1170</v>
      </c>
      <c r="Q340" s="1372"/>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74"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74"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3067</v>
      </c>
      <c r="P357" s="1374"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74"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3156</v>
      </c>
      <c r="O373" s="497" t="s">
        <v>3542</v>
      </c>
      <c r="P373" s="1374"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3602</v>
      </c>
      <c r="O374" s="497" t="s">
        <v>3067</v>
      </c>
      <c r="P374" s="1374"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3603</v>
      </c>
      <c r="O375" s="497" t="s">
        <v>3490</v>
      </c>
      <c r="P375" s="1374"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2889</v>
      </c>
      <c r="P378" s="1374"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4"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3"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4"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74"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74"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74"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74"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3487</v>
      </c>
      <c r="P453" s="1374"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2854</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4"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4"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4"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74"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2887</v>
      </c>
      <c r="P491" s="1374"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73"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3"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74"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74"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3"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4"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74"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3199</v>
      </c>
      <c r="O556" s="497" t="s">
        <v>1744</v>
      </c>
      <c r="P556" s="1374"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3"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4"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4"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4"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73"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4"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3590</v>
      </c>
      <c r="S599" s="497" t="s">
        <v>887</v>
      </c>
      <c r="T599" s="1374"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4" t="s">
        <v>3032</v>
      </c>
      <c r="Q600" s="596"/>
      <c r="R600" s="497" t="s">
        <v>3591</v>
      </c>
      <c r="S600" s="497" t="s">
        <v>388</v>
      </c>
      <c r="T600" s="1374"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74"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74"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3594</v>
      </c>
      <c r="S603" s="497" t="s">
        <v>2889</v>
      </c>
      <c r="T603" s="1374"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3595</v>
      </c>
      <c r="S604" s="497" t="s">
        <v>3487</v>
      </c>
      <c r="T604" s="1374"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3596</v>
      </c>
      <c r="S605" s="497" t="s">
        <v>1894</v>
      </c>
      <c r="T605" s="1374"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3597</v>
      </c>
      <c r="S606" s="497" t="s">
        <v>2891</v>
      </c>
      <c r="T606" s="1374"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74"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74"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3067</v>
      </c>
      <c r="T609" s="1374"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74"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3156</v>
      </c>
      <c r="S611" s="497" t="s">
        <v>3542</v>
      </c>
      <c r="T611" s="1374"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3602</v>
      </c>
      <c r="S612" s="497" t="s">
        <v>3067</v>
      </c>
      <c r="T612" s="1374"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74"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3" t="s">
        <v>1311</v>
      </c>
      <c r="Q614" s="596"/>
      <c r="R614" s="497" t="s">
        <v>3604</v>
      </c>
      <c r="S614" s="497" t="s">
        <v>2889</v>
      </c>
      <c r="T614" s="1374"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4"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4" t="s">
        <v>3032</v>
      </c>
      <c r="Q616" s="596"/>
      <c r="R616" s="497" t="s">
        <v>1397</v>
      </c>
      <c r="S616" s="497" t="s">
        <v>1616</v>
      </c>
      <c r="T616" s="1374"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4"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74"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4" t="s">
        <v>3032</v>
      </c>
      <c r="Q619" s="596"/>
      <c r="R619" s="497" t="s">
        <v>1561</v>
      </c>
      <c r="S619" s="497" t="s">
        <v>2887</v>
      </c>
      <c r="T619" s="1374"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4"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75"/>
      <c r="R621" s="497" t="s">
        <v>1563</v>
      </c>
      <c r="S621" s="497" t="s">
        <v>2121</v>
      </c>
      <c r="T621" s="1374"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3487</v>
      </c>
      <c r="T622" s="1374"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4" t="s">
        <v>3032</v>
      </c>
      <c r="Q623" s="596"/>
      <c r="R623" s="497" t="s">
        <v>1565</v>
      </c>
      <c r="S623" s="497" t="s">
        <v>196</v>
      </c>
      <c r="T623" s="1374"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74" t="s">
        <v>3032</v>
      </c>
      <c r="Q624" s="596"/>
      <c r="R624" s="497" t="s">
        <v>1566</v>
      </c>
      <c r="S624" s="497" t="s">
        <v>1901</v>
      </c>
      <c r="T624" s="1374"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74"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74"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2887</v>
      </c>
      <c r="T627" s="1374"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74"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3490</v>
      </c>
      <c r="T629" s="1374"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3542</v>
      </c>
      <c r="T630" s="1374"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74"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4"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4"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74"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4"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4"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4"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4"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74"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74"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74"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4" t="s">
        <v>3032</v>
      </c>
      <c r="Q642" s="596"/>
      <c r="R642" s="497" t="s">
        <v>1580</v>
      </c>
      <c r="S642" s="497" t="s">
        <v>887</v>
      </c>
      <c r="T642" s="1374"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74"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4"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74"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74"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74"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2889</v>
      </c>
      <c r="P648" s="610" t="s">
        <v>1117</v>
      </c>
      <c r="Q648" s="596"/>
      <c r="R648" s="497" t="s">
        <v>1585</v>
      </c>
      <c r="S648" s="497" t="s">
        <v>887</v>
      </c>
      <c r="T648" s="1374"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3057</v>
      </c>
      <c r="O649" s="615" t="s">
        <v>1744</v>
      </c>
      <c r="P649" s="610" t="s">
        <v>1118</v>
      </c>
      <c r="Q649" s="596"/>
      <c r="R649" s="497" t="s">
        <v>1586</v>
      </c>
      <c r="S649" s="497" t="s">
        <v>924</v>
      </c>
      <c r="T649" s="1374"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74"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3" t="s">
        <v>1311</v>
      </c>
      <c r="Q651" s="596"/>
      <c r="R651" s="497" t="s">
        <v>1588</v>
      </c>
      <c r="S651" s="497" t="s">
        <v>2789</v>
      </c>
      <c r="T651" s="1374"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4" t="s">
        <v>3032</v>
      </c>
      <c r="Q652" s="596"/>
      <c r="R652" s="497" t="s">
        <v>1589</v>
      </c>
      <c r="S652" s="497" t="s">
        <v>2887</v>
      </c>
      <c r="T652" s="1374"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74"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4"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4" t="s">
        <v>3032</v>
      </c>
      <c r="Q655" s="596"/>
      <c r="R655" s="497" t="s">
        <v>1592</v>
      </c>
      <c r="S655" s="497" t="s">
        <v>3490</v>
      </c>
      <c r="T655" s="1374"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74"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4"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74"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4"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4"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3550</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74"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2789</v>
      </c>
      <c r="P697" s="1374"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2887</v>
      </c>
      <c r="P698" s="1374"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2851</v>
      </c>
      <c r="O709" s="615" t="s">
        <v>392</v>
      </c>
      <c r="P709" s="610" t="s">
        <v>524</v>
      </c>
      <c r="Q709" s="1375"/>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73"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4"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4"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3"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74"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3"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4"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4"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 Print date:  &amp;D  &amp;P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17"/>
  <dimension ref="A1"/>
  <sheetViews>
    <sheetView workbookViewId="0">
      <selection activeCell="E234" sqref="E234"/>
    </sheetView>
  </sheetViews>
  <sheetFormatPr defaultRowHeight="12.75"/>
  <cols>
    <col min="1" max="1" width="109" customWidth="1"/>
  </cols>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4" enableFormatConditionsCalculation="0">
    <pageSetUpPr fitToPage="1"/>
  </sheetPr>
  <dimension ref="A1:X201"/>
  <sheetViews>
    <sheetView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42578125" style="472" customWidth="1"/>
    <col min="25" max="16384" width="9.140625" style="472"/>
  </cols>
  <sheetData>
    <row r="1" spans="1:19" s="449" customFormat="1" ht="14.1" customHeight="1">
      <c r="A1" s="915" t="str">
        <f>CONCATENATE("PART TWO - DEVELOPMENT TEAM INFORMATION","  -  ",'Part I-Project Information'!$O$4," ",'Part I-Project Information'!$F$22,", ",'Part I-Project Information'!F24,", ",'Part I-Project Information'!J25," County")</f>
        <v>PART TWO - DEVELOPMENT TEAM INFORMATION  -  2012-059 Allen Wilson - Phase III, Decatur, DeKalb County</v>
      </c>
      <c r="B1" s="916"/>
      <c r="C1" s="916"/>
      <c r="D1" s="916"/>
      <c r="E1" s="916"/>
      <c r="F1" s="916"/>
      <c r="G1" s="916"/>
      <c r="H1" s="916"/>
      <c r="I1" s="916"/>
      <c r="J1" s="916"/>
      <c r="K1" s="916"/>
      <c r="L1" s="916"/>
      <c r="M1" s="916"/>
      <c r="N1" s="916"/>
      <c r="O1" s="916"/>
      <c r="P1" s="916"/>
      <c r="Q1" s="916"/>
      <c r="R1" s="916"/>
      <c r="S1" s="917"/>
    </row>
    <row r="3" spans="1:19" s="449" customFormat="1" ht="13.3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4004</v>
      </c>
      <c r="I5" s="1341"/>
      <c r="J5" s="1341"/>
      <c r="K5" s="1341"/>
      <c r="L5" s="1341"/>
      <c r="M5" s="1341"/>
      <c r="N5" s="1342"/>
      <c r="O5" s="827" t="s">
        <v>2870</v>
      </c>
      <c r="P5" s="827"/>
      <c r="Q5" s="1292" t="s">
        <v>3983</v>
      </c>
      <c r="R5" s="1341"/>
      <c r="S5" s="1342"/>
    </row>
    <row r="6" spans="1:19" s="449" customFormat="1" ht="12.6" customHeight="1">
      <c r="D6" s="498"/>
      <c r="E6" s="455" t="s">
        <v>1527</v>
      </c>
      <c r="F6" s="463"/>
      <c r="H6" s="1292" t="s">
        <v>4005</v>
      </c>
      <c r="I6" s="1341"/>
      <c r="J6" s="1341"/>
      <c r="K6" s="1341"/>
      <c r="L6" s="1341"/>
      <c r="M6" s="1341"/>
      <c r="N6" s="1342"/>
      <c r="O6" s="827" t="s">
        <v>2601</v>
      </c>
      <c r="Q6" s="1292" t="s">
        <v>4006</v>
      </c>
      <c r="R6" s="1341"/>
      <c r="S6" s="1342"/>
    </row>
    <row r="7" spans="1:19" s="449" customFormat="1" ht="12.6" customHeight="1">
      <c r="D7" s="498"/>
      <c r="E7" s="455" t="s">
        <v>876</v>
      </c>
      <c r="H7" s="1292" t="s">
        <v>235</v>
      </c>
      <c r="I7" s="1341"/>
      <c r="J7" s="1342"/>
      <c r="K7" s="1376" t="s">
        <v>1159</v>
      </c>
      <c r="L7" s="1292"/>
      <c r="M7" s="1341"/>
      <c r="N7" s="1342"/>
      <c r="O7" s="827" t="s">
        <v>2659</v>
      </c>
      <c r="Q7" s="1300">
        <v>4042702101</v>
      </c>
      <c r="R7" s="1305"/>
      <c r="S7" s="1301"/>
    </row>
    <row r="8" spans="1:19" s="449" customFormat="1" ht="12.6" customHeight="1">
      <c r="D8" s="498"/>
      <c r="E8" s="455" t="s">
        <v>2655</v>
      </c>
      <c r="H8" s="1306" t="s">
        <v>1337</v>
      </c>
      <c r="I8" s="836" t="s">
        <v>1843</v>
      </c>
      <c r="J8" s="1303">
        <v>300302612</v>
      </c>
      <c r="K8" s="1342"/>
      <c r="L8" s="397" t="s">
        <v>1846</v>
      </c>
      <c r="N8" s="1343" t="s">
        <v>4104</v>
      </c>
      <c r="O8" s="827" t="s">
        <v>2859</v>
      </c>
      <c r="Q8" s="1300">
        <v>4049155811</v>
      </c>
      <c r="R8" s="1305"/>
      <c r="S8" s="1301"/>
    </row>
    <row r="9" spans="1:19" s="449" customFormat="1" ht="12.6" customHeight="1">
      <c r="D9" s="498"/>
      <c r="E9" s="455" t="s">
        <v>2865</v>
      </c>
      <c r="H9" s="1300">
        <v>4042702101</v>
      </c>
      <c r="I9" s="1301"/>
      <c r="J9" s="1377"/>
      <c r="K9" s="836" t="s">
        <v>2658</v>
      </c>
      <c r="L9" s="1329">
        <v>4042702123</v>
      </c>
      <c r="M9" s="1342"/>
      <c r="N9" s="457" t="s">
        <v>2864</v>
      </c>
      <c r="O9" s="1307" t="s">
        <v>3986</v>
      </c>
      <c r="P9" s="1308"/>
      <c r="Q9" s="1308"/>
      <c r="R9" s="1308"/>
      <c r="S9" s="1309"/>
    </row>
    <row r="10" spans="1:19" s="449" customFormat="1" ht="13.35" customHeight="1">
      <c r="D10" s="498"/>
      <c r="E10" s="440" t="s">
        <v>919</v>
      </c>
      <c r="H10" s="491"/>
      <c r="L10" s="540" t="s">
        <v>1844</v>
      </c>
      <c r="N10" s="836"/>
    </row>
    <row r="11" spans="1:19" s="449" customFormat="1" ht="4.3499999999999996" customHeight="1">
      <c r="D11" s="499"/>
      <c r="E11" s="455"/>
      <c r="F11" s="456"/>
      <c r="G11" s="456"/>
      <c r="H11" s="456"/>
      <c r="I11" s="456"/>
      <c r="J11" s="456"/>
      <c r="K11" s="456"/>
      <c r="L11" s="456"/>
      <c r="M11" s="456"/>
      <c r="N11" s="456"/>
      <c r="O11" s="456"/>
      <c r="P11" s="456"/>
      <c r="Q11" s="456"/>
    </row>
    <row r="12" spans="1:19" s="449" customFormat="1" ht="13.35" customHeight="1">
      <c r="B12" s="496" t="s">
        <v>2866</v>
      </c>
      <c r="C12" s="456" t="s">
        <v>2727</v>
      </c>
      <c r="F12" s="456"/>
      <c r="G12" s="456"/>
      <c r="H12" s="456"/>
      <c r="I12" s="456"/>
      <c r="J12" s="456"/>
      <c r="K12" s="456"/>
      <c r="L12" s="396" t="s">
        <v>1841</v>
      </c>
      <c r="O12" s="1378" t="s">
        <v>1842</v>
      </c>
      <c r="P12" s="1378"/>
      <c r="Q12" s="1378"/>
      <c r="R12" s="1378"/>
      <c r="S12" s="1378"/>
    </row>
    <row r="13" spans="1:19" s="449" customFormat="1" ht="4.3499999999999996" customHeight="1">
      <c r="D13" s="499"/>
      <c r="E13" s="455"/>
      <c r="F13" s="456"/>
      <c r="G13" s="456"/>
      <c r="H13" s="456"/>
      <c r="I13" s="456"/>
      <c r="J13" s="456"/>
      <c r="K13" s="456"/>
      <c r="L13" s="510"/>
      <c r="M13" s="456"/>
      <c r="N13" s="456"/>
      <c r="O13" s="507"/>
      <c r="P13" s="507"/>
      <c r="Q13" s="507"/>
      <c r="R13" s="397"/>
      <c r="S13" s="397"/>
    </row>
    <row r="14" spans="1:19" s="449" customFormat="1" ht="13.35" customHeight="1">
      <c r="C14" s="500" t="s">
        <v>2867</v>
      </c>
      <c r="D14" s="496" t="s">
        <v>2868</v>
      </c>
      <c r="H14" s="833"/>
      <c r="I14" s="833"/>
      <c r="J14" s="833"/>
      <c r="K14" s="450"/>
      <c r="L14" s="396" t="s">
        <v>1845</v>
      </c>
      <c r="M14" s="472"/>
      <c r="O14" s="1379" t="s">
        <v>1840</v>
      </c>
      <c r="P14" s="1379"/>
      <c r="Q14" s="1379"/>
      <c r="R14" s="1379"/>
      <c r="S14" s="1379"/>
    </row>
    <row r="15" spans="1:19" s="449" customFormat="1" ht="4.3499999999999996" customHeight="1">
      <c r="D15" s="500"/>
      <c r="E15" s="501"/>
      <c r="H15" s="1380"/>
      <c r="I15" s="1380"/>
      <c r="J15" s="1380"/>
      <c r="K15" s="826"/>
      <c r="L15" s="1380"/>
      <c r="M15" s="1380"/>
      <c r="N15" s="826"/>
      <c r="O15" s="863"/>
      <c r="P15" s="863"/>
      <c r="Q15" s="836"/>
      <c r="R15" s="863"/>
      <c r="S15" s="863"/>
    </row>
    <row r="16" spans="1:19" s="449" customFormat="1" ht="12.6" customHeight="1">
      <c r="D16" s="452" t="s">
        <v>3006</v>
      </c>
      <c r="E16" s="449" t="s">
        <v>2728</v>
      </c>
      <c r="H16" s="1292" t="s">
        <v>4065</v>
      </c>
      <c r="I16" s="1341"/>
      <c r="J16" s="1341"/>
      <c r="K16" s="1341"/>
      <c r="L16" s="1341"/>
      <c r="M16" s="1341"/>
      <c r="N16" s="1342"/>
      <c r="O16" s="827" t="s">
        <v>2870</v>
      </c>
      <c r="P16" s="827"/>
      <c r="Q16" s="1292" t="s">
        <v>3983</v>
      </c>
      <c r="R16" s="1341"/>
      <c r="S16" s="1342"/>
    </row>
    <row r="17" spans="4:19" s="449" customFormat="1" ht="12.6" customHeight="1">
      <c r="D17" s="498"/>
      <c r="E17" s="455" t="s">
        <v>1527</v>
      </c>
      <c r="F17" s="463"/>
      <c r="H17" s="1292" t="s">
        <v>4029</v>
      </c>
      <c r="I17" s="1341"/>
      <c r="J17" s="1341"/>
      <c r="K17" s="1341"/>
      <c r="L17" s="1341"/>
      <c r="M17" s="1341"/>
      <c r="N17" s="1342"/>
      <c r="O17" s="827" t="s">
        <v>2601</v>
      </c>
      <c r="Q17" s="1292" t="s">
        <v>4007</v>
      </c>
      <c r="R17" s="1341"/>
      <c r="S17" s="1342"/>
    </row>
    <row r="18" spans="4:19" s="449" customFormat="1" ht="12.6" customHeight="1">
      <c r="D18" s="498"/>
      <c r="E18" s="455" t="s">
        <v>876</v>
      </c>
      <c r="H18" s="1292" t="s">
        <v>235</v>
      </c>
      <c r="I18" s="1341"/>
      <c r="J18" s="1342"/>
      <c r="O18" s="827" t="s">
        <v>2659</v>
      </c>
      <c r="Q18" s="1300">
        <v>4042702101</v>
      </c>
      <c r="R18" s="1305"/>
      <c r="S18" s="1301"/>
    </row>
    <row r="19" spans="4:19" s="449" customFormat="1" ht="12.6" customHeight="1">
      <c r="D19" s="452"/>
      <c r="E19" s="455" t="s">
        <v>2655</v>
      </c>
      <c r="H19" s="1306" t="s">
        <v>1337</v>
      </c>
      <c r="I19" s="836" t="s">
        <v>1843</v>
      </c>
      <c r="J19" s="1303">
        <v>300302612</v>
      </c>
      <c r="K19" s="1342"/>
      <c r="L19" s="397" t="s">
        <v>1846</v>
      </c>
      <c r="N19" s="1343" t="s">
        <v>4105</v>
      </c>
      <c r="O19" s="827" t="s">
        <v>2859</v>
      </c>
      <c r="Q19" s="1300">
        <v>4049155811</v>
      </c>
      <c r="R19" s="1305"/>
      <c r="S19" s="1301"/>
    </row>
    <row r="20" spans="4:19" s="449" customFormat="1" ht="12.6" customHeight="1">
      <c r="D20" s="498"/>
      <c r="E20" s="455" t="s">
        <v>2865</v>
      </c>
      <c r="H20" s="1300">
        <v>4042702701</v>
      </c>
      <c r="I20" s="1301"/>
      <c r="J20" s="1377"/>
      <c r="K20" s="836" t="s">
        <v>2658</v>
      </c>
      <c r="L20" s="1329">
        <v>4042702123</v>
      </c>
      <c r="M20" s="1342"/>
      <c r="N20" s="457" t="s">
        <v>2864</v>
      </c>
      <c r="O20" s="1307" t="s">
        <v>3986</v>
      </c>
      <c r="P20" s="1308"/>
      <c r="Q20" s="1308"/>
      <c r="R20" s="1308"/>
      <c r="S20" s="1309"/>
    </row>
    <row r="21" spans="4:19" ht="4.3499999999999996" customHeight="1">
      <c r="D21" s="481"/>
      <c r="H21" s="1381"/>
      <c r="I21" s="1381"/>
      <c r="J21" s="1381"/>
      <c r="K21" s="836"/>
      <c r="L21" s="1381"/>
      <c r="M21" s="1381"/>
      <c r="N21" s="826"/>
      <c r="O21" s="863"/>
      <c r="P21" s="863"/>
      <c r="Q21" s="836"/>
      <c r="R21" s="863"/>
      <c r="S21" s="863"/>
    </row>
    <row r="22" spans="4:19" s="449" customFormat="1" ht="12.6" customHeight="1">
      <c r="D22" s="452" t="s">
        <v>3007</v>
      </c>
      <c r="E22" s="449" t="s">
        <v>2729</v>
      </c>
      <c r="F22" s="833"/>
      <c r="H22" s="1292"/>
      <c r="I22" s="1341"/>
      <c r="J22" s="1341"/>
      <c r="K22" s="1341"/>
      <c r="L22" s="1341"/>
      <c r="M22" s="1341"/>
      <c r="N22" s="1342"/>
      <c r="O22" s="827" t="s">
        <v>2870</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2659</v>
      </c>
      <c r="Q24" s="1300"/>
      <c r="R24" s="1305"/>
      <c r="S24" s="1301"/>
    </row>
    <row r="25" spans="4:19" s="449" customFormat="1" ht="12.6" customHeight="1">
      <c r="E25" s="455" t="s">
        <v>2655</v>
      </c>
      <c r="H25" s="1306"/>
      <c r="I25" s="483" t="s">
        <v>3138</v>
      </c>
      <c r="J25" s="1303"/>
      <c r="K25" s="1342"/>
      <c r="O25" s="827" t="s">
        <v>2859</v>
      </c>
      <c r="Q25" s="1300"/>
      <c r="R25" s="1305"/>
      <c r="S25" s="1301"/>
    </row>
    <row r="26" spans="4:19" s="449" customFormat="1" ht="12.6" customHeight="1">
      <c r="D26" s="498"/>
      <c r="E26" s="455" t="s">
        <v>2865</v>
      </c>
      <c r="H26" s="1300"/>
      <c r="I26" s="1301"/>
      <c r="J26" s="1377"/>
      <c r="K26" s="836" t="s">
        <v>2658</v>
      </c>
      <c r="L26" s="1329"/>
      <c r="M26" s="1342"/>
      <c r="N26" s="457" t="s">
        <v>2864</v>
      </c>
      <c r="O26" s="1307"/>
      <c r="P26" s="1308"/>
      <c r="Q26" s="1308"/>
      <c r="R26" s="1308"/>
      <c r="S26" s="1309"/>
    </row>
    <row r="27" spans="4:19" s="449" customFormat="1" ht="4.3499999999999996" customHeight="1">
      <c r="D27" s="498"/>
      <c r="E27" s="833"/>
      <c r="F27" s="833"/>
      <c r="G27" s="827"/>
      <c r="H27" s="1381"/>
      <c r="I27" s="1381"/>
      <c r="J27" s="1381"/>
      <c r="K27" s="836"/>
      <c r="L27" s="1381"/>
      <c r="M27" s="1381"/>
      <c r="N27" s="826"/>
      <c r="O27" s="863"/>
      <c r="P27" s="863"/>
      <c r="Q27" s="836"/>
      <c r="R27" s="863"/>
      <c r="S27" s="863"/>
    </row>
    <row r="28" spans="4:19" s="449" customFormat="1" ht="12.6" customHeight="1">
      <c r="D28" s="452" t="s">
        <v>2587</v>
      </c>
      <c r="E28" s="449" t="s">
        <v>2729</v>
      </c>
      <c r="F28" s="833"/>
      <c r="H28" s="1292"/>
      <c r="I28" s="1341"/>
      <c r="J28" s="1341"/>
      <c r="K28" s="1341"/>
      <c r="L28" s="1341"/>
      <c r="M28" s="1341"/>
      <c r="N28" s="1342"/>
      <c r="O28" s="827" t="s">
        <v>2870</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2659</v>
      </c>
      <c r="Q30" s="1300"/>
      <c r="R30" s="1305"/>
      <c r="S30" s="1301"/>
    </row>
    <row r="31" spans="4:19" s="449" customFormat="1" ht="12.6" customHeight="1">
      <c r="E31" s="455" t="s">
        <v>2655</v>
      </c>
      <c r="H31" s="1306"/>
      <c r="I31" s="483" t="s">
        <v>3138</v>
      </c>
      <c r="J31" s="1303"/>
      <c r="K31" s="1342"/>
      <c r="O31" s="827" t="s">
        <v>2859</v>
      </c>
      <c r="Q31" s="1300"/>
      <c r="R31" s="1305"/>
      <c r="S31" s="1301"/>
    </row>
    <row r="32" spans="4:19" s="449" customFormat="1" ht="12.6" customHeight="1">
      <c r="D32" s="498"/>
      <c r="E32" s="455" t="s">
        <v>2865</v>
      </c>
      <c r="H32" s="1300"/>
      <c r="I32" s="1301"/>
      <c r="J32" s="1377"/>
      <c r="K32" s="836" t="s">
        <v>2658</v>
      </c>
      <c r="L32" s="1329"/>
      <c r="M32" s="1342"/>
      <c r="N32" s="457" t="s">
        <v>2864</v>
      </c>
      <c r="O32" s="1307"/>
      <c r="P32" s="1308"/>
      <c r="Q32" s="1308"/>
      <c r="R32" s="1308"/>
      <c r="S32" s="1309"/>
    </row>
    <row r="33" spans="3:19" ht="4.3499999999999996" customHeight="1"/>
    <row r="34" spans="3:19" s="449" customFormat="1" ht="13.35" customHeight="1">
      <c r="C34" s="500" t="s">
        <v>2869</v>
      </c>
      <c r="D34" s="496" t="s">
        <v>2731</v>
      </c>
      <c r="H34" s="833"/>
      <c r="I34" s="833"/>
      <c r="J34" s="833"/>
      <c r="K34" s="833"/>
      <c r="L34" s="833"/>
      <c r="M34" s="833"/>
    </row>
    <row r="35" spans="3:19" s="449" customFormat="1" ht="4.3499999999999996" customHeight="1">
      <c r="C35" s="502"/>
      <c r="D35" s="496"/>
      <c r="H35" s="1380"/>
      <c r="I35" s="1380"/>
      <c r="J35" s="1380"/>
      <c r="K35" s="826"/>
      <c r="L35" s="1380"/>
      <c r="M35" s="1380"/>
      <c r="N35" s="826"/>
      <c r="O35" s="863"/>
      <c r="P35" s="863"/>
      <c r="Q35" s="836"/>
      <c r="R35" s="863"/>
      <c r="S35" s="863"/>
    </row>
    <row r="36" spans="3:19" s="449" customFormat="1" ht="12.6" customHeight="1">
      <c r="D36" s="452" t="s">
        <v>3006</v>
      </c>
      <c r="E36" s="449" t="s">
        <v>1146</v>
      </c>
      <c r="H36" s="1292" t="s">
        <v>4030</v>
      </c>
      <c r="I36" s="1341"/>
      <c r="J36" s="1341"/>
      <c r="K36" s="1341"/>
      <c r="L36" s="1341"/>
      <c r="M36" s="1341"/>
      <c r="N36" s="1342"/>
      <c r="O36" s="827" t="s">
        <v>2870</v>
      </c>
      <c r="P36" s="827"/>
      <c r="Q36" s="1292" t="s">
        <v>4031</v>
      </c>
      <c r="R36" s="1341"/>
      <c r="S36" s="1342"/>
    </row>
    <row r="37" spans="3:19" s="449" customFormat="1" ht="12.6" customHeight="1">
      <c r="D37" s="498"/>
      <c r="E37" s="455" t="s">
        <v>1527</v>
      </c>
      <c r="F37" s="463"/>
      <c r="H37" s="1292" t="s">
        <v>4028</v>
      </c>
      <c r="I37" s="1341"/>
      <c r="J37" s="1341"/>
      <c r="K37" s="1341"/>
      <c r="L37" s="1341"/>
      <c r="M37" s="1341"/>
      <c r="N37" s="1342"/>
      <c r="O37" s="827" t="s">
        <v>2601</v>
      </c>
      <c r="Q37" s="1292" t="s">
        <v>4032</v>
      </c>
      <c r="R37" s="1341"/>
      <c r="S37" s="1342"/>
    </row>
    <row r="38" spans="3:19" s="449" customFormat="1" ht="12.6" customHeight="1">
      <c r="D38" s="498"/>
      <c r="E38" s="455" t="s">
        <v>876</v>
      </c>
      <c r="H38" s="1292" t="s">
        <v>4033</v>
      </c>
      <c r="I38" s="1341"/>
      <c r="J38" s="1342"/>
      <c r="O38" s="827" t="s">
        <v>2659</v>
      </c>
      <c r="Q38" s="1300">
        <v>2122184469</v>
      </c>
      <c r="R38" s="1305"/>
      <c r="S38" s="1301"/>
    </row>
    <row r="39" spans="3:19" s="449" customFormat="1" ht="12.6" customHeight="1">
      <c r="E39" s="455" t="s">
        <v>2655</v>
      </c>
      <c r="H39" s="1306" t="s">
        <v>1916</v>
      </c>
      <c r="I39" s="483" t="s">
        <v>3138</v>
      </c>
      <c r="J39" s="1303">
        <v>101110100</v>
      </c>
      <c r="K39" s="1342"/>
      <c r="O39" s="827" t="s">
        <v>2859</v>
      </c>
      <c r="Q39" s="1300">
        <v>9178868614</v>
      </c>
      <c r="R39" s="1305"/>
      <c r="S39" s="1301"/>
    </row>
    <row r="40" spans="3:19" s="449" customFormat="1" ht="12.6" customHeight="1">
      <c r="D40" s="498"/>
      <c r="E40" s="455" t="s">
        <v>2865</v>
      </c>
      <c r="H40" s="1300"/>
      <c r="I40" s="1301"/>
      <c r="J40" s="1377"/>
      <c r="K40" s="836" t="s">
        <v>2658</v>
      </c>
      <c r="L40" s="1329"/>
      <c r="M40" s="1342"/>
      <c r="N40" s="457" t="s">
        <v>2864</v>
      </c>
      <c r="O40" s="1307" t="s">
        <v>4034</v>
      </c>
      <c r="P40" s="1308"/>
      <c r="Q40" s="1308"/>
      <c r="R40" s="1308"/>
      <c r="S40" s="1309"/>
    </row>
    <row r="41" spans="3:19" ht="4.3499999999999996" customHeight="1">
      <c r="H41" s="1381"/>
      <c r="I41" s="1381"/>
      <c r="J41" s="1381"/>
      <c r="K41" s="836"/>
      <c r="L41" s="1381"/>
      <c r="M41" s="1381"/>
      <c r="N41" s="826"/>
      <c r="O41" s="863"/>
      <c r="P41" s="863"/>
      <c r="Q41" s="836"/>
      <c r="R41" s="863"/>
      <c r="S41" s="863"/>
    </row>
    <row r="42" spans="3:19" s="449" customFormat="1" ht="12.6" customHeight="1">
      <c r="D42" s="452" t="s">
        <v>3007</v>
      </c>
      <c r="E42" s="449" t="s">
        <v>1147</v>
      </c>
      <c r="F42" s="452"/>
      <c r="H42" s="1292" t="s">
        <v>4035</v>
      </c>
      <c r="I42" s="1341"/>
      <c r="J42" s="1341"/>
      <c r="K42" s="1341"/>
      <c r="L42" s="1341"/>
      <c r="M42" s="1341"/>
      <c r="N42" s="1342"/>
      <c r="O42" s="827" t="s">
        <v>2870</v>
      </c>
      <c r="P42" s="827"/>
      <c r="Q42" s="1292" t="s">
        <v>4036</v>
      </c>
      <c r="R42" s="1341"/>
      <c r="S42" s="1342"/>
    </row>
    <row r="43" spans="3:19" s="449" customFormat="1" ht="12.6" customHeight="1">
      <c r="D43" s="498"/>
      <c r="E43" s="455" t="s">
        <v>1527</v>
      </c>
      <c r="F43" s="463"/>
      <c r="H43" s="1292" t="s">
        <v>4037</v>
      </c>
      <c r="I43" s="1341"/>
      <c r="J43" s="1341"/>
      <c r="K43" s="1341"/>
      <c r="L43" s="1341"/>
      <c r="M43" s="1341"/>
      <c r="N43" s="1342"/>
      <c r="O43" s="827" t="s">
        <v>2601</v>
      </c>
      <c r="Q43" s="1292" t="s">
        <v>4039</v>
      </c>
      <c r="R43" s="1341"/>
      <c r="S43" s="1342"/>
    </row>
    <row r="44" spans="3:19" s="449" customFormat="1" ht="12.6" customHeight="1">
      <c r="D44" s="498"/>
      <c r="E44" s="455" t="s">
        <v>876</v>
      </c>
      <c r="H44" s="1292" t="s">
        <v>4038</v>
      </c>
      <c r="I44" s="1341"/>
      <c r="J44" s="1342"/>
      <c r="O44" s="827" t="s">
        <v>2659</v>
      </c>
      <c r="Q44" s="1300">
        <v>3149682205</v>
      </c>
      <c r="R44" s="1305"/>
      <c r="S44" s="1301"/>
    </row>
    <row r="45" spans="3:19" s="449" customFormat="1" ht="12.6" customHeight="1">
      <c r="D45" s="452"/>
      <c r="E45" s="455" t="s">
        <v>2655</v>
      </c>
      <c r="H45" s="1306" t="s">
        <v>1909</v>
      </c>
      <c r="I45" s="483" t="s">
        <v>3138</v>
      </c>
      <c r="J45" s="1303">
        <v>631192931</v>
      </c>
      <c r="K45" s="1342"/>
      <c r="O45" s="827" t="s">
        <v>2859</v>
      </c>
      <c r="Q45" s="1300"/>
      <c r="R45" s="1305"/>
      <c r="S45" s="1301"/>
    </row>
    <row r="46" spans="3:19" s="449" customFormat="1" ht="12.6" customHeight="1">
      <c r="D46" s="498"/>
      <c r="E46" s="455" t="s">
        <v>2865</v>
      </c>
      <c r="H46" s="1300">
        <v>3144821700</v>
      </c>
      <c r="I46" s="1301"/>
      <c r="J46" s="1377"/>
      <c r="K46" s="836" t="s">
        <v>2658</v>
      </c>
      <c r="L46" s="1329">
        <v>3149682931</v>
      </c>
      <c r="M46" s="1342"/>
      <c r="N46" s="457" t="s">
        <v>2864</v>
      </c>
      <c r="O46" s="1307" t="s">
        <v>4040</v>
      </c>
      <c r="P46" s="1308"/>
      <c r="Q46" s="1308"/>
      <c r="R46" s="1308"/>
      <c r="S46" s="1309"/>
    </row>
    <row r="47" spans="3:19" s="449" customFormat="1" ht="4.3499999999999996" customHeight="1">
      <c r="D47" s="498"/>
      <c r="E47" s="455"/>
      <c r="F47" s="452"/>
      <c r="H47" s="491"/>
      <c r="I47" s="491"/>
      <c r="J47" s="864"/>
      <c r="K47" s="836"/>
      <c r="L47" s="491"/>
      <c r="M47" s="491"/>
      <c r="N47" s="836"/>
      <c r="O47" s="491"/>
      <c r="P47" s="491"/>
      <c r="Q47" s="836"/>
      <c r="R47" s="491"/>
      <c r="S47" s="491"/>
    </row>
    <row r="48" spans="3:19" s="449" customFormat="1" ht="13.35" customHeight="1">
      <c r="C48" s="502" t="s">
        <v>3548</v>
      </c>
      <c r="D48" s="496" t="s">
        <v>916</v>
      </c>
      <c r="H48" s="833"/>
      <c r="I48" s="833"/>
      <c r="J48" s="833"/>
      <c r="K48" s="833"/>
      <c r="L48" s="833"/>
      <c r="M48" s="833"/>
    </row>
    <row r="49" spans="1:19" s="449" customFormat="1" ht="4.3499999999999996" customHeight="1">
      <c r="D49" s="502"/>
      <c r="E49" s="501"/>
      <c r="H49" s="1380"/>
      <c r="I49" s="1380"/>
      <c r="J49" s="1380"/>
      <c r="K49" s="826"/>
      <c r="L49" s="1380"/>
      <c r="M49" s="1380"/>
      <c r="N49" s="826"/>
      <c r="O49" s="863"/>
      <c r="P49" s="863"/>
      <c r="Q49" s="836"/>
      <c r="R49" s="863"/>
      <c r="S49" s="863"/>
    </row>
    <row r="50" spans="1:19" s="449" customFormat="1" ht="12.6" customHeight="1">
      <c r="E50" s="449" t="s">
        <v>98</v>
      </c>
      <c r="H50" s="1292" t="s">
        <v>3996</v>
      </c>
      <c r="I50" s="1341"/>
      <c r="J50" s="1341"/>
      <c r="K50" s="1341"/>
      <c r="L50" s="1341"/>
      <c r="M50" s="1341"/>
      <c r="N50" s="1342"/>
      <c r="O50" s="827" t="s">
        <v>2870</v>
      </c>
      <c r="P50" s="827"/>
      <c r="Q50" s="1292" t="s">
        <v>3983</v>
      </c>
      <c r="R50" s="1341"/>
      <c r="S50" s="1342"/>
    </row>
    <row r="51" spans="1:19" s="449" customFormat="1" ht="12.6" customHeight="1">
      <c r="D51" s="498"/>
      <c r="E51" s="455" t="s">
        <v>1527</v>
      </c>
      <c r="F51" s="463"/>
      <c r="H51" s="1292" t="s">
        <v>4096</v>
      </c>
      <c r="I51" s="1341"/>
      <c r="J51" s="1341"/>
      <c r="K51" s="1341"/>
      <c r="L51" s="1341"/>
      <c r="M51" s="1341"/>
      <c r="N51" s="1342"/>
      <c r="O51" s="827" t="s">
        <v>2601</v>
      </c>
      <c r="Q51" s="1292" t="s">
        <v>3984</v>
      </c>
      <c r="R51" s="1341"/>
      <c r="S51" s="1342"/>
    </row>
    <row r="52" spans="1:19" s="449" customFormat="1" ht="12.6" customHeight="1">
      <c r="D52" s="498"/>
      <c r="E52" s="455" t="s">
        <v>876</v>
      </c>
      <c r="H52" s="1292" t="s">
        <v>235</v>
      </c>
      <c r="I52" s="1341"/>
      <c r="J52" s="1342"/>
      <c r="O52" s="827" t="s">
        <v>2659</v>
      </c>
      <c r="Q52" s="1300">
        <v>4042702101</v>
      </c>
      <c r="R52" s="1305"/>
      <c r="S52" s="1301"/>
    </row>
    <row r="53" spans="1:19" s="449" customFormat="1" ht="12.6" customHeight="1">
      <c r="E53" s="455" t="s">
        <v>2655</v>
      </c>
      <c r="H53" s="1306" t="s">
        <v>1337</v>
      </c>
      <c r="I53" s="483" t="s">
        <v>3138</v>
      </c>
      <c r="J53" s="1303">
        <v>300302601</v>
      </c>
      <c r="K53" s="1342"/>
      <c r="O53" s="827" t="s">
        <v>2859</v>
      </c>
      <c r="Q53" s="1300">
        <v>4049155811</v>
      </c>
      <c r="R53" s="1305"/>
      <c r="S53" s="1301"/>
    </row>
    <row r="54" spans="1:19" s="449" customFormat="1" ht="12.6" customHeight="1">
      <c r="D54" s="498"/>
      <c r="E54" s="455" t="s">
        <v>2865</v>
      </c>
      <c r="H54" s="1300">
        <v>4042702100</v>
      </c>
      <c r="I54" s="1301"/>
      <c r="J54" s="1377"/>
      <c r="K54" s="836" t="s">
        <v>2658</v>
      </c>
      <c r="L54" s="1329">
        <v>4042702123</v>
      </c>
      <c r="M54" s="1342"/>
      <c r="N54" s="457" t="s">
        <v>2864</v>
      </c>
      <c r="O54" s="1307" t="s">
        <v>3986</v>
      </c>
      <c r="P54" s="1308"/>
      <c r="Q54" s="1308"/>
      <c r="R54" s="1308"/>
      <c r="S54" s="1309"/>
    </row>
    <row r="55" spans="1:19" ht="13.35" customHeight="1"/>
    <row r="56" spans="1:19" s="449" customFormat="1" ht="13.3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80"/>
      <c r="I57" s="1380"/>
      <c r="J57" s="1380"/>
      <c r="K57" s="826"/>
      <c r="L57" s="1380"/>
      <c r="M57" s="1380"/>
      <c r="N57" s="826"/>
      <c r="O57" s="863"/>
      <c r="P57" s="863"/>
      <c r="Q57" s="836"/>
      <c r="R57" s="863"/>
      <c r="S57" s="863"/>
    </row>
    <row r="58" spans="1:19" s="449" customFormat="1" ht="13.35" customHeight="1">
      <c r="B58" s="452" t="s">
        <v>2863</v>
      </c>
      <c r="C58" s="452" t="s">
        <v>349</v>
      </c>
      <c r="H58" s="1292" t="s">
        <v>3977</v>
      </c>
      <c r="I58" s="1341"/>
      <c r="J58" s="1341"/>
      <c r="K58" s="1341"/>
      <c r="L58" s="1341"/>
      <c r="M58" s="1341"/>
      <c r="N58" s="1342"/>
      <c r="O58" s="827" t="s">
        <v>2870</v>
      </c>
      <c r="P58" s="827"/>
      <c r="Q58" s="1292" t="s">
        <v>3983</v>
      </c>
      <c r="R58" s="1341"/>
      <c r="S58" s="1342"/>
    </row>
    <row r="59" spans="1:19" s="449" customFormat="1" ht="13.35" customHeight="1">
      <c r="D59" s="498"/>
      <c r="E59" s="455" t="s">
        <v>1527</v>
      </c>
      <c r="F59" s="463"/>
      <c r="H59" s="1292" t="s">
        <v>4005</v>
      </c>
      <c r="I59" s="1341"/>
      <c r="J59" s="1341"/>
      <c r="K59" s="1341"/>
      <c r="L59" s="1341"/>
      <c r="M59" s="1341"/>
      <c r="N59" s="1342"/>
      <c r="O59" s="827" t="s">
        <v>2601</v>
      </c>
      <c r="Q59" s="1292" t="s">
        <v>4006</v>
      </c>
      <c r="R59" s="1341"/>
      <c r="S59" s="1342"/>
    </row>
    <row r="60" spans="1:19" s="449" customFormat="1" ht="13.35" customHeight="1">
      <c r="D60" s="498"/>
      <c r="E60" s="455" t="s">
        <v>876</v>
      </c>
      <c r="H60" s="1292" t="s">
        <v>235</v>
      </c>
      <c r="I60" s="1341"/>
      <c r="J60" s="1342"/>
      <c r="O60" s="827" t="s">
        <v>2659</v>
      </c>
      <c r="Q60" s="1300">
        <v>4042702101</v>
      </c>
      <c r="R60" s="1305"/>
      <c r="S60" s="1301"/>
    </row>
    <row r="61" spans="1:19" s="449" customFormat="1" ht="13.35" customHeight="1">
      <c r="E61" s="455" t="s">
        <v>2655</v>
      </c>
      <c r="H61" s="1306" t="s">
        <v>1337</v>
      </c>
      <c r="I61" s="483" t="s">
        <v>3138</v>
      </c>
      <c r="J61" s="1303">
        <v>300302601</v>
      </c>
      <c r="K61" s="1342"/>
      <c r="O61" s="827" t="s">
        <v>2859</v>
      </c>
      <c r="Q61" s="1300">
        <v>4049155811</v>
      </c>
      <c r="R61" s="1305"/>
      <c r="S61" s="1301"/>
    </row>
    <row r="62" spans="1:19" s="449" customFormat="1" ht="13.35" customHeight="1">
      <c r="D62" s="498"/>
      <c r="E62" s="455" t="s">
        <v>2865</v>
      </c>
      <c r="H62" s="1300">
        <v>4042702101</v>
      </c>
      <c r="I62" s="1301"/>
      <c r="J62" s="1377"/>
      <c r="K62" s="836" t="s">
        <v>2658</v>
      </c>
      <c r="L62" s="1329">
        <v>4042702123</v>
      </c>
      <c r="M62" s="1342"/>
      <c r="N62" s="457" t="s">
        <v>2864</v>
      </c>
      <c r="O62" s="1307" t="s">
        <v>3986</v>
      </c>
      <c r="P62" s="1308"/>
      <c r="Q62" s="1308"/>
      <c r="R62" s="1308"/>
      <c r="S62" s="1309"/>
    </row>
    <row r="63" spans="1:19" s="449" customFormat="1" ht="6.6" customHeight="1">
      <c r="D63" s="498"/>
      <c r="E63" s="833"/>
      <c r="F63" s="833"/>
      <c r="G63" s="827"/>
      <c r="H63" s="1381"/>
      <c r="I63" s="1381"/>
      <c r="J63" s="1381"/>
      <c r="K63" s="836"/>
      <c r="L63" s="1381"/>
      <c r="M63" s="1381"/>
      <c r="N63" s="826"/>
      <c r="O63" s="863"/>
      <c r="P63" s="863"/>
      <c r="Q63" s="836"/>
      <c r="R63" s="863"/>
      <c r="S63" s="863"/>
    </row>
    <row r="64" spans="1:19" s="449" customFormat="1" ht="13.35" customHeight="1">
      <c r="B64" s="452" t="s">
        <v>2866</v>
      </c>
      <c r="C64" s="452" t="s">
        <v>350</v>
      </c>
      <c r="H64" s="1292"/>
      <c r="I64" s="1341"/>
      <c r="J64" s="1341"/>
      <c r="K64" s="1341"/>
      <c r="L64" s="1341"/>
      <c r="M64" s="1341"/>
      <c r="N64" s="1342"/>
      <c r="O64" s="827" t="s">
        <v>2870</v>
      </c>
      <c r="P64" s="827"/>
      <c r="Q64" s="1292"/>
      <c r="R64" s="1341"/>
      <c r="S64" s="1342"/>
    </row>
    <row r="65" spans="2:19" s="449" customFormat="1" ht="13.35" customHeight="1">
      <c r="D65" s="498"/>
      <c r="E65" s="455" t="s">
        <v>1527</v>
      </c>
      <c r="F65" s="463"/>
      <c r="H65" s="1292"/>
      <c r="I65" s="1341"/>
      <c r="J65" s="1341"/>
      <c r="K65" s="1341"/>
      <c r="L65" s="1341"/>
      <c r="M65" s="1341"/>
      <c r="N65" s="1342"/>
      <c r="O65" s="827" t="s">
        <v>2601</v>
      </c>
      <c r="Q65" s="1292"/>
      <c r="R65" s="1341"/>
      <c r="S65" s="1342"/>
    </row>
    <row r="66" spans="2:19" s="449" customFormat="1" ht="13.35" customHeight="1">
      <c r="D66" s="498"/>
      <c r="E66" s="455" t="s">
        <v>876</v>
      </c>
      <c r="H66" s="1292"/>
      <c r="I66" s="1341"/>
      <c r="J66" s="1342"/>
      <c r="O66" s="827" t="s">
        <v>2659</v>
      </c>
      <c r="Q66" s="1300"/>
      <c r="R66" s="1305"/>
      <c r="S66" s="1301"/>
    </row>
    <row r="67" spans="2:19" s="449" customFormat="1" ht="13.35" customHeight="1">
      <c r="E67" s="455" t="s">
        <v>2655</v>
      </c>
      <c r="H67" s="1306"/>
      <c r="I67" s="483" t="s">
        <v>3138</v>
      </c>
      <c r="J67" s="1303"/>
      <c r="K67" s="1342"/>
      <c r="O67" s="827" t="s">
        <v>2859</v>
      </c>
      <c r="Q67" s="1300"/>
      <c r="R67" s="1305"/>
      <c r="S67" s="1301"/>
    </row>
    <row r="68" spans="2:19" s="449" customFormat="1" ht="13.35" customHeight="1">
      <c r="D68" s="498"/>
      <c r="E68" s="455" t="s">
        <v>2865</v>
      </c>
      <c r="H68" s="1300"/>
      <c r="I68" s="1301"/>
      <c r="J68" s="1377"/>
      <c r="K68" s="836" t="s">
        <v>2658</v>
      </c>
      <c r="L68" s="1329"/>
      <c r="M68" s="1342"/>
      <c r="N68" s="457" t="s">
        <v>2864</v>
      </c>
      <c r="O68" s="1307"/>
      <c r="P68" s="1308"/>
      <c r="Q68" s="1308"/>
      <c r="R68" s="1308"/>
      <c r="S68" s="1309"/>
    </row>
    <row r="69" spans="2:19" s="449" customFormat="1" ht="6.6" customHeight="1">
      <c r="D69" s="498"/>
      <c r="E69" s="833"/>
      <c r="F69" s="833"/>
      <c r="G69" s="827"/>
      <c r="H69" s="1381"/>
      <c r="I69" s="1381"/>
      <c r="J69" s="1381"/>
      <c r="K69" s="836"/>
      <c r="L69" s="1381"/>
      <c r="M69" s="1381"/>
      <c r="N69" s="826"/>
      <c r="O69" s="863"/>
      <c r="P69" s="863"/>
      <c r="Q69" s="836"/>
      <c r="R69" s="863"/>
      <c r="S69" s="863"/>
    </row>
    <row r="70" spans="2:19" s="449" customFormat="1" ht="13.35" customHeight="1">
      <c r="B70" s="452" t="s">
        <v>1145</v>
      </c>
      <c r="C70" s="452" t="s">
        <v>2129</v>
      </c>
      <c r="H70" s="1292"/>
      <c r="I70" s="1341"/>
      <c r="J70" s="1341"/>
      <c r="K70" s="1341"/>
      <c r="L70" s="1341"/>
      <c r="M70" s="1341"/>
      <c r="N70" s="1342"/>
      <c r="O70" s="827" t="s">
        <v>2870</v>
      </c>
      <c r="P70" s="827"/>
      <c r="Q70" s="1292"/>
      <c r="R70" s="1341"/>
      <c r="S70" s="1342"/>
    </row>
    <row r="71" spans="2:19" s="449" customFormat="1" ht="13.35" customHeight="1">
      <c r="D71" s="498"/>
      <c r="E71" s="455" t="s">
        <v>1527</v>
      </c>
      <c r="F71" s="463"/>
      <c r="H71" s="1292"/>
      <c r="I71" s="1341"/>
      <c r="J71" s="1341"/>
      <c r="K71" s="1341"/>
      <c r="L71" s="1341"/>
      <c r="M71" s="1341"/>
      <c r="N71" s="1342"/>
      <c r="O71" s="827" t="s">
        <v>2601</v>
      </c>
      <c r="Q71" s="1292"/>
      <c r="R71" s="1341"/>
      <c r="S71" s="1342"/>
    </row>
    <row r="72" spans="2:19" s="449" customFormat="1" ht="13.35" customHeight="1">
      <c r="D72" s="498"/>
      <c r="E72" s="455" t="s">
        <v>876</v>
      </c>
      <c r="H72" s="1292"/>
      <c r="I72" s="1341"/>
      <c r="J72" s="1342"/>
      <c r="O72" s="827" t="s">
        <v>2659</v>
      </c>
      <c r="Q72" s="1300"/>
      <c r="R72" s="1305"/>
      <c r="S72" s="1301"/>
    </row>
    <row r="73" spans="2:19" s="449" customFormat="1" ht="13.35" customHeight="1">
      <c r="E73" s="455" t="s">
        <v>2655</v>
      </c>
      <c r="H73" s="1306"/>
      <c r="I73" s="483" t="s">
        <v>3138</v>
      </c>
      <c r="J73" s="1303"/>
      <c r="K73" s="1342"/>
      <c r="O73" s="827" t="s">
        <v>2859</v>
      </c>
      <c r="Q73" s="1300"/>
      <c r="R73" s="1305"/>
      <c r="S73" s="1301"/>
    </row>
    <row r="74" spans="2:19" s="449" customFormat="1" ht="13.35" customHeight="1">
      <c r="D74" s="498"/>
      <c r="E74" s="455" t="s">
        <v>2865</v>
      </c>
      <c r="H74" s="1300"/>
      <c r="I74" s="1301"/>
      <c r="J74" s="1377"/>
      <c r="K74" s="836" t="s">
        <v>2658</v>
      </c>
      <c r="L74" s="1329"/>
      <c r="M74" s="1342"/>
      <c r="N74" s="457" t="s">
        <v>2864</v>
      </c>
      <c r="O74" s="1307"/>
      <c r="P74" s="1308"/>
      <c r="Q74" s="1308"/>
      <c r="R74" s="1308"/>
      <c r="S74" s="1309"/>
    </row>
    <row r="75" spans="2:19" ht="6.6" customHeight="1">
      <c r="H75" s="1381"/>
      <c r="I75" s="1381"/>
      <c r="J75" s="1381"/>
      <c r="K75" s="836"/>
      <c r="L75" s="1381"/>
      <c r="M75" s="1381"/>
      <c r="N75" s="826"/>
      <c r="O75" s="863"/>
      <c r="P75" s="863"/>
      <c r="Q75" s="836"/>
      <c r="R75" s="863"/>
      <c r="S75" s="863"/>
    </row>
    <row r="76" spans="2:19" s="449" customFormat="1" ht="13.35" customHeight="1">
      <c r="B76" s="452" t="s">
        <v>3005</v>
      </c>
      <c r="C76" s="452" t="s">
        <v>351</v>
      </c>
      <c r="H76" s="1292"/>
      <c r="I76" s="1341"/>
      <c r="J76" s="1341"/>
      <c r="K76" s="1341"/>
      <c r="L76" s="1341"/>
      <c r="M76" s="1341"/>
      <c r="N76" s="1342"/>
      <c r="O76" s="827" t="s">
        <v>2870</v>
      </c>
      <c r="P76" s="827"/>
      <c r="Q76" s="1292"/>
      <c r="R76" s="1341"/>
      <c r="S76" s="1342"/>
    </row>
    <row r="77" spans="2:19" s="449" customFormat="1" ht="13.35" customHeight="1">
      <c r="D77" s="498"/>
      <c r="E77" s="455" t="s">
        <v>1527</v>
      </c>
      <c r="F77" s="463"/>
      <c r="H77" s="1292"/>
      <c r="I77" s="1341"/>
      <c r="J77" s="1341"/>
      <c r="K77" s="1341"/>
      <c r="L77" s="1341"/>
      <c r="M77" s="1341"/>
      <c r="N77" s="1342"/>
      <c r="O77" s="827" t="s">
        <v>2601</v>
      </c>
      <c r="Q77" s="1292"/>
      <c r="R77" s="1341"/>
      <c r="S77" s="1342"/>
    </row>
    <row r="78" spans="2:19" s="449" customFormat="1" ht="13.35" customHeight="1">
      <c r="D78" s="498"/>
      <c r="E78" s="455" t="s">
        <v>876</v>
      </c>
      <c r="H78" s="1292"/>
      <c r="I78" s="1341"/>
      <c r="J78" s="1342"/>
      <c r="O78" s="827" t="s">
        <v>2659</v>
      </c>
      <c r="Q78" s="1300"/>
      <c r="R78" s="1305"/>
      <c r="S78" s="1301"/>
    </row>
    <row r="79" spans="2:19" s="449" customFormat="1" ht="13.35" customHeight="1">
      <c r="E79" s="455" t="s">
        <v>2655</v>
      </c>
      <c r="H79" s="1306"/>
      <c r="I79" s="483" t="s">
        <v>3138</v>
      </c>
      <c r="J79" s="1303"/>
      <c r="K79" s="1342"/>
      <c r="O79" s="827" t="s">
        <v>2859</v>
      </c>
      <c r="Q79" s="1300"/>
      <c r="R79" s="1305"/>
      <c r="S79" s="1301"/>
    </row>
    <row r="80" spans="2:19" s="449" customFormat="1" ht="13.35" customHeight="1">
      <c r="D80" s="498"/>
      <c r="E80" s="455" t="s">
        <v>2865</v>
      </c>
      <c r="H80" s="1300"/>
      <c r="I80" s="1301"/>
      <c r="J80" s="1377"/>
      <c r="K80" s="836" t="s">
        <v>2658</v>
      </c>
      <c r="L80" s="1329"/>
      <c r="M80" s="1342"/>
      <c r="N80" s="457" t="s">
        <v>2864</v>
      </c>
      <c r="O80" s="1307"/>
      <c r="P80" s="1308"/>
      <c r="Q80" s="1308"/>
      <c r="R80" s="1308"/>
      <c r="S80" s="1309"/>
    </row>
    <row r="81" spans="1:19" ht="13.35" customHeight="1"/>
    <row r="82" spans="1:19" s="455" customFormat="1" ht="13.3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80"/>
      <c r="I83" s="1380"/>
      <c r="J83" s="1380"/>
      <c r="K83" s="826"/>
      <c r="L83" s="1380"/>
      <c r="M83" s="1380"/>
      <c r="N83" s="826"/>
      <c r="O83" s="863"/>
      <c r="P83" s="863"/>
      <c r="Q83" s="836"/>
      <c r="R83" s="863"/>
      <c r="S83" s="863"/>
    </row>
    <row r="84" spans="1:19" s="449" customFormat="1" ht="13.35" customHeight="1">
      <c r="B84" s="452" t="s">
        <v>2863</v>
      </c>
      <c r="C84" s="452" t="s">
        <v>353</v>
      </c>
      <c r="H84" s="1292"/>
      <c r="I84" s="1341"/>
      <c r="J84" s="1341"/>
      <c r="K84" s="1341"/>
      <c r="L84" s="1341"/>
      <c r="M84" s="1341"/>
      <c r="N84" s="1342"/>
      <c r="O84" s="827" t="s">
        <v>2870</v>
      </c>
      <c r="P84" s="827"/>
      <c r="Q84" s="1292"/>
      <c r="R84" s="1341"/>
      <c r="S84" s="1342"/>
    </row>
    <row r="85" spans="1:19" s="449" customFormat="1" ht="13.35" customHeight="1">
      <c r="D85" s="498"/>
      <c r="E85" s="455" t="s">
        <v>1527</v>
      </c>
      <c r="F85" s="463"/>
      <c r="H85" s="1292"/>
      <c r="I85" s="1341"/>
      <c r="J85" s="1341"/>
      <c r="K85" s="1341"/>
      <c r="L85" s="1341"/>
      <c r="M85" s="1341"/>
      <c r="N85" s="1342"/>
      <c r="O85" s="827" t="s">
        <v>2601</v>
      </c>
      <c r="Q85" s="1292"/>
      <c r="R85" s="1341"/>
      <c r="S85" s="1342"/>
    </row>
    <row r="86" spans="1:19" s="449" customFormat="1" ht="13.35" customHeight="1">
      <c r="D86" s="498"/>
      <c r="E86" s="455" t="s">
        <v>876</v>
      </c>
      <c r="H86" s="1292"/>
      <c r="I86" s="1341"/>
      <c r="J86" s="1342"/>
      <c r="O86" s="827" t="s">
        <v>2659</v>
      </c>
      <c r="Q86" s="1300"/>
      <c r="R86" s="1305"/>
      <c r="S86" s="1301"/>
    </row>
    <row r="87" spans="1:19" s="449" customFormat="1" ht="13.35" customHeight="1">
      <c r="E87" s="455" t="s">
        <v>2655</v>
      </c>
      <c r="H87" s="1306"/>
      <c r="I87" s="483" t="s">
        <v>3138</v>
      </c>
      <c r="J87" s="1303"/>
      <c r="K87" s="1342"/>
      <c r="O87" s="827" t="s">
        <v>2859</v>
      </c>
      <c r="Q87" s="1300"/>
      <c r="R87" s="1305"/>
      <c r="S87" s="1301"/>
    </row>
    <row r="88" spans="1:19" s="449" customFormat="1" ht="13.35" customHeight="1">
      <c r="D88" s="498"/>
      <c r="E88" s="455" t="s">
        <v>2865</v>
      </c>
      <c r="H88" s="1300"/>
      <c r="I88" s="1301"/>
      <c r="J88" s="1377"/>
      <c r="K88" s="836" t="s">
        <v>2658</v>
      </c>
      <c r="L88" s="1329"/>
      <c r="M88" s="1342"/>
      <c r="N88" s="457" t="s">
        <v>2864</v>
      </c>
      <c r="O88" s="1307"/>
      <c r="P88" s="1308"/>
      <c r="Q88" s="1308"/>
      <c r="R88" s="1308"/>
      <c r="S88" s="1309"/>
    </row>
    <row r="89" spans="1:19" ht="6.6" customHeight="1">
      <c r="H89" s="1381"/>
      <c r="I89" s="1381"/>
      <c r="J89" s="1381"/>
      <c r="K89" s="836"/>
      <c r="L89" s="1381"/>
      <c r="M89" s="1381"/>
      <c r="N89" s="826"/>
      <c r="O89" s="863"/>
      <c r="P89" s="863"/>
      <c r="Q89" s="836"/>
      <c r="R89" s="863"/>
      <c r="S89" s="863"/>
    </row>
    <row r="90" spans="1:19" s="449" customFormat="1" ht="13.35" customHeight="1">
      <c r="B90" s="452" t="s">
        <v>2866</v>
      </c>
      <c r="C90" s="452" t="s">
        <v>354</v>
      </c>
      <c r="H90" s="1292" t="s">
        <v>4106</v>
      </c>
      <c r="I90" s="1341"/>
      <c r="J90" s="1341"/>
      <c r="K90" s="1341"/>
      <c r="L90" s="1341"/>
      <c r="M90" s="1341"/>
      <c r="N90" s="1342"/>
      <c r="O90" s="827" t="s">
        <v>2870</v>
      </c>
      <c r="P90" s="827"/>
      <c r="Q90" s="1292"/>
      <c r="R90" s="1341"/>
      <c r="S90" s="1342"/>
    </row>
    <row r="91" spans="1:19" s="449" customFormat="1" ht="13.35" customHeight="1">
      <c r="D91" s="498"/>
      <c r="E91" s="455" t="s">
        <v>1527</v>
      </c>
      <c r="F91" s="463"/>
      <c r="H91" s="1292"/>
      <c r="I91" s="1341"/>
      <c r="J91" s="1341"/>
      <c r="K91" s="1341"/>
      <c r="L91" s="1341"/>
      <c r="M91" s="1341"/>
      <c r="N91" s="1342"/>
      <c r="O91" s="827" t="s">
        <v>2601</v>
      </c>
      <c r="Q91" s="1292"/>
      <c r="R91" s="1341"/>
      <c r="S91" s="1342"/>
    </row>
    <row r="92" spans="1:19" s="449" customFormat="1" ht="13.35" customHeight="1">
      <c r="D92" s="498"/>
      <c r="E92" s="455" t="s">
        <v>876</v>
      </c>
      <c r="H92" s="1292"/>
      <c r="I92" s="1341"/>
      <c r="J92" s="1342"/>
      <c r="O92" s="827" t="s">
        <v>2659</v>
      </c>
      <c r="Q92" s="1300"/>
      <c r="R92" s="1305"/>
      <c r="S92" s="1301"/>
    </row>
    <row r="93" spans="1:19" s="449" customFormat="1" ht="13.35" customHeight="1">
      <c r="E93" s="455" t="s">
        <v>2655</v>
      </c>
      <c r="H93" s="1306"/>
      <c r="I93" s="483" t="s">
        <v>3138</v>
      </c>
      <c r="J93" s="1303"/>
      <c r="K93" s="1342"/>
      <c r="O93" s="827" t="s">
        <v>2859</v>
      </c>
      <c r="Q93" s="1300"/>
      <c r="R93" s="1305"/>
      <c r="S93" s="1301"/>
    </row>
    <row r="94" spans="1:19" s="449" customFormat="1" ht="13.35" customHeight="1">
      <c r="D94" s="498"/>
      <c r="E94" s="455" t="s">
        <v>2865</v>
      </c>
      <c r="H94" s="1300"/>
      <c r="I94" s="1301"/>
      <c r="J94" s="1377"/>
      <c r="K94" s="836" t="s">
        <v>2658</v>
      </c>
      <c r="L94" s="1329"/>
      <c r="M94" s="1342"/>
      <c r="N94" s="457" t="s">
        <v>2864</v>
      </c>
      <c r="O94" s="1307"/>
      <c r="P94" s="1308"/>
      <c r="Q94" s="1308"/>
      <c r="R94" s="1308"/>
      <c r="S94" s="1309"/>
    </row>
    <row r="95" spans="1:19" ht="6.6" customHeight="1">
      <c r="H95" s="1381"/>
      <c r="I95" s="1381"/>
      <c r="J95" s="1381"/>
      <c r="K95" s="836"/>
      <c r="L95" s="1381"/>
      <c r="M95" s="1381"/>
      <c r="N95" s="826"/>
      <c r="O95" s="863"/>
      <c r="P95" s="863"/>
      <c r="Q95" s="836"/>
      <c r="R95" s="863"/>
      <c r="S95" s="863"/>
    </row>
    <row r="96" spans="1:19" s="449" customFormat="1" ht="13.35" customHeight="1">
      <c r="B96" s="452" t="s">
        <v>1145</v>
      </c>
      <c r="C96" s="452" t="s">
        <v>355</v>
      </c>
      <c r="F96" s="472"/>
      <c r="H96" s="1292" t="s">
        <v>4008</v>
      </c>
      <c r="I96" s="1341"/>
      <c r="J96" s="1341"/>
      <c r="K96" s="1341"/>
      <c r="L96" s="1341"/>
      <c r="M96" s="1341"/>
      <c r="N96" s="1342"/>
      <c r="O96" s="827" t="s">
        <v>2870</v>
      </c>
      <c r="P96" s="827"/>
      <c r="Q96" s="1292" t="s">
        <v>4010</v>
      </c>
      <c r="R96" s="1341"/>
      <c r="S96" s="1342"/>
    </row>
    <row r="97" spans="2:19" s="449" customFormat="1" ht="13.35" customHeight="1">
      <c r="D97" s="498"/>
      <c r="E97" s="455" t="s">
        <v>1527</v>
      </c>
      <c r="F97" s="463"/>
      <c r="H97" s="1292" t="s">
        <v>4009</v>
      </c>
      <c r="I97" s="1341"/>
      <c r="J97" s="1341"/>
      <c r="K97" s="1341"/>
      <c r="L97" s="1341"/>
      <c r="M97" s="1341"/>
      <c r="N97" s="1342"/>
      <c r="O97" s="827" t="s">
        <v>2601</v>
      </c>
      <c r="Q97" s="1292" t="s">
        <v>4011</v>
      </c>
      <c r="R97" s="1341"/>
      <c r="S97" s="1342"/>
    </row>
    <row r="98" spans="2:19" s="449" customFormat="1" ht="13.35" customHeight="1">
      <c r="D98" s="498"/>
      <c r="E98" s="455" t="s">
        <v>876</v>
      </c>
      <c r="H98" s="1292" t="s">
        <v>4008</v>
      </c>
      <c r="I98" s="1341"/>
      <c r="J98" s="1342"/>
      <c r="O98" s="827" t="s">
        <v>2659</v>
      </c>
      <c r="Q98" s="1300">
        <v>4042702131</v>
      </c>
      <c r="R98" s="1305"/>
      <c r="S98" s="1301"/>
    </row>
    <row r="99" spans="2:19" s="449" customFormat="1" ht="13.35" customHeight="1">
      <c r="D99" s="498"/>
      <c r="E99" s="455" t="s">
        <v>2655</v>
      </c>
      <c r="H99" s="1306" t="s">
        <v>1337</v>
      </c>
      <c r="I99" s="483" t="s">
        <v>3138</v>
      </c>
      <c r="J99" s="1303">
        <v>300302601</v>
      </c>
      <c r="K99" s="1342"/>
      <c r="O99" s="827" t="s">
        <v>2859</v>
      </c>
      <c r="Q99" s="1300"/>
      <c r="R99" s="1305"/>
      <c r="S99" s="1301"/>
    </row>
    <row r="100" spans="2:19" s="449" customFormat="1" ht="13.35" customHeight="1">
      <c r="D100" s="498"/>
      <c r="E100" s="455" t="s">
        <v>2865</v>
      </c>
      <c r="H100" s="1300">
        <v>4042702101</v>
      </c>
      <c r="I100" s="1301"/>
      <c r="J100" s="1377"/>
      <c r="K100" s="836" t="s">
        <v>2658</v>
      </c>
      <c r="L100" s="1329">
        <v>4042702123</v>
      </c>
      <c r="M100" s="1342"/>
      <c r="N100" s="457" t="s">
        <v>2864</v>
      </c>
      <c r="O100" s="1307" t="s">
        <v>4012</v>
      </c>
      <c r="P100" s="1308"/>
      <c r="Q100" s="1308"/>
      <c r="R100" s="1308"/>
      <c r="S100" s="1309"/>
    </row>
    <row r="101" spans="2:19" ht="6.6" customHeight="1">
      <c r="H101" s="1381"/>
      <c r="I101" s="1381"/>
      <c r="J101" s="1381"/>
      <c r="K101" s="836"/>
      <c r="L101" s="1381"/>
      <c r="M101" s="1381"/>
      <c r="N101" s="826"/>
      <c r="O101" s="863"/>
      <c r="P101" s="863"/>
      <c r="Q101" s="836"/>
      <c r="R101" s="863"/>
      <c r="S101" s="863"/>
    </row>
    <row r="102" spans="2:19" s="449" customFormat="1" ht="13.35" customHeight="1">
      <c r="B102" s="452" t="s">
        <v>3005</v>
      </c>
      <c r="C102" s="452" t="s">
        <v>356</v>
      </c>
      <c r="H102" s="1292" t="s">
        <v>4013</v>
      </c>
      <c r="I102" s="1341"/>
      <c r="J102" s="1341"/>
      <c r="K102" s="1341"/>
      <c r="L102" s="1341"/>
      <c r="M102" s="1341"/>
      <c r="N102" s="1342"/>
      <c r="O102" s="827" t="s">
        <v>2870</v>
      </c>
      <c r="P102" s="827"/>
      <c r="Q102" s="1292" t="s">
        <v>4015</v>
      </c>
      <c r="R102" s="1341"/>
      <c r="S102" s="1342"/>
    </row>
    <row r="103" spans="2:19" s="449" customFormat="1" ht="13.35" customHeight="1">
      <c r="D103" s="498"/>
      <c r="E103" s="455" t="s">
        <v>1527</v>
      </c>
      <c r="F103" s="463"/>
      <c r="H103" s="1292" t="s">
        <v>4014</v>
      </c>
      <c r="I103" s="1341"/>
      <c r="J103" s="1341"/>
      <c r="K103" s="1341"/>
      <c r="L103" s="1341"/>
      <c r="M103" s="1341"/>
      <c r="N103" s="1342"/>
      <c r="O103" s="827" t="s">
        <v>2601</v>
      </c>
      <c r="Q103" s="1292" t="s">
        <v>4016</v>
      </c>
      <c r="R103" s="1341"/>
      <c r="S103" s="1342"/>
    </row>
    <row r="104" spans="2:19" s="449" customFormat="1" ht="13.35" customHeight="1">
      <c r="D104" s="498"/>
      <c r="E104" s="455" t="s">
        <v>876</v>
      </c>
      <c r="H104" s="1292" t="s">
        <v>1743</v>
      </c>
      <c r="I104" s="1341"/>
      <c r="J104" s="1342"/>
      <c r="O104" s="827" t="s">
        <v>2659</v>
      </c>
      <c r="Q104" s="1300">
        <v>4048738738</v>
      </c>
      <c r="R104" s="1305"/>
      <c r="S104" s="1301"/>
    </row>
    <row r="105" spans="2:19" s="449" customFormat="1" ht="13.35" customHeight="1">
      <c r="D105" s="498"/>
      <c r="E105" s="455" t="s">
        <v>2655</v>
      </c>
      <c r="H105" s="1306" t="s">
        <v>1337</v>
      </c>
      <c r="I105" s="483" t="s">
        <v>3138</v>
      </c>
      <c r="J105" s="1303">
        <v>303631031</v>
      </c>
      <c r="K105" s="1342"/>
      <c r="O105" s="827" t="s">
        <v>2859</v>
      </c>
      <c r="Q105" s="1300"/>
      <c r="R105" s="1305"/>
      <c r="S105" s="1301"/>
    </row>
    <row r="106" spans="2:19" ht="13.35" customHeight="1">
      <c r="E106" s="455" t="s">
        <v>2865</v>
      </c>
      <c r="F106" s="449"/>
      <c r="G106" s="449"/>
      <c r="H106" s="1300">
        <v>4048738708</v>
      </c>
      <c r="I106" s="1301"/>
      <c r="J106" s="1377"/>
      <c r="K106" s="836" t="s">
        <v>2658</v>
      </c>
      <c r="L106" s="1329">
        <v>4042810723</v>
      </c>
      <c r="M106" s="1342"/>
      <c r="N106" s="457" t="s">
        <v>2864</v>
      </c>
      <c r="O106" s="1307" t="s">
        <v>4017</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82"/>
    </row>
    <row r="108" spans="2:19" ht="0.6" customHeight="1">
      <c r="E108" s="455"/>
      <c r="F108" s="449"/>
      <c r="G108" s="833"/>
      <c r="H108" s="1380"/>
      <c r="I108" s="1380"/>
      <c r="J108" s="1380"/>
      <c r="K108" s="826"/>
      <c r="L108" s="1380"/>
      <c r="M108" s="1380"/>
      <c r="N108" s="826"/>
      <c r="O108" s="863"/>
      <c r="P108" s="863"/>
      <c r="Q108" s="836"/>
      <c r="R108" s="863"/>
      <c r="S108" s="863"/>
    </row>
    <row r="109" spans="2:19" s="449" customFormat="1" ht="13.35" customHeight="1">
      <c r="B109" s="452" t="s">
        <v>2588</v>
      </c>
      <c r="C109" s="452" t="s">
        <v>357</v>
      </c>
      <c r="H109" s="1292" t="s">
        <v>4018</v>
      </c>
      <c r="I109" s="1341"/>
      <c r="J109" s="1341"/>
      <c r="K109" s="1341"/>
      <c r="L109" s="1341"/>
      <c r="M109" s="1341"/>
      <c r="N109" s="1342"/>
      <c r="O109" s="827" t="s">
        <v>2870</v>
      </c>
      <c r="P109" s="827"/>
      <c r="Q109" s="1292" t="s">
        <v>4021</v>
      </c>
      <c r="R109" s="1341"/>
      <c r="S109" s="1342"/>
    </row>
    <row r="110" spans="2:19" s="449" customFormat="1" ht="13.35" customHeight="1">
      <c r="D110" s="498"/>
      <c r="E110" s="455" t="s">
        <v>1527</v>
      </c>
      <c r="F110" s="463"/>
      <c r="H110" s="1292" t="s">
        <v>4019</v>
      </c>
      <c r="I110" s="1341"/>
      <c r="J110" s="1341"/>
      <c r="K110" s="1341"/>
      <c r="L110" s="1341"/>
      <c r="M110" s="1341"/>
      <c r="N110" s="1342"/>
      <c r="O110" s="827" t="s">
        <v>2601</v>
      </c>
      <c r="Q110" s="1292" t="s">
        <v>4022</v>
      </c>
      <c r="R110" s="1341"/>
      <c r="S110" s="1342"/>
    </row>
    <row r="111" spans="2:19" s="449" customFormat="1" ht="13.35" customHeight="1">
      <c r="D111" s="498"/>
      <c r="E111" s="455" t="s">
        <v>876</v>
      </c>
      <c r="H111" s="1292" t="s">
        <v>1743</v>
      </c>
      <c r="I111" s="1341"/>
      <c r="J111" s="1342"/>
      <c r="O111" s="827" t="s">
        <v>2659</v>
      </c>
      <c r="Q111" s="1300">
        <v>4048749447</v>
      </c>
      <c r="R111" s="1305"/>
      <c r="S111" s="1301"/>
    </row>
    <row r="112" spans="2:19" s="449" customFormat="1" ht="13.35" customHeight="1">
      <c r="D112" s="498"/>
      <c r="E112" s="455" t="s">
        <v>2655</v>
      </c>
      <c r="H112" s="1306" t="s">
        <v>1337</v>
      </c>
      <c r="I112" s="483" t="s">
        <v>3138</v>
      </c>
      <c r="J112" s="1303">
        <v>303264276</v>
      </c>
      <c r="K112" s="1342"/>
      <c r="O112" s="827" t="s">
        <v>2859</v>
      </c>
      <c r="Q112" s="1300"/>
      <c r="R112" s="1305"/>
      <c r="S112" s="1301"/>
    </row>
    <row r="113" spans="1:19" ht="13.35" customHeight="1">
      <c r="E113" s="455" t="s">
        <v>2865</v>
      </c>
      <c r="F113" s="449"/>
      <c r="G113" s="449"/>
      <c r="H113" s="1300">
        <v>4048749447</v>
      </c>
      <c r="I113" s="1301"/>
      <c r="J113" s="1377"/>
      <c r="K113" s="836" t="s">
        <v>2658</v>
      </c>
      <c r="L113" s="1329">
        <v>4048747625</v>
      </c>
      <c r="M113" s="1342"/>
      <c r="N113" s="457" t="s">
        <v>2864</v>
      </c>
      <c r="O113" s="1307" t="s">
        <v>4020</v>
      </c>
      <c r="P113" s="1308"/>
      <c r="Q113" s="1308"/>
      <c r="R113" s="1308"/>
      <c r="S113" s="1309"/>
    </row>
    <row r="114" spans="1:19" ht="6.6" customHeight="1">
      <c r="E114" s="455"/>
      <c r="F114" s="449"/>
      <c r="G114" s="833"/>
      <c r="H114" s="1381"/>
      <c r="I114" s="1381"/>
      <c r="J114" s="1381"/>
      <c r="K114" s="836"/>
      <c r="L114" s="1381"/>
      <c r="M114" s="1381"/>
      <c r="N114" s="826"/>
      <c r="O114" s="863"/>
      <c r="P114" s="863"/>
      <c r="Q114" s="836"/>
      <c r="R114" s="863"/>
      <c r="S114" s="863"/>
    </row>
    <row r="115" spans="1:19" s="449" customFormat="1" ht="13.35" customHeight="1">
      <c r="B115" s="452" t="s">
        <v>2589</v>
      </c>
      <c r="C115" s="452" t="s">
        <v>358</v>
      </c>
      <c r="H115" s="1292" t="s">
        <v>4023</v>
      </c>
      <c r="I115" s="1341"/>
      <c r="J115" s="1341"/>
      <c r="K115" s="1341"/>
      <c r="L115" s="1341"/>
      <c r="M115" s="1341"/>
      <c r="N115" s="1342"/>
      <c r="O115" s="827" t="s">
        <v>2870</v>
      </c>
      <c r="P115" s="827"/>
      <c r="Q115" s="1292" t="s">
        <v>4026</v>
      </c>
      <c r="R115" s="1341"/>
      <c r="S115" s="1342"/>
    </row>
    <row r="116" spans="1:19" s="449" customFormat="1" ht="13.35" customHeight="1">
      <c r="D116" s="498"/>
      <c r="E116" s="455" t="s">
        <v>1527</v>
      </c>
      <c r="F116" s="463"/>
      <c r="H116" s="1292" t="s">
        <v>4024</v>
      </c>
      <c r="I116" s="1341"/>
      <c r="J116" s="1341"/>
      <c r="K116" s="1341"/>
      <c r="L116" s="1341"/>
      <c r="M116" s="1341"/>
      <c r="N116" s="1342"/>
      <c r="O116" s="827" t="s">
        <v>2601</v>
      </c>
      <c r="Q116" s="1292" t="s">
        <v>3478</v>
      </c>
      <c r="R116" s="1341"/>
      <c r="S116" s="1342"/>
    </row>
    <row r="117" spans="1:19" s="449" customFormat="1" ht="13.35" customHeight="1">
      <c r="D117" s="498"/>
      <c r="E117" s="455" t="s">
        <v>876</v>
      </c>
      <c r="H117" s="1292" t="s">
        <v>1743</v>
      </c>
      <c r="I117" s="1341"/>
      <c r="J117" s="1342"/>
      <c r="O117" s="827" t="s">
        <v>2659</v>
      </c>
      <c r="Q117" s="1300">
        <v>4042334466</v>
      </c>
      <c r="R117" s="1305"/>
      <c r="S117" s="1301"/>
    </row>
    <row r="118" spans="1:19" s="449" customFormat="1" ht="13.35" customHeight="1">
      <c r="D118" s="503"/>
      <c r="E118" s="455" t="s">
        <v>2655</v>
      </c>
      <c r="H118" s="1306" t="s">
        <v>1337</v>
      </c>
      <c r="I118" s="483" t="s">
        <v>3138</v>
      </c>
      <c r="J118" s="1303">
        <v>303052766</v>
      </c>
      <c r="K118" s="1342"/>
      <c r="O118" s="827" t="s">
        <v>2859</v>
      </c>
      <c r="Q118" s="1300">
        <v>4043071701</v>
      </c>
      <c r="R118" s="1305"/>
      <c r="S118" s="1301"/>
    </row>
    <row r="119" spans="1:19" s="449" customFormat="1" ht="13.35" customHeight="1">
      <c r="D119" s="503"/>
      <c r="E119" s="455" t="s">
        <v>2865</v>
      </c>
      <c r="H119" s="1300">
        <v>4042334466</v>
      </c>
      <c r="I119" s="1301"/>
      <c r="J119" s="1377"/>
      <c r="K119" s="836" t="s">
        <v>2658</v>
      </c>
      <c r="L119" s="1329">
        <v>4042337396</v>
      </c>
      <c r="M119" s="1342"/>
      <c r="N119" s="457" t="s">
        <v>2864</v>
      </c>
      <c r="O119" s="1307" t="s">
        <v>4025</v>
      </c>
      <c r="P119" s="1308"/>
      <c r="Q119" s="1308"/>
      <c r="R119" s="1308"/>
      <c r="S119" s="1309"/>
    </row>
    <row r="120" spans="1:19" ht="13.35" customHeight="1"/>
    <row r="121" spans="1:19" s="449" customFormat="1" ht="13.35" customHeight="1">
      <c r="A121" s="452" t="s">
        <v>2648</v>
      </c>
      <c r="B121" s="452" t="s">
        <v>3642</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83"/>
      <c r="C123" s="1383"/>
      <c r="D123" s="1384"/>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85"/>
      <c r="B124" s="1386"/>
      <c r="C124" s="1386"/>
      <c r="D124" s="1387"/>
      <c r="E124" s="920"/>
      <c r="F124" s="923"/>
      <c r="G124" s="929"/>
      <c r="H124" s="930"/>
      <c r="I124" s="931"/>
      <c r="J124" s="936"/>
      <c r="K124" s="937"/>
      <c r="L124" s="929"/>
      <c r="M124" s="941"/>
      <c r="N124" s="929"/>
      <c r="O124" s="931"/>
      <c r="P124" s="929"/>
      <c r="Q124" s="931"/>
      <c r="R124" s="929"/>
      <c r="S124" s="946"/>
    </row>
    <row r="125" spans="1:19" s="449" customFormat="1" ht="21.6" customHeight="1">
      <c r="A125" s="1385"/>
      <c r="B125" s="1386"/>
      <c r="C125" s="1386"/>
      <c r="D125" s="1387"/>
      <c r="E125" s="920"/>
      <c r="F125" s="924"/>
      <c r="G125" s="929"/>
      <c r="H125" s="930"/>
      <c r="I125" s="931"/>
      <c r="J125" s="936"/>
      <c r="K125" s="937"/>
      <c r="L125" s="942"/>
      <c r="M125" s="941"/>
      <c r="N125" s="929"/>
      <c r="O125" s="931"/>
      <c r="P125" s="929"/>
      <c r="Q125" s="931"/>
      <c r="R125" s="947"/>
      <c r="S125" s="946"/>
    </row>
    <row r="126" spans="1:19" s="449" customFormat="1" ht="21.6" customHeight="1">
      <c r="A126" s="1385"/>
      <c r="B126" s="1386"/>
      <c r="C126" s="1386"/>
      <c r="D126" s="1387"/>
      <c r="E126" s="920"/>
      <c r="F126" s="924"/>
      <c r="G126" s="929"/>
      <c r="H126" s="930"/>
      <c r="I126" s="931"/>
      <c r="J126" s="936"/>
      <c r="K126" s="937"/>
      <c r="L126" s="942"/>
      <c r="M126" s="941"/>
      <c r="N126" s="929"/>
      <c r="O126" s="931"/>
      <c r="P126" s="929"/>
      <c r="Q126" s="931"/>
      <c r="R126" s="947"/>
      <c r="S126" s="946"/>
    </row>
    <row r="127" spans="1:19" s="449" customFormat="1" ht="21.6" customHeight="1">
      <c r="A127" s="1388"/>
      <c r="B127" s="1389"/>
      <c r="C127" s="1389"/>
      <c r="D127" s="1390"/>
      <c r="E127" s="921"/>
      <c r="F127" s="925"/>
      <c r="G127" s="932"/>
      <c r="H127" s="933"/>
      <c r="I127" s="934"/>
      <c r="J127" s="938"/>
      <c r="K127" s="939"/>
      <c r="L127" s="943"/>
      <c r="M127" s="944"/>
      <c r="N127" s="932"/>
      <c r="O127" s="934"/>
      <c r="P127" s="932"/>
      <c r="Q127" s="934"/>
      <c r="R127" s="948"/>
      <c r="S127" s="949"/>
    </row>
    <row r="128" spans="1:19" s="449" customFormat="1" ht="14.1" customHeight="1">
      <c r="A128" s="834" t="s">
        <v>3300</v>
      </c>
      <c r="B128" s="835"/>
      <c r="C128" s="835"/>
      <c r="D128" s="840"/>
      <c r="E128" s="1391" t="s">
        <v>3975</v>
      </c>
      <c r="F128" s="1391" t="s">
        <v>3975</v>
      </c>
      <c r="G128" s="1392" t="s">
        <v>3975</v>
      </c>
      <c r="H128" s="1393"/>
      <c r="I128" s="1394"/>
      <c r="J128" s="1392" t="s">
        <v>3974</v>
      </c>
      <c r="K128" s="1394"/>
      <c r="L128" s="1392" t="s">
        <v>3975</v>
      </c>
      <c r="M128" s="1394"/>
      <c r="N128" s="1392" t="s">
        <v>3975</v>
      </c>
      <c r="O128" s="1394"/>
      <c r="P128" s="1395" t="s">
        <v>3638</v>
      </c>
      <c r="Q128" s="1396"/>
      <c r="R128" s="1397">
        <v>1E-4</v>
      </c>
      <c r="S128" s="1398"/>
    </row>
    <row r="129" spans="1:19" s="449" customFormat="1" ht="14.1" customHeight="1">
      <c r="A129" s="832" t="s">
        <v>3290</v>
      </c>
      <c r="B129" s="833"/>
      <c r="C129" s="833"/>
      <c r="D129" s="839"/>
      <c r="E129" s="1399"/>
      <c r="F129" s="1399"/>
      <c r="G129" s="1400"/>
      <c r="H129" s="1401"/>
      <c r="I129" s="1402"/>
      <c r="J129" s="1400"/>
      <c r="K129" s="1402"/>
      <c r="L129" s="1400"/>
      <c r="M129" s="1402"/>
      <c r="N129" s="1400"/>
      <c r="O129" s="1402"/>
      <c r="P129" s="1403"/>
      <c r="Q129" s="1404"/>
      <c r="R129" s="1405"/>
      <c r="S129" s="1406"/>
    </row>
    <row r="130" spans="1:19" s="449" customFormat="1" ht="14.1" customHeight="1">
      <c r="A130" s="832" t="s">
        <v>3291</v>
      </c>
      <c r="B130" s="833"/>
      <c r="C130" s="833"/>
      <c r="D130" s="839"/>
      <c r="E130" s="1399"/>
      <c r="F130" s="1399"/>
      <c r="G130" s="1400"/>
      <c r="H130" s="1401"/>
      <c r="I130" s="1402"/>
      <c r="J130" s="1400"/>
      <c r="K130" s="1402"/>
      <c r="L130" s="1400"/>
      <c r="M130" s="1402"/>
      <c r="N130" s="1400"/>
      <c r="O130" s="1402"/>
      <c r="P130" s="1403"/>
      <c r="Q130" s="1404"/>
      <c r="R130" s="1405"/>
      <c r="S130" s="1406"/>
    </row>
    <row r="131" spans="1:19" s="449" customFormat="1" ht="14.1" customHeight="1">
      <c r="A131" s="832" t="s">
        <v>3292</v>
      </c>
      <c r="B131" s="833"/>
      <c r="C131" s="833"/>
      <c r="D131" s="839"/>
      <c r="E131" s="1399" t="s">
        <v>3975</v>
      </c>
      <c r="F131" s="1399" t="s">
        <v>3975</v>
      </c>
      <c r="G131" s="1400" t="s">
        <v>3975</v>
      </c>
      <c r="H131" s="1401"/>
      <c r="I131" s="1402"/>
      <c r="J131" s="1400" t="s">
        <v>3975</v>
      </c>
      <c r="K131" s="1402"/>
      <c r="L131" s="1400" t="s">
        <v>3975</v>
      </c>
      <c r="M131" s="1402"/>
      <c r="N131" s="1400" t="s">
        <v>3975</v>
      </c>
      <c r="O131" s="1402"/>
      <c r="P131" s="1403" t="s">
        <v>4027</v>
      </c>
      <c r="Q131" s="1404"/>
      <c r="R131" s="1405">
        <v>0.9899</v>
      </c>
      <c r="S131" s="1406"/>
    </row>
    <row r="132" spans="1:19" s="449" customFormat="1" ht="14.1" customHeight="1">
      <c r="A132" s="832" t="s">
        <v>3293</v>
      </c>
      <c r="B132" s="833"/>
      <c r="C132" s="833"/>
      <c r="D132" s="839"/>
      <c r="E132" s="1399" t="s">
        <v>3975</v>
      </c>
      <c r="F132" s="1399" t="s">
        <v>3975</v>
      </c>
      <c r="G132" s="1400" t="s">
        <v>3975</v>
      </c>
      <c r="H132" s="1401"/>
      <c r="I132" s="1402"/>
      <c r="J132" s="1400" t="s">
        <v>3975</v>
      </c>
      <c r="K132" s="1402"/>
      <c r="L132" s="1400" t="s">
        <v>3975</v>
      </c>
      <c r="M132" s="1402"/>
      <c r="N132" s="1400" t="s">
        <v>3975</v>
      </c>
      <c r="O132" s="1402"/>
      <c r="P132" s="1403" t="s">
        <v>4027</v>
      </c>
      <c r="Q132" s="1404"/>
      <c r="R132" s="1405">
        <v>0.01</v>
      </c>
      <c r="S132" s="1406"/>
    </row>
    <row r="133" spans="1:19" s="449" customFormat="1" ht="14.1" customHeight="1">
      <c r="A133" s="832" t="s">
        <v>3294</v>
      </c>
      <c r="B133" s="833"/>
      <c r="C133" s="833"/>
      <c r="D133" s="839"/>
      <c r="E133" s="1399"/>
      <c r="F133" s="1399"/>
      <c r="G133" s="1400"/>
      <c r="H133" s="1401"/>
      <c r="I133" s="1402"/>
      <c r="J133" s="1400"/>
      <c r="K133" s="1402"/>
      <c r="L133" s="1400"/>
      <c r="M133" s="1402"/>
      <c r="N133" s="1400"/>
      <c r="O133" s="1402"/>
      <c r="P133" s="1403"/>
      <c r="Q133" s="1404"/>
      <c r="R133" s="1405"/>
      <c r="S133" s="1406"/>
    </row>
    <row r="134" spans="1:19" s="449" customFormat="1" ht="14.1" customHeight="1">
      <c r="A134" s="832" t="s">
        <v>918</v>
      </c>
      <c r="B134" s="833"/>
      <c r="C134" s="833"/>
      <c r="D134" s="839"/>
      <c r="E134" s="1399" t="s">
        <v>3975</v>
      </c>
      <c r="F134" s="1399" t="s">
        <v>3975</v>
      </c>
      <c r="G134" s="1400" t="s">
        <v>3975</v>
      </c>
      <c r="H134" s="1401"/>
      <c r="I134" s="1402"/>
      <c r="J134" s="1400" t="s">
        <v>3974</v>
      </c>
      <c r="K134" s="1402"/>
      <c r="L134" s="1400" t="s">
        <v>3975</v>
      </c>
      <c r="M134" s="1402"/>
      <c r="N134" s="1400" t="s">
        <v>3975</v>
      </c>
      <c r="O134" s="1402"/>
      <c r="P134" s="1403" t="s">
        <v>3638</v>
      </c>
      <c r="Q134" s="1404"/>
      <c r="R134" s="1405">
        <v>0</v>
      </c>
      <c r="S134" s="1406"/>
    </row>
    <row r="135" spans="1:19" s="449" customFormat="1" ht="14.1" customHeight="1">
      <c r="A135" s="832" t="s">
        <v>3295</v>
      </c>
      <c r="B135" s="833"/>
      <c r="C135" s="833"/>
      <c r="D135" s="839"/>
      <c r="E135" s="1399"/>
      <c r="F135" s="1399"/>
      <c r="G135" s="1400"/>
      <c r="H135" s="1401"/>
      <c r="I135" s="1402"/>
      <c r="J135" s="1400"/>
      <c r="K135" s="1402"/>
      <c r="L135" s="1400"/>
      <c r="M135" s="1402"/>
      <c r="N135" s="1400"/>
      <c r="O135" s="1402"/>
      <c r="P135" s="1403"/>
      <c r="Q135" s="1404"/>
      <c r="R135" s="1405"/>
      <c r="S135" s="1406"/>
    </row>
    <row r="136" spans="1:19" s="449" customFormat="1" ht="14.1" customHeight="1">
      <c r="A136" s="832" t="s">
        <v>3296</v>
      </c>
      <c r="B136" s="833"/>
      <c r="C136" s="833"/>
      <c r="D136" s="839"/>
      <c r="E136" s="1399"/>
      <c r="F136" s="1399"/>
      <c r="G136" s="1400"/>
      <c r="H136" s="1401"/>
      <c r="I136" s="1402"/>
      <c r="J136" s="1400"/>
      <c r="K136" s="1402"/>
      <c r="L136" s="1400"/>
      <c r="M136" s="1402"/>
      <c r="N136" s="1400"/>
      <c r="O136" s="1402"/>
      <c r="P136" s="1403"/>
      <c r="Q136" s="1404"/>
      <c r="R136" s="1405"/>
      <c r="S136" s="1406"/>
    </row>
    <row r="137" spans="1:19" s="449" customFormat="1" ht="14.1" customHeight="1">
      <c r="A137" s="832" t="s">
        <v>3297</v>
      </c>
      <c r="B137" s="833"/>
      <c r="C137" s="833"/>
      <c r="D137" s="839"/>
      <c r="E137" s="1399"/>
      <c r="F137" s="1399"/>
      <c r="G137" s="1400"/>
      <c r="H137" s="1401"/>
      <c r="I137" s="1402"/>
      <c r="J137" s="1400"/>
      <c r="K137" s="1402"/>
      <c r="L137" s="1400"/>
      <c r="M137" s="1402"/>
      <c r="N137" s="1400"/>
      <c r="O137" s="1402"/>
      <c r="P137" s="1403"/>
      <c r="Q137" s="1404"/>
      <c r="R137" s="1405"/>
      <c r="S137" s="1406"/>
    </row>
    <row r="138" spans="1:19" s="449" customFormat="1" ht="14.1" customHeight="1">
      <c r="A138" s="832" t="s">
        <v>3298</v>
      </c>
      <c r="B138" s="833"/>
      <c r="C138" s="833"/>
      <c r="D138" s="839"/>
      <c r="E138" s="1399"/>
      <c r="F138" s="1399"/>
      <c r="G138" s="1400"/>
      <c r="H138" s="1401"/>
      <c r="I138" s="1402"/>
      <c r="J138" s="1400"/>
      <c r="K138" s="1402"/>
      <c r="L138" s="1400"/>
      <c r="M138" s="1402"/>
      <c r="N138" s="1400"/>
      <c r="O138" s="1402"/>
      <c r="P138" s="1403"/>
      <c r="Q138" s="1404"/>
      <c r="R138" s="1405"/>
      <c r="S138" s="1406"/>
    </row>
    <row r="139" spans="1:19" s="449" customFormat="1" ht="14.1" customHeight="1">
      <c r="A139" s="832" t="s">
        <v>2130</v>
      </c>
      <c r="B139" s="833"/>
      <c r="C139" s="833"/>
      <c r="D139" s="839"/>
      <c r="E139" s="1399"/>
      <c r="F139" s="1399"/>
      <c r="G139" s="1400"/>
      <c r="H139" s="1401"/>
      <c r="I139" s="1402"/>
      <c r="J139" s="1400"/>
      <c r="K139" s="1402"/>
      <c r="L139" s="1400"/>
      <c r="M139" s="1402"/>
      <c r="N139" s="1400"/>
      <c r="O139" s="1402"/>
      <c r="P139" s="1403"/>
      <c r="Q139" s="1404"/>
      <c r="R139" s="1405"/>
      <c r="S139" s="1406"/>
    </row>
    <row r="140" spans="1:19" s="449" customFormat="1" ht="14.1" customHeight="1">
      <c r="A140" s="837" t="s">
        <v>3299</v>
      </c>
      <c r="B140" s="838"/>
      <c r="C140" s="838"/>
      <c r="D140" s="504"/>
      <c r="E140" s="1407" t="s">
        <v>3975</v>
      </c>
      <c r="F140" s="1407" t="s">
        <v>3975</v>
      </c>
      <c r="G140" s="1408" t="s">
        <v>3975</v>
      </c>
      <c r="H140" s="1409"/>
      <c r="I140" s="1410"/>
      <c r="J140" s="1408" t="s">
        <v>3974</v>
      </c>
      <c r="K140" s="1410"/>
      <c r="L140" s="1408" t="s">
        <v>3975</v>
      </c>
      <c r="M140" s="1410"/>
      <c r="N140" s="1408" t="s">
        <v>3975</v>
      </c>
      <c r="O140" s="1410"/>
      <c r="P140" s="1411" t="s">
        <v>3638</v>
      </c>
      <c r="Q140" s="1412"/>
      <c r="R140" s="1413">
        <v>0</v>
      </c>
      <c r="S140" s="1414"/>
    </row>
    <row r="141" spans="1:19" s="833" customFormat="1" ht="14.1"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264.75" customHeight="1">
      <c r="A145" s="1366" t="s">
        <v>4129</v>
      </c>
      <c r="B145" s="1367"/>
      <c r="C145" s="1367"/>
      <c r="D145" s="1367"/>
      <c r="E145" s="1367"/>
      <c r="F145" s="1367"/>
      <c r="G145" s="1367"/>
      <c r="H145" s="1367"/>
      <c r="I145" s="1367"/>
      <c r="J145" s="1367"/>
      <c r="K145" s="1367"/>
      <c r="L145" s="1367"/>
      <c r="M145" s="1368"/>
      <c r="N145" s="1369"/>
      <c r="O145" s="1370"/>
      <c r="P145" s="1370"/>
      <c r="Q145" s="1370"/>
      <c r="R145" s="1370"/>
      <c r="S145" s="1371"/>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5"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6.xml><?xml version="1.0" encoding="utf-8"?>
<worksheet xmlns="http://schemas.openxmlformats.org/spreadsheetml/2006/main" xmlns:r="http://schemas.openxmlformats.org/officeDocument/2006/relationships">
  <sheetPr codeName="Sheet5" enableFormatConditionsCalculation="0">
    <pageSetUpPr fitToPage="1"/>
  </sheetPr>
  <dimension ref="A1:W98"/>
  <sheetViews>
    <sheetView zoomScale="80" zoomScaleNormal="8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42578125" style="506" customWidth="1"/>
    <col min="20" max="20" width="98.7109375" style="506" customWidth="1"/>
    <col min="21" max="16384" width="9.140625" style="506"/>
  </cols>
  <sheetData>
    <row r="1" spans="1:20" s="397" customFormat="1" ht="14.1" customHeight="1">
      <c r="A1" s="915" t="str">
        <f>CONCATENATE("PART THREE - SOURCES OF FUNDS","  -  ",'Part I-Project Information'!$O$4," ",'Part I-Project Information'!$F$22,", ",'Part I-Project Information'!$F$24,", ",'Part I-Project Information'!$J$25," County")</f>
        <v>PART THREE - SOURCES OF FUNDS  -  2012-059 Allen Wilson - Phase III, Decatur, DeKalb County</v>
      </c>
      <c r="B1" s="916"/>
      <c r="C1" s="916"/>
      <c r="D1" s="916"/>
      <c r="E1" s="916"/>
      <c r="F1" s="916"/>
      <c r="G1" s="916"/>
      <c r="H1" s="916"/>
      <c r="I1" s="916"/>
      <c r="J1" s="916"/>
      <c r="K1" s="916"/>
      <c r="L1" s="916"/>
      <c r="M1" s="916"/>
      <c r="N1" s="916"/>
      <c r="O1" s="916"/>
      <c r="P1" s="916"/>
      <c r="Q1" s="917"/>
      <c r="S1" s="988" t="str">
        <f>$A$1</f>
        <v>PART THREE - SOURCES OF FUNDS  -  2012-059 Allen Wilson - Phase III, Decatur, DeKalb County</v>
      </c>
      <c r="T1" s="988"/>
    </row>
    <row r="2" spans="1:20" ht="17.45" customHeight="1">
      <c r="A2" s="472"/>
      <c r="B2" s="472"/>
      <c r="C2" s="472"/>
      <c r="D2" s="472"/>
      <c r="E2" s="472"/>
      <c r="F2" s="472"/>
      <c r="G2" s="472"/>
      <c r="H2" s="472"/>
      <c r="I2" s="472"/>
      <c r="J2" s="472"/>
      <c r="N2" s="472"/>
      <c r="O2" s="472"/>
      <c r="P2" s="472"/>
      <c r="Q2" s="472"/>
    </row>
    <row r="3" spans="1:20" s="397" customFormat="1" ht="13.3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4.1" customHeight="1">
      <c r="A4" s="481"/>
      <c r="B4" s="844"/>
      <c r="C4" s="475"/>
      <c r="D4" s="833"/>
      <c r="E4" s="833"/>
      <c r="F4" s="833"/>
      <c r="G4" s="833"/>
      <c r="I4" s="449"/>
      <c r="J4" s="449"/>
      <c r="K4" s="449"/>
      <c r="L4" s="449"/>
      <c r="M4" s="449"/>
      <c r="S4" s="974" t="s">
        <v>3864</v>
      </c>
      <c r="T4" s="974"/>
    </row>
    <row r="5" spans="1:20" s="397" customFormat="1" ht="17.100000000000001" customHeight="1">
      <c r="A5" s="844"/>
      <c r="B5" s="1306" t="s">
        <v>3974</v>
      </c>
      <c r="C5" s="827" t="s">
        <v>3392</v>
      </c>
      <c r="D5" s="449"/>
      <c r="E5" s="1306" t="s">
        <v>3975</v>
      </c>
      <c r="F5" s="829" t="s">
        <v>2494</v>
      </c>
      <c r="G5" s="449"/>
      <c r="J5" s="1416"/>
      <c r="K5" s="1417"/>
      <c r="M5" s="1306" t="s">
        <v>3975</v>
      </c>
      <c r="N5" s="827" t="s">
        <v>786</v>
      </c>
      <c r="P5" s="1306" t="s">
        <v>3975</v>
      </c>
      <c r="Q5" s="990" t="s">
        <v>3654</v>
      </c>
      <c r="S5" s="1418"/>
      <c r="T5" s="1419"/>
    </row>
    <row r="6" spans="1:20" s="397" customFormat="1" ht="17.100000000000001" customHeight="1">
      <c r="A6" s="844"/>
      <c r="B6" s="1306" t="s">
        <v>3975</v>
      </c>
      <c r="C6" s="827" t="s">
        <v>2660</v>
      </c>
      <c r="D6" s="449"/>
      <c r="E6" s="1306" t="s">
        <v>3975</v>
      </c>
      <c r="F6" s="829" t="s">
        <v>3099</v>
      </c>
      <c r="H6" s="1306" t="s">
        <v>3975</v>
      </c>
      <c r="I6" s="833" t="s">
        <v>787</v>
      </c>
      <c r="J6" s="1306" t="s">
        <v>3975</v>
      </c>
      <c r="K6" s="833" t="s">
        <v>2140</v>
      </c>
      <c r="M6" s="1306" t="s">
        <v>3975</v>
      </c>
      <c r="N6" s="829" t="s">
        <v>785</v>
      </c>
      <c r="Q6" s="990"/>
      <c r="S6" s="1420"/>
      <c r="T6" s="1421"/>
    </row>
    <row r="7" spans="1:20" s="397" customFormat="1" ht="17.100000000000001" customHeight="1">
      <c r="A7" s="449"/>
      <c r="B7" s="1306" t="s">
        <v>3975</v>
      </c>
      <c r="C7" s="827" t="s">
        <v>2661</v>
      </c>
      <c r="E7" s="1306" t="s">
        <v>3975</v>
      </c>
      <c r="F7" s="829" t="s">
        <v>3098</v>
      </c>
      <c r="G7" s="449"/>
      <c r="H7" s="1306" t="s">
        <v>3975</v>
      </c>
      <c r="I7" s="989" t="s">
        <v>3652</v>
      </c>
      <c r="J7" s="1306" t="s">
        <v>3975</v>
      </c>
      <c r="K7" s="990" t="s">
        <v>3651</v>
      </c>
      <c r="L7" s="991"/>
      <c r="M7" s="1306" t="s">
        <v>3975</v>
      </c>
      <c r="N7" s="455" t="s">
        <v>3653</v>
      </c>
      <c r="Q7" s="992"/>
      <c r="S7" s="1420"/>
      <c r="T7" s="1421"/>
    </row>
    <row r="8" spans="1:20" s="397" customFormat="1" ht="17.100000000000001" customHeight="1">
      <c r="A8" s="844"/>
      <c r="B8" s="1306" t="s">
        <v>3975</v>
      </c>
      <c r="C8" s="833" t="s">
        <v>3639</v>
      </c>
      <c r="D8" s="449"/>
      <c r="E8" s="1306" t="s">
        <v>3975</v>
      </c>
      <c r="F8" s="477" t="s">
        <v>3640</v>
      </c>
      <c r="I8" s="989"/>
      <c r="K8" s="990"/>
      <c r="L8" s="991"/>
      <c r="M8" s="1306" t="s">
        <v>3974</v>
      </c>
      <c r="N8" s="1292" t="s">
        <v>3981</v>
      </c>
      <c r="O8" s="1293"/>
      <c r="P8" s="1293"/>
      <c r="Q8" s="1294"/>
      <c r="S8" s="1422"/>
      <c r="T8" s="1423"/>
    </row>
    <row r="9" spans="1:20" s="397" customFormat="1" ht="17.100000000000001"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4.1" customHeight="1">
      <c r="A12" s="452"/>
      <c r="B12" s="394"/>
      <c r="C12" s="449"/>
      <c r="K12" s="449"/>
      <c r="L12" s="449"/>
      <c r="M12" s="833"/>
      <c r="N12" s="828"/>
      <c r="O12" s="828"/>
      <c r="P12" s="449"/>
      <c r="Q12" s="449"/>
    </row>
    <row r="13" spans="1:20" s="397" customFormat="1" ht="17.100000000000001" customHeight="1">
      <c r="A13" s="449"/>
      <c r="B13" s="827" t="s">
        <v>2744</v>
      </c>
      <c r="C13" s="449"/>
      <c r="D13" s="449"/>
      <c r="E13" s="449"/>
      <c r="F13" s="449"/>
      <c r="G13" s="449"/>
      <c r="H13" s="962" t="s">
        <v>1864</v>
      </c>
      <c r="I13" s="962"/>
      <c r="J13" s="962"/>
      <c r="K13" s="962"/>
      <c r="L13" s="896" t="s">
        <v>2871</v>
      </c>
      <c r="M13" s="896"/>
      <c r="N13" s="896" t="s">
        <v>2108</v>
      </c>
      <c r="O13" s="896"/>
      <c r="P13" s="896" t="s">
        <v>2381</v>
      </c>
      <c r="Q13" s="896"/>
      <c r="S13" s="974" t="s">
        <v>3864</v>
      </c>
      <c r="T13" s="974"/>
    </row>
    <row r="14" spans="1:20" s="397" customFormat="1" ht="17.100000000000001" customHeight="1">
      <c r="A14" s="449"/>
      <c r="B14" s="959" t="s">
        <v>2195</v>
      </c>
      <c r="C14" s="960"/>
      <c r="D14" s="960"/>
      <c r="E14" s="835"/>
      <c r="F14" s="835"/>
      <c r="G14" s="835"/>
      <c r="H14" s="1292" t="s">
        <v>4093</v>
      </c>
      <c r="I14" s="1293"/>
      <c r="J14" s="1293"/>
      <c r="K14" s="1294"/>
      <c r="L14" s="1424">
        <v>5262420</v>
      </c>
      <c r="M14" s="1425"/>
      <c r="N14" s="1426">
        <v>4.4999999999999998E-2</v>
      </c>
      <c r="O14" s="1427"/>
      <c r="P14" s="1428">
        <v>24</v>
      </c>
      <c r="Q14" s="1429"/>
      <c r="S14" s="1418"/>
      <c r="T14" s="1419"/>
    </row>
    <row r="15" spans="1:20" s="397" customFormat="1" ht="17.100000000000001" customHeight="1">
      <c r="A15" s="449"/>
      <c r="B15" s="957" t="s">
        <v>2196</v>
      </c>
      <c r="C15" s="958"/>
      <c r="D15" s="958"/>
      <c r="E15" s="833"/>
      <c r="F15" s="833"/>
      <c r="G15" s="833"/>
      <c r="H15" s="1292"/>
      <c r="I15" s="1293"/>
      <c r="J15" s="1293"/>
      <c r="K15" s="1294"/>
      <c r="L15" s="1424"/>
      <c r="M15" s="1425"/>
      <c r="N15" s="1426"/>
      <c r="O15" s="1427"/>
      <c r="P15" s="1430"/>
      <c r="Q15" s="1431"/>
      <c r="S15" s="1420"/>
      <c r="T15" s="1421"/>
    </row>
    <row r="16" spans="1:20" s="397" customFormat="1" ht="17.100000000000001" customHeight="1">
      <c r="A16" s="449"/>
      <c r="B16" s="985" t="s">
        <v>2197</v>
      </c>
      <c r="C16" s="986"/>
      <c r="D16" s="986"/>
      <c r="E16" s="838"/>
      <c r="F16" s="838"/>
      <c r="G16" s="838"/>
      <c r="H16" s="1292"/>
      <c r="I16" s="1293"/>
      <c r="J16" s="1293"/>
      <c r="K16" s="1294"/>
      <c r="L16" s="1424"/>
      <c r="M16" s="1425"/>
      <c r="N16" s="1426"/>
      <c r="O16" s="1427"/>
      <c r="P16" s="1430"/>
      <c r="Q16" s="1431"/>
      <c r="S16" s="1420"/>
      <c r="T16" s="1421"/>
    </row>
    <row r="17" spans="1:20" s="397" customFormat="1" ht="17.100000000000001" customHeight="1">
      <c r="A17" s="449"/>
      <c r="B17" s="959" t="s">
        <v>3118</v>
      </c>
      <c r="C17" s="960"/>
      <c r="D17" s="960"/>
      <c r="E17" s="833"/>
      <c r="F17" s="833"/>
      <c r="G17" s="833"/>
      <c r="H17" s="1292"/>
      <c r="I17" s="1293"/>
      <c r="J17" s="1293"/>
      <c r="K17" s="1294"/>
      <c r="L17" s="1424"/>
      <c r="M17" s="1425"/>
      <c r="N17" s="968"/>
      <c r="O17" s="969"/>
      <c r="P17" s="967"/>
      <c r="Q17" s="967"/>
      <c r="S17" s="1420"/>
      <c r="T17" s="1421"/>
    </row>
    <row r="18" spans="1:20" s="397" customFormat="1" ht="17.100000000000001" customHeight="1">
      <c r="A18" s="449"/>
      <c r="B18" s="957" t="s">
        <v>1287</v>
      </c>
      <c r="C18" s="958"/>
      <c r="D18" s="958"/>
      <c r="E18" s="833"/>
      <c r="H18" s="1292"/>
      <c r="I18" s="1293"/>
      <c r="J18" s="1293"/>
      <c r="K18" s="1294"/>
      <c r="L18" s="1424"/>
      <c r="M18" s="1425"/>
      <c r="N18" s="968"/>
      <c r="O18" s="969"/>
      <c r="P18" s="967"/>
      <c r="Q18" s="967"/>
      <c r="S18" s="1420"/>
      <c r="T18" s="1421"/>
    </row>
    <row r="19" spans="1:20" s="397" customFormat="1" ht="17.100000000000001" customHeight="1">
      <c r="A19" s="449"/>
      <c r="B19" s="957" t="s">
        <v>900</v>
      </c>
      <c r="C19" s="958"/>
      <c r="D19" s="958"/>
      <c r="E19" s="833"/>
      <c r="H19" s="1292" t="s">
        <v>3977</v>
      </c>
      <c r="I19" s="1293"/>
      <c r="J19" s="1293"/>
      <c r="K19" s="1294"/>
      <c r="L19" s="1424">
        <v>90779.010000000009</v>
      </c>
      <c r="M19" s="1425"/>
      <c r="N19" s="968"/>
      <c r="O19" s="969"/>
      <c r="P19" s="967"/>
      <c r="Q19" s="967"/>
      <c r="S19" s="1420"/>
      <c r="T19" s="1421"/>
    </row>
    <row r="20" spans="1:20" s="397" customFormat="1" ht="17.100000000000001" customHeight="1">
      <c r="A20" s="449"/>
      <c r="B20" s="957" t="s">
        <v>1288</v>
      </c>
      <c r="C20" s="958"/>
      <c r="D20" s="958"/>
      <c r="E20" s="833"/>
      <c r="H20" s="1292" t="s">
        <v>4091</v>
      </c>
      <c r="I20" s="1293"/>
      <c r="J20" s="1293"/>
      <c r="K20" s="1294"/>
      <c r="L20" s="1424">
        <v>1631644.2829193005</v>
      </c>
      <c r="M20" s="1425"/>
      <c r="N20" s="449"/>
      <c r="O20" s="449"/>
      <c r="P20" s="449"/>
      <c r="Q20" s="449"/>
      <c r="S20" s="1422"/>
      <c r="T20" s="1423"/>
    </row>
    <row r="21" spans="1:20" s="397" customFormat="1" ht="17.100000000000001" customHeight="1">
      <c r="A21" s="449"/>
      <c r="B21" s="957" t="s">
        <v>1289</v>
      </c>
      <c r="C21" s="958"/>
      <c r="D21" s="958"/>
      <c r="E21" s="833"/>
      <c r="H21" s="1292" t="s">
        <v>4092</v>
      </c>
      <c r="I21" s="1293"/>
      <c r="J21" s="1293"/>
      <c r="K21" s="1294"/>
      <c r="L21" s="1424">
        <v>496587.39045370015</v>
      </c>
      <c r="M21" s="1425"/>
      <c r="N21" s="449"/>
      <c r="O21" s="449"/>
      <c r="P21" s="449"/>
      <c r="Q21" s="449"/>
      <c r="S21" s="1418"/>
      <c r="T21" s="1419"/>
    </row>
    <row r="22" spans="1:20" s="397" customFormat="1" ht="17.100000000000001" customHeight="1">
      <c r="A22" s="449"/>
      <c r="B22" s="832" t="s">
        <v>289</v>
      </c>
      <c r="C22" s="833"/>
      <c r="D22" s="1432" t="s">
        <v>4089</v>
      </c>
      <c r="E22" s="1432"/>
      <c r="F22" s="1432"/>
      <c r="G22" s="1432"/>
      <c r="H22" s="1433" t="s">
        <v>3980</v>
      </c>
      <c r="I22" s="1434"/>
      <c r="J22" s="1434"/>
      <c r="K22" s="1435"/>
      <c r="L22" s="1424">
        <v>354650</v>
      </c>
      <c r="M22" s="1425"/>
      <c r="N22" s="449"/>
      <c r="O22" s="449"/>
      <c r="P22" s="449"/>
      <c r="Q22" s="449"/>
      <c r="S22" s="1420"/>
      <c r="T22" s="1421"/>
    </row>
    <row r="23" spans="1:20" s="397" customFormat="1" ht="17.100000000000001" customHeight="1">
      <c r="A23" s="449"/>
      <c r="B23" s="832" t="s">
        <v>289</v>
      </c>
      <c r="C23" s="833"/>
      <c r="D23" s="1432" t="s">
        <v>4088</v>
      </c>
      <c r="E23" s="1432"/>
      <c r="F23" s="1432"/>
      <c r="G23" s="1432"/>
      <c r="H23" s="1292" t="s">
        <v>4098</v>
      </c>
      <c r="I23" s="1293"/>
      <c r="J23" s="1293"/>
      <c r="K23" s="1294"/>
      <c r="L23" s="1424">
        <v>174007</v>
      </c>
      <c r="M23" s="1425"/>
      <c r="N23" s="449"/>
      <c r="O23" s="449"/>
      <c r="P23" s="449"/>
      <c r="Q23" s="449"/>
      <c r="S23" s="1420"/>
      <c r="T23" s="1421"/>
    </row>
    <row r="24" spans="1:20" s="397" customFormat="1" ht="17.100000000000001" customHeight="1">
      <c r="A24" s="449"/>
      <c r="B24" s="837" t="s">
        <v>289</v>
      </c>
      <c r="C24" s="838"/>
      <c r="D24" s="1432"/>
      <c r="E24" s="1432"/>
      <c r="F24" s="1432"/>
      <c r="G24" s="1432"/>
      <c r="H24" s="1292"/>
      <c r="I24" s="1293"/>
      <c r="J24" s="1293"/>
      <c r="K24" s="1294"/>
      <c r="L24" s="1424"/>
      <c r="M24" s="1425"/>
      <c r="N24" s="449"/>
      <c r="O24" s="449"/>
      <c r="P24" s="449"/>
      <c r="Q24" s="449"/>
      <c r="S24" s="1420"/>
      <c r="T24" s="1421"/>
    </row>
    <row r="25" spans="1:20" s="397" customFormat="1" ht="17.100000000000001" customHeight="1">
      <c r="A25" s="449"/>
      <c r="B25" s="394" t="s">
        <v>1865</v>
      </c>
      <c r="C25" s="449"/>
      <c r="D25" s="449"/>
      <c r="E25" s="449"/>
      <c r="F25" s="449"/>
      <c r="G25" s="449"/>
      <c r="H25" s="449"/>
      <c r="I25" s="449"/>
      <c r="L25" s="970">
        <f>SUM(L14:L24)</f>
        <v>8010087.6833730005</v>
      </c>
      <c r="M25" s="971"/>
      <c r="N25" s="472"/>
      <c r="O25" s="472"/>
      <c r="P25" s="472"/>
      <c r="Q25" s="472"/>
      <c r="S25" s="1420"/>
      <c r="T25" s="1421"/>
    </row>
    <row r="26" spans="1:20" s="397" customFormat="1" ht="17.100000000000001" customHeight="1">
      <c r="A26" s="449"/>
      <c r="B26" s="827" t="s">
        <v>1866</v>
      </c>
      <c r="C26" s="449"/>
      <c r="D26" s="449"/>
      <c r="E26" s="449"/>
      <c r="F26" s="449"/>
      <c r="G26" s="449"/>
      <c r="H26" s="449"/>
      <c r="I26" s="449"/>
      <c r="L26" s="1436">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7778830.4446232794</v>
      </c>
      <c r="M26" s="1437"/>
      <c r="N26" s="965"/>
      <c r="O26" s="966"/>
      <c r="P26" s="966"/>
      <c r="Q26" s="966"/>
      <c r="S26" s="1420"/>
      <c r="T26" s="1421"/>
    </row>
    <row r="27" spans="1:20" s="397" customFormat="1" ht="17.100000000000001" customHeight="1">
      <c r="A27" s="449"/>
      <c r="B27" s="455" t="s">
        <v>3049</v>
      </c>
      <c r="C27" s="449"/>
      <c r="D27" s="449"/>
      <c r="E27" s="449"/>
      <c r="F27" s="449"/>
      <c r="G27" s="449"/>
      <c r="H27" s="449"/>
      <c r="I27" s="449"/>
      <c r="L27" s="972">
        <f>L25-L26</f>
        <v>231257.23874972109</v>
      </c>
      <c r="M27" s="973"/>
      <c r="N27" s="965"/>
      <c r="O27" s="966"/>
      <c r="P27" s="966"/>
      <c r="Q27" s="966"/>
      <c r="S27" s="1422"/>
      <c r="T27" s="1423"/>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35" customHeight="1">
      <c r="A30" s="449"/>
      <c r="B30" s="449"/>
      <c r="C30" s="449"/>
      <c r="D30" s="449"/>
      <c r="E30" s="449"/>
      <c r="F30" s="836"/>
      <c r="G30" s="836"/>
      <c r="H30" s="967"/>
      <c r="I30" s="967"/>
      <c r="J30" s="542" t="s">
        <v>2988</v>
      </c>
      <c r="K30" s="836" t="s">
        <v>1862</v>
      </c>
      <c r="L30" s="836" t="s">
        <v>1867</v>
      </c>
      <c r="M30" s="903" t="s">
        <v>39</v>
      </c>
      <c r="N30" s="903"/>
      <c r="O30" s="828"/>
      <c r="P30" s="836"/>
      <c r="Q30" s="975" t="s">
        <v>3267</v>
      </c>
      <c r="S30" s="507"/>
    </row>
    <row r="31" spans="1:20" s="397" customFormat="1" ht="13.35" customHeight="1">
      <c r="A31" s="449"/>
      <c r="B31" s="841" t="s">
        <v>2744</v>
      </c>
      <c r="C31" s="838"/>
      <c r="D31" s="838"/>
      <c r="E31" s="958" t="s">
        <v>1864</v>
      </c>
      <c r="F31" s="958"/>
      <c r="G31" s="958"/>
      <c r="H31" s="896" t="s">
        <v>676</v>
      </c>
      <c r="I31" s="896"/>
      <c r="J31" s="826" t="s">
        <v>2667</v>
      </c>
      <c r="K31" s="826" t="s">
        <v>3117</v>
      </c>
      <c r="L31" s="826" t="s">
        <v>3117</v>
      </c>
      <c r="M31" s="1438"/>
      <c r="N31" s="1438"/>
      <c r="O31" s="896" t="s">
        <v>80</v>
      </c>
      <c r="P31" s="896"/>
      <c r="Q31" s="976"/>
      <c r="S31" s="974" t="s">
        <v>3864</v>
      </c>
      <c r="T31" s="974"/>
    </row>
    <row r="32" spans="1:20" s="397" customFormat="1" ht="13.35" customHeight="1">
      <c r="A32" s="449"/>
      <c r="B32" s="959" t="s">
        <v>3662</v>
      </c>
      <c r="C32" s="960"/>
      <c r="D32" s="960"/>
      <c r="E32" s="1433"/>
      <c r="F32" s="1439"/>
      <c r="G32" s="1440"/>
      <c r="H32" s="1441"/>
      <c r="I32" s="1442"/>
      <c r="J32" s="1443"/>
      <c r="K32" s="1306"/>
      <c r="L32" s="1306"/>
      <c r="M32" s="1444" t="str">
        <f t="shared" ref="M32:M37" si="0">IF(OR(H32&lt;=0,H32=""),"",IF(O32="Amortizing",-PMT(J32/12,L32*12,H32,0,0)*12,""))</f>
        <v/>
      </c>
      <c r="N32" s="1445"/>
      <c r="O32" s="1286"/>
      <c r="P32" s="1287"/>
      <c r="Q32" s="1446"/>
      <c r="S32" s="1447"/>
      <c r="T32" s="1419"/>
    </row>
    <row r="33" spans="1:20" s="397" customFormat="1" ht="13.35" customHeight="1">
      <c r="A33" s="449"/>
      <c r="B33" s="957" t="s">
        <v>3663</v>
      </c>
      <c r="C33" s="958"/>
      <c r="D33" s="958"/>
      <c r="E33" s="1297"/>
      <c r="F33" s="1448"/>
      <c r="G33" s="1449"/>
      <c r="H33" s="1450"/>
      <c r="I33" s="1442"/>
      <c r="J33" s="1443"/>
      <c r="K33" s="1306"/>
      <c r="L33" s="1306"/>
      <c r="M33" s="1444" t="str">
        <f t="shared" si="0"/>
        <v/>
      </c>
      <c r="N33" s="1445"/>
      <c r="O33" s="1286"/>
      <c r="P33" s="1287"/>
      <c r="Q33" s="1446"/>
      <c r="S33" s="1420"/>
      <c r="T33" s="1421"/>
    </row>
    <row r="34" spans="1:20" s="397" customFormat="1" ht="13.35" customHeight="1">
      <c r="A34" s="449"/>
      <c r="B34" s="957" t="s">
        <v>3664</v>
      </c>
      <c r="C34" s="958"/>
      <c r="D34" s="958"/>
      <c r="E34" s="1292"/>
      <c r="F34" s="1451"/>
      <c r="G34" s="1442"/>
      <c r="H34" s="1450"/>
      <c r="I34" s="1442"/>
      <c r="J34" s="1443"/>
      <c r="K34" s="1306"/>
      <c r="L34" s="1306"/>
      <c r="M34" s="1444" t="str">
        <f t="shared" si="0"/>
        <v/>
      </c>
      <c r="N34" s="1445"/>
      <c r="O34" s="1286"/>
      <c r="P34" s="1287"/>
      <c r="Q34" s="1446"/>
      <c r="S34" s="1420"/>
      <c r="T34" s="1421"/>
    </row>
    <row r="35" spans="1:20" s="397" customFormat="1" ht="13.35" customHeight="1">
      <c r="A35" s="449"/>
      <c r="B35" s="832" t="s">
        <v>1137</v>
      </c>
      <c r="C35" s="1286" t="s">
        <v>4130</v>
      </c>
      <c r="D35" s="1287"/>
      <c r="E35" s="1452" t="s">
        <v>4097</v>
      </c>
      <c r="F35" s="1453"/>
      <c r="G35" s="1454"/>
      <c r="H35" s="1450">
        <v>1083722.9851978756</v>
      </c>
      <c r="I35" s="1442"/>
      <c r="J35" s="1443">
        <v>5.0000000000000001E-3</v>
      </c>
      <c r="K35" s="1306">
        <v>60</v>
      </c>
      <c r="L35" s="1306">
        <v>60</v>
      </c>
      <c r="M35" s="1444">
        <f>ROUND(IF(OR(H35&lt;=0,H35=""),"",IF(O35="Amortizing",-PMT(J35/12,L35*12,H35,0,0)*12,"")),0)</f>
        <v>20910</v>
      </c>
      <c r="N35" s="1445"/>
      <c r="O35" s="1286" t="s">
        <v>4099</v>
      </c>
      <c r="P35" s="1287"/>
      <c r="Q35" s="1446"/>
      <c r="S35" s="1420"/>
      <c r="T35" s="1421"/>
    </row>
    <row r="36" spans="1:20" s="397" customFormat="1" ht="13.35" customHeight="1">
      <c r="A36" s="449"/>
      <c r="B36" s="832" t="s">
        <v>1949</v>
      </c>
      <c r="C36" s="833"/>
      <c r="D36" s="839"/>
      <c r="E36" s="1292"/>
      <c r="F36" s="1451"/>
      <c r="G36" s="1442"/>
      <c r="H36" s="1450"/>
      <c r="I36" s="1442"/>
      <c r="J36" s="790"/>
      <c r="K36" s="842"/>
      <c r="L36" s="842"/>
      <c r="M36" s="984" t="str">
        <f t="shared" si="0"/>
        <v/>
      </c>
      <c r="N36" s="984"/>
      <c r="O36" s="956"/>
      <c r="P36" s="956"/>
      <c r="Q36" s="791"/>
      <c r="S36" s="1420"/>
      <c r="T36" s="1421"/>
    </row>
    <row r="37" spans="1:20" s="397" customFormat="1" ht="13.35" customHeight="1">
      <c r="A37" s="449"/>
      <c r="B37" s="837" t="s">
        <v>272</v>
      </c>
      <c r="C37" s="838"/>
      <c r="D37" s="543">
        <f>IF(OR(H37="",H37=0,'Part IV-Uses of Funds'!$G$109="",'Part IV-Uses of Funds'!$G$109=0),"",H37/'Part IV-Uses of Funds'!$G$109)</f>
        <v>7.0000000000000062E-2</v>
      </c>
      <c r="E37" s="1292" t="s">
        <v>3977</v>
      </c>
      <c r="F37" s="1451"/>
      <c r="G37" s="1442"/>
      <c r="H37" s="1450">
        <v>90779.010000000082</v>
      </c>
      <c r="I37" s="1442"/>
      <c r="J37" s="1443">
        <v>2.6100000000000002E-2</v>
      </c>
      <c r="K37" s="1306">
        <v>15</v>
      </c>
      <c r="L37" s="1306">
        <v>15</v>
      </c>
      <c r="M37" s="1444">
        <f t="shared" si="0"/>
        <v>7320.198588014533</v>
      </c>
      <c r="N37" s="1445"/>
      <c r="O37" s="1286" t="s">
        <v>4099</v>
      </c>
      <c r="P37" s="1287"/>
      <c r="Q37" s="1446"/>
      <c r="S37" s="1420"/>
      <c r="T37" s="1421"/>
    </row>
    <row r="38" spans="1:20" s="397" customFormat="1" ht="13.35" customHeight="1">
      <c r="A38" s="449"/>
      <c r="B38" s="959" t="s">
        <v>3118</v>
      </c>
      <c r="C38" s="960"/>
      <c r="D38" s="983"/>
      <c r="E38" s="1455"/>
      <c r="F38" s="1451"/>
      <c r="G38" s="1442"/>
      <c r="H38" s="1456"/>
      <c r="I38" s="1457"/>
      <c r="K38" s="544"/>
      <c r="L38" s="544"/>
      <c r="M38" s="544"/>
      <c r="N38" s="544"/>
      <c r="O38" s="544"/>
      <c r="P38" s="544"/>
      <c r="Q38" s="544"/>
      <c r="S38" s="1418"/>
      <c r="T38" s="1419"/>
    </row>
    <row r="39" spans="1:20" s="397" customFormat="1" ht="13.35" customHeight="1">
      <c r="A39" s="449"/>
      <c r="B39" s="957" t="s">
        <v>1287</v>
      </c>
      <c r="C39" s="958"/>
      <c r="D39" s="961"/>
      <c r="E39" s="1292"/>
      <c r="F39" s="1451"/>
      <c r="G39" s="1442"/>
      <c r="H39" s="1456"/>
      <c r="I39" s="1457"/>
      <c r="J39" s="979" t="s">
        <v>752</v>
      </c>
      <c r="K39" s="980"/>
      <c r="L39" s="978" t="s">
        <v>753</v>
      </c>
      <c r="M39" s="978"/>
      <c r="O39" s="625" t="s">
        <v>751</v>
      </c>
      <c r="P39" s="545"/>
      <c r="Q39" s="544"/>
      <c r="S39" s="1420"/>
      <c r="T39" s="1421"/>
    </row>
    <row r="40" spans="1:20" s="397" customFormat="1" ht="13.35" customHeight="1">
      <c r="A40" s="449"/>
      <c r="B40" s="957" t="s">
        <v>1288</v>
      </c>
      <c r="C40" s="958"/>
      <c r="D40" s="961"/>
      <c r="E40" s="1292" t="s">
        <v>4030</v>
      </c>
      <c r="F40" s="1293"/>
      <c r="G40" s="1294"/>
      <c r="H40" s="1458">
        <v>6454784.7832287522</v>
      </c>
      <c r="I40" s="1459"/>
      <c r="J40" s="981">
        <f>'Part IV-Uses of Funds'!$J$165*10*'Part IV-Uses of Funds'!$N$158</f>
        <v>6526577.1316772019</v>
      </c>
      <c r="K40" s="982"/>
      <c r="L40" s="977">
        <f>H40-J40</f>
        <v>-71792.348448449746</v>
      </c>
      <c r="M40" s="977"/>
      <c r="O40" s="626" t="s">
        <v>3589</v>
      </c>
      <c r="P40" s="545"/>
      <c r="Q40" s="544"/>
      <c r="S40" s="1420"/>
      <c r="T40" s="1421"/>
    </row>
    <row r="41" spans="1:20" s="397" customFormat="1" ht="13.35" customHeight="1">
      <c r="A41" s="449"/>
      <c r="B41" s="957" t="s">
        <v>1289</v>
      </c>
      <c r="C41" s="958"/>
      <c r="D41" s="961"/>
      <c r="E41" s="1292" t="s">
        <v>4090</v>
      </c>
      <c r="F41" s="1293"/>
      <c r="G41" s="1294"/>
      <c r="H41" s="1458">
        <v>1986349.5618148006</v>
      </c>
      <c r="I41" s="1459"/>
      <c r="J41" s="981">
        <f>'Part IV-Uses of Funds'!$J$165*10*'Part IV-Uses of Funds'!$Q$158</f>
        <v>1986349.5618148006</v>
      </c>
      <c r="K41" s="982"/>
      <c r="L41" s="977">
        <f>H41-J41</f>
        <v>0</v>
      </c>
      <c r="M41" s="977"/>
      <c r="O41" s="627">
        <f>H40/H50</f>
        <v>0.63629713443155733</v>
      </c>
      <c r="P41" s="545"/>
      <c r="Q41" s="544"/>
      <c r="S41" s="1420"/>
      <c r="T41" s="1421"/>
    </row>
    <row r="42" spans="1:20" s="397" customFormat="1" ht="13.35" customHeight="1">
      <c r="A42" s="449"/>
      <c r="B42" s="957" t="s">
        <v>1984</v>
      </c>
      <c r="C42" s="958"/>
      <c r="D42" s="961"/>
      <c r="E42" s="1292"/>
      <c r="F42" s="1293"/>
      <c r="G42" s="1294"/>
      <c r="H42" s="1450"/>
      <c r="I42" s="1460"/>
      <c r="M42" s="545"/>
      <c r="O42" s="627">
        <f>H41/H50</f>
        <v>0.19580955471143016</v>
      </c>
      <c r="P42" s="545"/>
      <c r="Q42" s="544"/>
      <c r="S42" s="1422"/>
      <c r="T42" s="1423"/>
    </row>
    <row r="43" spans="1:20" s="397" customFormat="1" ht="13.35" customHeight="1">
      <c r="A43" s="449"/>
      <c r="B43" s="832" t="s">
        <v>767</v>
      </c>
      <c r="C43" s="833"/>
      <c r="D43" s="839"/>
      <c r="E43" s="1321"/>
      <c r="F43" s="1293"/>
      <c r="G43" s="1294"/>
      <c r="H43" s="1450"/>
      <c r="I43" s="1460"/>
      <c r="K43" s="449"/>
      <c r="L43" s="449"/>
      <c r="M43" s="545"/>
      <c r="O43" s="628">
        <f>SUM(O41:O42)</f>
        <v>0.83210668914298747</v>
      </c>
      <c r="P43" s="545"/>
      <c r="Q43" s="544"/>
      <c r="S43" s="1461"/>
      <c r="T43" s="1421"/>
    </row>
    <row r="44" spans="1:20" s="397" customFormat="1" ht="13.35" customHeight="1">
      <c r="A44" s="449"/>
      <c r="B44" s="832" t="s">
        <v>2742</v>
      </c>
      <c r="C44" s="833"/>
      <c r="D44" s="839"/>
      <c r="E44" s="1292"/>
      <c r="F44" s="1293"/>
      <c r="G44" s="1294"/>
      <c r="H44" s="1450"/>
      <c r="I44" s="1460"/>
      <c r="J44" s="449"/>
      <c r="M44" s="545"/>
      <c r="N44" s="545"/>
      <c r="O44" s="545"/>
      <c r="P44" s="545"/>
      <c r="Q44" s="544"/>
      <c r="S44" s="1420"/>
      <c r="T44" s="1421"/>
    </row>
    <row r="45" spans="1:20" s="397" customFormat="1" ht="13.35" customHeight="1">
      <c r="A45" s="449"/>
      <c r="B45" s="832" t="s">
        <v>2743</v>
      </c>
      <c r="C45" s="833"/>
      <c r="D45" s="839"/>
      <c r="E45" s="1292"/>
      <c r="F45" s="1293"/>
      <c r="G45" s="1294"/>
      <c r="H45" s="1450"/>
      <c r="I45" s="1460"/>
      <c r="J45" s="449"/>
      <c r="M45" s="545"/>
      <c r="N45" s="545"/>
      <c r="O45" s="545"/>
      <c r="P45" s="545"/>
      <c r="Q45" s="544"/>
      <c r="S45" s="1420"/>
      <c r="T45" s="1421"/>
    </row>
    <row r="46" spans="1:20" s="397" customFormat="1" ht="13.35" customHeight="1">
      <c r="A46" s="449"/>
      <c r="B46" s="832" t="s">
        <v>1137</v>
      </c>
      <c r="C46" s="1462" t="s">
        <v>3978</v>
      </c>
      <c r="D46" s="1463"/>
      <c r="E46" s="1292" t="s">
        <v>3979</v>
      </c>
      <c r="F46" s="1293"/>
      <c r="G46" s="1294"/>
      <c r="H46" s="1450">
        <v>354650</v>
      </c>
      <c r="I46" s="1460"/>
      <c r="J46" s="449"/>
      <c r="M46" s="545"/>
      <c r="N46" s="545"/>
      <c r="O46" s="545"/>
      <c r="P46" s="545"/>
      <c r="Q46" s="544"/>
      <c r="S46" s="1420"/>
      <c r="T46" s="1421"/>
    </row>
    <row r="47" spans="1:20" s="397" customFormat="1" ht="13.35" customHeight="1">
      <c r="A47" s="449"/>
      <c r="B47" s="832" t="s">
        <v>1137</v>
      </c>
      <c r="C47" s="1462" t="s">
        <v>4081</v>
      </c>
      <c r="D47" s="1463"/>
      <c r="E47" s="1292" t="s">
        <v>4107</v>
      </c>
      <c r="F47" s="1293"/>
      <c r="G47" s="1294"/>
      <c r="H47" s="1450">
        <v>174007</v>
      </c>
      <c r="I47" s="1460"/>
      <c r="J47" s="449"/>
      <c r="K47" s="449"/>
      <c r="L47" s="546"/>
      <c r="M47" s="545"/>
      <c r="N47" s="545"/>
      <c r="O47" s="545"/>
      <c r="P47" s="545"/>
      <c r="Q47" s="544"/>
      <c r="S47" s="1420"/>
      <c r="T47" s="1421"/>
    </row>
    <row r="48" spans="1:20" s="397" customFormat="1" ht="13.35" customHeight="1">
      <c r="A48" s="449"/>
      <c r="B48" s="837" t="s">
        <v>1137</v>
      </c>
      <c r="C48" s="1462"/>
      <c r="D48" s="1463"/>
      <c r="E48" s="1292"/>
      <c r="F48" s="1293"/>
      <c r="G48" s="1294"/>
      <c r="H48" s="1450">
        <f>('Part IV-Uses of Funds'!G112+'Part IV-Uses of Funds'!G113+'Part IV-Uses of Funds'!G116+'Part IV-Uses of Funds'!G114)*0</f>
        <v>0</v>
      </c>
      <c r="I48" s="1460"/>
      <c r="J48" s="449"/>
      <c r="K48" s="449"/>
      <c r="L48" s="546"/>
      <c r="M48" s="545"/>
      <c r="N48" s="545"/>
      <c r="O48" s="545"/>
      <c r="P48" s="545"/>
      <c r="Q48" s="544"/>
      <c r="S48" s="1420"/>
      <c r="T48" s="1421"/>
    </row>
    <row r="49" spans="1:23" s="397" customFormat="1" ht="13.35" customHeight="1">
      <c r="A49" s="449"/>
      <c r="B49" s="827" t="s">
        <v>3119</v>
      </c>
      <c r="C49" s="449"/>
      <c r="D49" s="449"/>
      <c r="E49" s="449"/>
      <c r="F49" s="449"/>
      <c r="G49" s="449"/>
      <c r="H49" s="954">
        <f>SUM(H32:I48)</f>
        <v>10144293.340241428</v>
      </c>
      <c r="I49" s="955"/>
      <c r="J49" s="472"/>
      <c r="K49" s="449"/>
      <c r="L49" s="546"/>
      <c r="M49" s="545"/>
      <c r="N49" s="545"/>
      <c r="O49" s="545"/>
      <c r="P49" s="545"/>
      <c r="Q49" s="544"/>
      <c r="S49" s="1420"/>
      <c r="T49" s="1421"/>
    </row>
    <row r="50" spans="1:23" s="397" customFormat="1" ht="13.35" customHeight="1" thickBot="1">
      <c r="A50" s="449"/>
      <c r="B50" s="827" t="s">
        <v>3120</v>
      </c>
      <c r="C50" s="449"/>
      <c r="D50" s="449"/>
      <c r="E50" s="449"/>
      <c r="F50" s="449"/>
      <c r="G50" s="449"/>
      <c r="H50" s="952">
        <f>'Part IV-Uses of Funds'!$G$123</f>
        <v>10144293.340241428</v>
      </c>
      <c r="I50" s="953"/>
      <c r="J50" s="472"/>
      <c r="K50" s="449"/>
      <c r="L50" s="546"/>
      <c r="M50" s="545"/>
      <c r="N50" s="545"/>
      <c r="O50" s="545"/>
      <c r="P50" s="545"/>
      <c r="Q50" s="544"/>
      <c r="S50" s="1420"/>
      <c r="T50" s="1421"/>
    </row>
    <row r="51" spans="1:23" s="397" customFormat="1" ht="13.35" customHeight="1" thickBot="1">
      <c r="A51" s="449"/>
      <c r="B51" s="455" t="s">
        <v>2126</v>
      </c>
      <c r="C51" s="449"/>
      <c r="D51" s="449"/>
      <c r="E51" s="449"/>
      <c r="F51" s="449"/>
      <c r="G51" s="449"/>
      <c r="H51" s="963">
        <f>H49-H50</f>
        <v>0</v>
      </c>
      <c r="I51" s="964"/>
      <c r="J51" s="472"/>
      <c r="K51" s="449"/>
      <c r="L51" s="546"/>
      <c r="M51" s="545"/>
      <c r="N51" s="545"/>
      <c r="O51" s="545"/>
      <c r="P51" s="545"/>
      <c r="Q51" s="544"/>
      <c r="S51" s="1422"/>
      <c r="T51" s="142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93" customHeight="1">
      <c r="A55" s="1366" t="s">
        <v>4114</v>
      </c>
      <c r="B55" s="1464"/>
      <c r="C55" s="1464"/>
      <c r="D55" s="1464"/>
      <c r="E55" s="1464"/>
      <c r="F55" s="1464"/>
      <c r="G55" s="1464"/>
      <c r="H55" s="1464"/>
      <c r="I55" s="1464"/>
      <c r="J55" s="1465"/>
      <c r="K55" s="1369"/>
      <c r="L55" s="1464"/>
      <c r="M55" s="1464"/>
      <c r="N55" s="1464"/>
      <c r="O55" s="1464"/>
      <c r="P55" s="1464"/>
      <c r="Q55" s="1465"/>
      <c r="S55" s="987" t="s">
        <v>3964</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2">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M37:N37"/>
    <mergeCell ref="M35:N35"/>
    <mergeCell ref="M34:N34"/>
    <mergeCell ref="H22:K22"/>
    <mergeCell ref="D22:G22"/>
    <mergeCell ref="O37:P37"/>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B38:D38"/>
    <mergeCell ref="M36:N36"/>
    <mergeCell ref="H36:I36"/>
    <mergeCell ref="C35:D35"/>
    <mergeCell ref="S31:T31"/>
    <mergeCell ref="S21:T27"/>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N26:Q27"/>
    <mergeCell ref="M32:N32"/>
    <mergeCell ref="L15:M15"/>
    <mergeCell ref="P18:Q18"/>
    <mergeCell ref="N18:O18"/>
    <mergeCell ref="L26:M26"/>
    <mergeCell ref="L25:M25"/>
    <mergeCell ref="L24:M24"/>
    <mergeCell ref="L27:M27"/>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s>
  <phoneticPr fontId="5" type="noConversion"/>
  <conditionalFormatting sqref="B32:D34">
    <cfRule type="cellIs" dxfId="9"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workbookViewId="0">
      <selection sqref="A1:F1"/>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350000000000001" customHeight="1">
      <c r="A1" s="993" t="str">
        <f>CONCATENATE("PART III B: USD 538 LOAN","  -  ",'Part I-Project Information'!$O$4," ",'Part I-Project Information'!$F$22,", ",'Part I-Project Information'!$F$24,", ",'Part I-Project Information'!$J$25," County")</f>
        <v>PART III B: USD 538 LOAN  -  2012-059 Allen Wilson - Phase III, Decatur, DeKalb County</v>
      </c>
      <c r="B1" s="994"/>
      <c r="C1" s="994"/>
      <c r="D1" s="994"/>
      <c r="E1" s="994"/>
      <c r="F1" s="995"/>
      <c r="G1" s="229"/>
      <c r="H1" s="229"/>
      <c r="I1" s="229"/>
      <c r="J1" s="229"/>
      <c r="K1" s="229"/>
      <c r="L1" s="229"/>
      <c r="M1" s="229"/>
      <c r="N1" s="229"/>
      <c r="O1" s="229"/>
      <c r="P1" s="229"/>
      <c r="Q1" s="229"/>
    </row>
    <row r="2" spans="1:17" ht="11.1"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3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1.1"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35" customHeight="1">
      <c r="A16" s="285" t="s">
        <v>3484</v>
      </c>
      <c r="B16" s="286" t="s">
        <v>3481</v>
      </c>
      <c r="C16" s="286" t="s">
        <v>3482</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35" customHeight="1">
      <c r="A58" s="1000" t="str">
        <f>CONCATENATE('Part I-Project Information'!$O$4," ",'Part I-Project Information'!$F$22,", ",'Part I-Project Information'!$F$24,", ",'Part I-Project Information'!$J$25," County")</f>
        <v>2012-059 Allen Wilson - Phase III, Decatur, DeKalb County</v>
      </c>
      <c r="B58" s="1000"/>
      <c r="C58" s="1000"/>
      <c r="D58" s="1000"/>
      <c r="E58" s="1000"/>
      <c r="F58" s="1000"/>
      <c r="G58" s="1000" t="str">
        <f>CONCATENATE('Part I-Project Information'!$O$4," ",'Part I-Project Information'!$F$22,", ",'Part I-Project Information'!$F$24,", ",'Part I-Project Information'!$J$25," County")</f>
        <v>2012-059 Allen Wilson - Phase III, Decatur, DeKalb County</v>
      </c>
      <c r="H58" s="1000"/>
      <c r="I58" s="1000"/>
      <c r="J58" s="1000"/>
      <c r="K58" s="1000"/>
      <c r="L58" s="1000"/>
    </row>
    <row r="59" spans="1:12" ht="15">
      <c r="A59" s="1001" t="s">
        <v>3475</v>
      </c>
      <c r="B59" s="1001"/>
      <c r="C59" s="1001"/>
      <c r="D59" s="1001"/>
      <c r="E59" s="1001"/>
      <c r="F59" s="1001"/>
      <c r="G59" s="1001" t="s">
        <v>3475</v>
      </c>
      <c r="H59" s="1001"/>
      <c r="I59" s="1001"/>
      <c r="J59" s="1001"/>
      <c r="K59" s="1001"/>
      <c r="L59" s="1001"/>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8.xml><?xml version="1.0" encoding="utf-8"?>
<worksheet xmlns="http://schemas.openxmlformats.org/spreadsheetml/2006/main" xmlns:r="http://schemas.openxmlformats.org/officeDocument/2006/relationships">
  <sheetPr codeName="Sheet7" enableFormatConditionsCalculation="0"/>
  <dimension ref="A1:Q654"/>
  <sheetViews>
    <sheetView workbookViewId="0">
      <selection sqref="A1:F1"/>
    </sheetView>
  </sheetViews>
  <sheetFormatPr defaultColWidth="8.85546875" defaultRowHeight="12.75"/>
  <cols>
    <col min="1" max="1" width="7.140625" style="31" customWidth="1"/>
    <col min="2" max="6" width="16.7109375" style="31" customWidth="1"/>
    <col min="7" max="7" width="11.42578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350000000000001" customHeight="1">
      <c r="A1" s="993" t="str">
        <f>CONCATENATE("PART III C  - HUD INSURED LOAN","  -  ",'Part I-Project Information'!$O$4," ",'Part I-Project Information'!$F$22,", ",'Part I-Project Information'!$F$24,", ",'Part I-Project Information'!$J$25," County")</f>
        <v>PART III C  - HUD INSURED LOAN  -  2012-059 Allen Wilson - Phase III, Decatur, DeKalb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35" customHeight="1">
      <c r="A5" s="31" t="s">
        <v>3168</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3024</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4.1" customHeight="1">
      <c r="A50" s="1000" t="str">
        <f>CONCATENATE('Part I-Project Information'!$O$4," ",'Part I-Project Information'!$F$22,", ",'Part I-Project Information'!$F$24,", ",'Part I-Project Information'!$J$25," County")</f>
        <v>2012-059 Allen Wilson - Phase III, Decatur, DeKalb County</v>
      </c>
      <c r="B50" s="1000"/>
      <c r="C50" s="1000"/>
      <c r="D50" s="1000"/>
      <c r="E50" s="1000"/>
      <c r="F50" s="1000"/>
      <c r="G50" s="297"/>
      <c r="H50" s="297"/>
    </row>
    <row r="51" spans="1:10" ht="15">
      <c r="A51" s="1001" t="s">
        <v>3475</v>
      </c>
      <c r="B51" s="1001"/>
      <c r="C51" s="1001"/>
      <c r="D51" s="1001"/>
      <c r="E51" s="1001"/>
      <c r="F51" s="1001"/>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9.xml><?xml version="1.0" encoding="utf-8"?>
<worksheet xmlns="http://schemas.openxmlformats.org/spreadsheetml/2006/main" xmlns:r="http://schemas.openxmlformats.org/officeDocument/2006/relationships">
  <sheetPr codeName="Sheet8" enableFormatConditionsCalculation="0">
    <pageSetUpPr fitToPage="1"/>
  </sheetPr>
  <dimension ref="A1:W212"/>
  <sheetViews>
    <sheetView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42578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2012-059 Allen Wilson - Phase III, Decatur, DeKalb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2012-059 Allen Wilson - Phase III, Decatur, DeKalb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2.1"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3864</v>
      </c>
      <c r="W6" s="1009"/>
    </row>
    <row r="7" spans="1:23" s="449" customFormat="1" ht="13.35" customHeight="1">
      <c r="B7" s="452" t="s">
        <v>111</v>
      </c>
      <c r="O7" s="844" t="str">
        <f>B7</f>
        <v>PRE-DEVELOPMENT COSTS</v>
      </c>
      <c r="V7" s="449" t="str">
        <f>B7</f>
        <v>PRE-DEVELOPMENT COSTS</v>
      </c>
    </row>
    <row r="8" spans="1:23" s="449" customFormat="1" ht="12.6" customHeight="1">
      <c r="B8" s="449" t="s">
        <v>2881</v>
      </c>
      <c r="G8" s="1466">
        <v>5200</v>
      </c>
      <c r="H8" s="1467"/>
      <c r="J8" s="1466">
        <v>5200</v>
      </c>
      <c r="K8" s="1467"/>
      <c r="L8" s="843"/>
      <c r="M8" s="1424"/>
      <c r="N8" s="1425"/>
      <c r="P8" s="1424"/>
      <c r="Q8" s="1425"/>
      <c r="S8" s="1424"/>
      <c r="T8" s="1425"/>
      <c r="V8" s="1468"/>
      <c r="W8" s="1469"/>
    </row>
    <row r="9" spans="1:23" s="449" customFormat="1" ht="12.6" customHeight="1">
      <c r="B9" s="449" t="s">
        <v>631</v>
      </c>
      <c r="G9" s="1466">
        <v>4000</v>
      </c>
      <c r="H9" s="1467"/>
      <c r="J9" s="1466">
        <v>4000</v>
      </c>
      <c r="K9" s="1467"/>
      <c r="L9" s="843"/>
      <c r="M9" s="1424"/>
      <c r="N9" s="1425"/>
      <c r="P9" s="1424"/>
      <c r="Q9" s="1425"/>
      <c r="S9" s="1424"/>
      <c r="T9" s="1425"/>
      <c r="V9" s="1470"/>
      <c r="W9" s="1471"/>
    </row>
    <row r="10" spans="1:23" s="449" customFormat="1" ht="12.6" customHeight="1">
      <c r="B10" s="449" t="s">
        <v>674</v>
      </c>
      <c r="G10" s="1466">
        <v>4825</v>
      </c>
      <c r="H10" s="1467"/>
      <c r="J10" s="1466">
        <v>4825</v>
      </c>
      <c r="K10" s="1467"/>
      <c r="L10" s="843"/>
      <c r="M10" s="1424"/>
      <c r="N10" s="1425"/>
      <c r="P10" s="1424"/>
      <c r="Q10" s="1425"/>
      <c r="S10" s="1424"/>
      <c r="T10" s="1425"/>
      <c r="V10" s="1470"/>
      <c r="W10" s="1471"/>
    </row>
    <row r="11" spans="1:23" s="449" customFormat="1" ht="12.6" customHeight="1">
      <c r="B11" s="449" t="s">
        <v>675</v>
      </c>
      <c r="G11" s="1466">
        <v>5300</v>
      </c>
      <c r="H11" s="1467"/>
      <c r="J11" s="1466">
        <v>5300</v>
      </c>
      <c r="K11" s="1467"/>
      <c r="L11" s="843"/>
      <c r="M11" s="1424"/>
      <c r="N11" s="1425"/>
      <c r="P11" s="1424"/>
      <c r="Q11" s="1425"/>
      <c r="S11" s="1424"/>
      <c r="T11" s="1425"/>
      <c r="V11" s="1470"/>
      <c r="W11" s="1471"/>
    </row>
    <row r="12" spans="1:23" s="449" customFormat="1" ht="12.6" customHeight="1">
      <c r="B12" s="449" t="s">
        <v>3506</v>
      </c>
      <c r="G12" s="1466">
        <v>5000</v>
      </c>
      <c r="H12" s="1467"/>
      <c r="J12" s="1466">
        <v>5000</v>
      </c>
      <c r="K12" s="1467"/>
      <c r="L12" s="843"/>
      <c r="M12" s="1424"/>
      <c r="N12" s="1425"/>
      <c r="P12" s="1424"/>
      <c r="Q12" s="1425"/>
      <c r="S12" s="1424"/>
      <c r="T12" s="1425"/>
      <c r="V12" s="1470"/>
      <c r="W12" s="1471"/>
    </row>
    <row r="13" spans="1:23" s="449" customFormat="1" ht="12.6" customHeight="1">
      <c r="B13" s="449" t="s">
        <v>229</v>
      </c>
      <c r="G13" s="1424">
        <v>2500</v>
      </c>
      <c r="H13" s="1425"/>
      <c r="J13" s="1424">
        <v>2500</v>
      </c>
      <c r="K13" s="1425"/>
      <c r="L13" s="843"/>
      <c r="M13" s="1424"/>
      <c r="N13" s="1425"/>
      <c r="P13" s="1424"/>
      <c r="Q13" s="1425"/>
      <c r="S13" s="1424"/>
      <c r="T13" s="1425"/>
      <c r="V13" s="1470"/>
      <c r="W13" s="1471"/>
    </row>
    <row r="14" spans="1:23" s="449" customFormat="1" ht="12.6" customHeight="1">
      <c r="A14" s="548" t="str">
        <f>IF(AND(G14&gt;0,OR(C14="",C14="&lt;Enter detailed description here; use Comments section if needed&gt;")),"X","")</f>
        <v/>
      </c>
      <c r="B14" s="449" t="s">
        <v>1137</v>
      </c>
      <c r="C14" s="1298"/>
      <c r="D14" s="1298"/>
      <c r="E14" s="1298"/>
      <c r="F14" s="1299"/>
      <c r="G14" s="1424"/>
      <c r="H14" s="1425"/>
      <c r="J14" s="1424"/>
      <c r="K14" s="1425"/>
      <c r="L14" s="843"/>
      <c r="M14" s="1424"/>
      <c r="N14" s="1425"/>
      <c r="P14" s="1424"/>
      <c r="Q14" s="1425"/>
      <c r="S14" s="1424"/>
      <c r="T14" s="1425"/>
      <c r="U14" s="547" t="str">
        <f>IF(AND(G14&gt;0,OR(C14="",C14="&lt;Enter detailed description here; use Comments section if needed&gt;")),"NO DESCRIPTION PROVIDED - please enter detailed description in Other box at left; use Comments section below if needed.","")</f>
        <v/>
      </c>
      <c r="V14" s="1470"/>
      <c r="W14" s="1471"/>
    </row>
    <row r="15" spans="1:23" s="449" customFormat="1" ht="12.6" customHeight="1">
      <c r="A15" s="548" t="str">
        <f>IF(AND(G15&gt;0,OR(C15="",C15="&lt;Enter detailed description here; use Comments section if needed&gt;")),"X","")</f>
        <v/>
      </c>
      <c r="B15" s="449" t="s">
        <v>1137</v>
      </c>
      <c r="C15" s="1298"/>
      <c r="D15" s="1298"/>
      <c r="E15" s="1298"/>
      <c r="F15" s="1299"/>
      <c r="G15" s="1424"/>
      <c r="H15" s="1425"/>
      <c r="J15" s="1424"/>
      <c r="K15" s="1425"/>
      <c r="L15" s="843"/>
      <c r="M15" s="1424"/>
      <c r="N15" s="1425"/>
      <c r="P15" s="1424"/>
      <c r="Q15" s="1425"/>
      <c r="S15" s="1424"/>
      <c r="T15" s="1425"/>
      <c r="U15" s="547" t="str">
        <f>IF(AND(G15&gt;0,OR(C15="",C15="&lt;Enter detailed description here; use Comments section if needed&gt;")),"NO DESCRIPTION PROVIDED - please enter detailed description in Other box at left; use Comments section below if needed.","")</f>
        <v/>
      </c>
      <c r="V15" s="1470"/>
      <c r="W15" s="1471"/>
    </row>
    <row r="16" spans="1:23" s="449" customFormat="1" ht="12.6" customHeight="1" thickBot="1">
      <c r="A16" s="548" t="str">
        <f>IF(AND(G16&gt;0,OR(C16="",C16="&lt;Enter detailed description here; use Comments section if needed&gt;")),"X","")</f>
        <v/>
      </c>
      <c r="B16" s="449" t="s">
        <v>1137</v>
      </c>
      <c r="C16" s="1298"/>
      <c r="D16" s="1298"/>
      <c r="E16" s="1298"/>
      <c r="F16" s="1299"/>
      <c r="G16" s="1424"/>
      <c r="H16" s="1425"/>
      <c r="J16" s="1472"/>
      <c r="K16" s="1473"/>
      <c r="L16" s="843"/>
      <c r="M16" s="1424"/>
      <c r="N16" s="1425"/>
      <c r="P16" s="1424"/>
      <c r="Q16" s="1425"/>
      <c r="S16" s="1472"/>
      <c r="T16" s="1473"/>
      <c r="U16" s="547" t="str">
        <f>IF(AND(G16&gt;0,OR(C16="",C16="&lt;Enter detailed description here; use Comments section if needed&gt;")),"NO DESCRIPTION PROVIDED - please enter detailed description in Other box at left; use Comments section below if needed.","")</f>
        <v/>
      </c>
      <c r="V16" s="1470"/>
      <c r="W16" s="1471"/>
    </row>
    <row r="17" spans="2:23" s="449" customFormat="1" ht="12.6" customHeight="1" thickTop="1">
      <c r="F17" s="513" t="s">
        <v>230</v>
      </c>
      <c r="G17" s="1018">
        <f>SUM(G8:H16)</f>
        <v>26825</v>
      </c>
      <c r="H17" s="1019"/>
      <c r="J17" s="1018">
        <f>SUM(J8:K16)</f>
        <v>26825</v>
      </c>
      <c r="K17" s="1066"/>
      <c r="L17" s="843"/>
      <c r="M17" s="1018">
        <f>SUM(M8:N16)</f>
        <v>0</v>
      </c>
      <c r="N17" s="1019"/>
      <c r="P17" s="1018">
        <f>SUM(P8:Q16)</f>
        <v>0</v>
      </c>
      <c r="Q17" s="1019"/>
      <c r="S17" s="1018">
        <f>SUM(S8:T16)</f>
        <v>0</v>
      </c>
      <c r="T17" s="1019"/>
      <c r="V17" s="1474"/>
      <c r="W17" s="1475"/>
    </row>
    <row r="18" spans="2:23" s="449" customFormat="1" ht="13.3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24"/>
      <c r="H19" s="1425"/>
      <c r="J19" s="515"/>
      <c r="K19" s="512"/>
      <c r="L19" s="515"/>
      <c r="M19" s="515"/>
      <c r="N19" s="512"/>
      <c r="P19" s="515"/>
      <c r="Q19" s="512"/>
      <c r="S19" s="1424"/>
      <c r="T19" s="1425"/>
      <c r="V19" s="1468"/>
      <c r="W19" s="1469"/>
    </row>
    <row r="20" spans="2:23" s="449" customFormat="1" ht="12.6" customHeight="1">
      <c r="B20" s="449" t="s">
        <v>1632</v>
      </c>
      <c r="G20" s="1424">
        <f>200000</f>
        <v>200000</v>
      </c>
      <c r="H20" s="1425"/>
      <c r="J20" s="515"/>
      <c r="K20" s="512"/>
      <c r="L20" s="515"/>
      <c r="M20" s="515"/>
      <c r="N20" s="512"/>
      <c r="P20" s="515"/>
      <c r="Q20" s="512"/>
      <c r="S20" s="1424">
        <v>200000</v>
      </c>
      <c r="T20" s="1425"/>
      <c r="V20" s="1470"/>
      <c r="W20" s="1471"/>
    </row>
    <row r="21" spans="2:23" s="449" customFormat="1" ht="12.6" customHeight="1">
      <c r="B21" s="449" t="s">
        <v>632</v>
      </c>
      <c r="G21" s="1424"/>
      <c r="H21" s="1425"/>
      <c r="J21" s="515"/>
      <c r="K21" s="512"/>
      <c r="L21" s="515"/>
      <c r="M21" s="1424"/>
      <c r="N21" s="1425"/>
      <c r="P21" s="515"/>
      <c r="Q21" s="512"/>
      <c r="S21" s="1424"/>
      <c r="T21" s="1425"/>
      <c r="V21" s="1470"/>
      <c r="W21" s="1471"/>
    </row>
    <row r="22" spans="2:23" s="449" customFormat="1" ht="12.6" customHeight="1" thickBot="1">
      <c r="B22" s="449" t="s">
        <v>598</v>
      </c>
      <c r="G22" s="1476"/>
      <c r="H22" s="1477"/>
      <c r="J22" s="515"/>
      <c r="K22" s="512"/>
      <c r="L22" s="515"/>
      <c r="M22" s="1476"/>
      <c r="N22" s="1477"/>
      <c r="P22" s="515"/>
      <c r="Q22" s="512"/>
      <c r="S22" s="1424"/>
      <c r="T22" s="1425"/>
      <c r="V22" s="1470"/>
      <c r="W22" s="1471"/>
    </row>
    <row r="23" spans="2:23" s="449" customFormat="1" ht="12.6" customHeight="1" thickTop="1">
      <c r="F23" s="513" t="s">
        <v>230</v>
      </c>
      <c r="G23" s="1018">
        <f>SUM(G19:H22)</f>
        <v>200000</v>
      </c>
      <c r="H23" s="1019"/>
      <c r="J23" s="515"/>
      <c r="K23" s="512"/>
      <c r="L23" s="515"/>
      <c r="M23" s="1018">
        <f>SUM(M21:N22)</f>
        <v>0</v>
      </c>
      <c r="N23" s="1019"/>
      <c r="P23" s="515"/>
      <c r="Q23" s="512"/>
      <c r="S23" s="1018">
        <f>SUM(S19:T22)</f>
        <v>200000</v>
      </c>
      <c r="T23" s="1019"/>
      <c r="V23" s="1474"/>
      <c r="W23" s="1475"/>
    </row>
    <row r="24" spans="2:23" s="449" customFormat="1" ht="13.3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4">
        <v>1200000</v>
      </c>
      <c r="H25" s="1425"/>
      <c r="J25" s="1472">
        <v>1200000</v>
      </c>
      <c r="K25" s="1473"/>
      <c r="L25" s="843"/>
      <c r="M25" s="1472"/>
      <c r="N25" s="1473"/>
      <c r="P25" s="1472"/>
      <c r="Q25" s="1473"/>
      <c r="S25" s="1424"/>
      <c r="T25" s="1425"/>
      <c r="V25" s="1468"/>
      <c r="W25" s="1469"/>
    </row>
    <row r="26" spans="2:23" s="449" customFormat="1" ht="12.6" customHeight="1" thickBot="1">
      <c r="B26" s="449" t="s">
        <v>1635</v>
      </c>
      <c r="G26" s="1424"/>
      <c r="H26" s="1425"/>
      <c r="J26" s="1472"/>
      <c r="K26" s="1473"/>
      <c r="L26" s="516"/>
      <c r="M26" s="1067"/>
      <c r="N26" s="1067"/>
      <c r="P26" s="1067"/>
      <c r="Q26" s="1067"/>
      <c r="S26" s="1424"/>
      <c r="T26" s="1425"/>
      <c r="V26" s="1470"/>
      <c r="W26" s="1471"/>
    </row>
    <row r="27" spans="2:23" s="449" customFormat="1" ht="12.6" customHeight="1" thickTop="1">
      <c r="F27" s="513" t="s">
        <v>230</v>
      </c>
      <c r="G27" s="1018">
        <f>SUM(G25:H26)</f>
        <v>1200000</v>
      </c>
      <c r="H27" s="1019"/>
      <c r="J27" s="1018">
        <f>SUM(J25:K26)</f>
        <v>1200000</v>
      </c>
      <c r="K27" s="1019"/>
      <c r="L27" s="515"/>
      <c r="M27" s="1018">
        <f>M25</f>
        <v>0</v>
      </c>
      <c r="N27" s="1019"/>
      <c r="P27" s="1018">
        <f>P25</f>
        <v>0</v>
      </c>
      <c r="Q27" s="1019"/>
      <c r="S27" s="1018">
        <f>SUM(S25:T26)</f>
        <v>0</v>
      </c>
      <c r="T27" s="1019"/>
      <c r="V27" s="1474"/>
      <c r="W27" s="1475"/>
    </row>
    <row r="28" spans="2:23" s="449" customFormat="1" ht="13.3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4">
        <v>4409000</v>
      </c>
      <c r="H29" s="1425"/>
      <c r="J29" s="1424">
        <v>4409000</v>
      </c>
      <c r="K29" s="1425"/>
      <c r="L29" s="843"/>
      <c r="M29" s="1424"/>
      <c r="N29" s="1425"/>
      <c r="P29" s="1424"/>
      <c r="Q29" s="1425"/>
      <c r="S29" s="1424"/>
      <c r="T29" s="1425"/>
      <c r="V29" s="1468"/>
      <c r="W29" s="1469"/>
    </row>
    <row r="30" spans="2:23" s="449" customFormat="1" ht="12.6" customHeight="1">
      <c r="B30" s="449" t="s">
        <v>1638</v>
      </c>
      <c r="G30" s="1424"/>
      <c r="H30" s="1425"/>
      <c r="J30" s="1424"/>
      <c r="K30" s="1425"/>
      <c r="L30" s="843"/>
      <c r="M30" s="1424"/>
      <c r="N30" s="1425"/>
      <c r="P30" s="1424"/>
      <c r="Q30" s="1425"/>
      <c r="S30" s="1424"/>
      <c r="T30" s="1425"/>
      <c r="V30" s="1470"/>
      <c r="W30" s="1471"/>
    </row>
    <row r="31" spans="2:23" ht="12.6" customHeight="1" thickBot="1">
      <c r="B31" s="449" t="s">
        <v>1639</v>
      </c>
      <c r="G31" s="1424"/>
      <c r="H31" s="1425"/>
      <c r="I31" s="449"/>
      <c r="J31" s="1424"/>
      <c r="K31" s="1425"/>
      <c r="L31" s="843"/>
      <c r="M31" s="1424"/>
      <c r="N31" s="1425"/>
      <c r="O31" s="449"/>
      <c r="P31" s="1424"/>
      <c r="Q31" s="1425"/>
      <c r="R31" s="449"/>
      <c r="S31" s="1424"/>
      <c r="T31" s="1425"/>
      <c r="V31" s="1470"/>
      <c r="W31" s="1471"/>
    </row>
    <row r="32" spans="2:23" s="449" customFormat="1" ht="12.6" customHeight="1" thickTop="1">
      <c r="C32" s="1072"/>
      <c r="D32" s="1072"/>
      <c r="E32" s="845"/>
      <c r="F32" s="513" t="s">
        <v>230</v>
      </c>
      <c r="G32" s="1018">
        <f>SUM(G29:H31)</f>
        <v>4409000</v>
      </c>
      <c r="H32" s="1019"/>
      <c r="J32" s="1018">
        <f>SUM(J29:K31)</f>
        <v>4409000</v>
      </c>
      <c r="K32" s="1019"/>
      <c r="L32" s="843"/>
      <c r="M32" s="1018">
        <f>SUM(M29:N31)</f>
        <v>0</v>
      </c>
      <c r="N32" s="1019"/>
      <c r="P32" s="1018">
        <f>SUM(P29:Q31)</f>
        <v>0</v>
      </c>
      <c r="Q32" s="1019"/>
      <c r="S32" s="1018">
        <f>SUM(S29:T31)</f>
        <v>0</v>
      </c>
      <c r="T32" s="1019"/>
      <c r="V32" s="1474"/>
      <c r="W32" s="1475"/>
    </row>
    <row r="33" spans="1:23" s="449" customFormat="1" ht="13.3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336540</v>
      </c>
      <c r="G34" s="1424">
        <v>336540</v>
      </c>
      <c r="H34" s="1425"/>
      <c r="I34" s="472"/>
      <c r="J34" s="1424">
        <v>336540</v>
      </c>
      <c r="K34" s="1425"/>
      <c r="L34" s="843"/>
      <c r="M34" s="1424"/>
      <c r="N34" s="1425"/>
      <c r="P34" s="1424"/>
      <c r="Q34" s="1425"/>
      <c r="S34" s="1424"/>
      <c r="T34" s="1425"/>
      <c r="V34" s="1468"/>
      <c r="W34" s="1469"/>
    </row>
    <row r="35" spans="1:23" s="449" customFormat="1" ht="12.6" customHeight="1" thickBot="1">
      <c r="B35" s="449" t="s">
        <v>2924</v>
      </c>
      <c r="E35" s="604">
        <f>'DCA Underwriting Assumptions'!$R$39+'DCA Underwriting Assumptions'!$R$40</f>
        <v>0.08</v>
      </c>
      <c r="F35" s="605">
        <f>E35*($G$27+$G$32)</f>
        <v>448720</v>
      </c>
      <c r="G35" s="1424">
        <v>448720</v>
      </c>
      <c r="H35" s="1425"/>
      <c r="I35" s="472"/>
      <c r="J35" s="1424">
        <v>448720</v>
      </c>
      <c r="K35" s="1425"/>
      <c r="L35" s="843"/>
      <c r="M35" s="1424"/>
      <c r="N35" s="1425"/>
      <c r="P35" s="1424"/>
      <c r="Q35" s="1425"/>
      <c r="S35" s="1424"/>
      <c r="T35" s="1425"/>
      <c r="V35" s="1470"/>
      <c r="W35" s="1471"/>
    </row>
    <row r="36" spans="1:23" s="449" customFormat="1" ht="12.6" customHeight="1" thickTop="1">
      <c r="B36" s="449" t="s">
        <v>2925</v>
      </c>
      <c r="D36" s="520"/>
      <c r="E36" s="833"/>
      <c r="F36" s="606" t="s">
        <v>230</v>
      </c>
      <c r="G36" s="1018">
        <f>SUM(G34:H35)</f>
        <v>785260</v>
      </c>
      <c r="H36" s="1019"/>
      <c r="J36" s="1018">
        <f>SUM(J34:K35)</f>
        <v>785260</v>
      </c>
      <c r="K36" s="1019"/>
      <c r="L36" s="515"/>
      <c r="M36" s="1018">
        <f>SUM(M34:N35)</f>
        <v>0</v>
      </c>
      <c r="N36" s="1019"/>
      <c r="P36" s="1018">
        <f>SUM(P34:Q35)</f>
        <v>0</v>
      </c>
      <c r="Q36" s="1019"/>
      <c r="S36" s="1018">
        <f>SUM(S34:T35)</f>
        <v>0</v>
      </c>
      <c r="T36" s="1019"/>
      <c r="V36" s="1474"/>
      <c r="W36" s="147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90060</v>
      </c>
      <c r="E38" s="523"/>
      <c r="F38" s="524" t="s">
        <v>1974</v>
      </c>
      <c r="V38" s="1468"/>
      <c r="W38" s="1469"/>
    </row>
    <row r="39" spans="1:23" s="449" customFormat="1" ht="12.6" customHeight="1">
      <c r="B39" s="1062">
        <f>G27+G32+G36</f>
        <v>6394260</v>
      </c>
      <c r="C39" s="1063"/>
      <c r="D39" s="525">
        <f>B39/'Part VI-Revenues &amp; Expenses'!$M$100</f>
        <v>84.607018100984433</v>
      </c>
      <c r="E39" s="525"/>
      <c r="F39" s="526" t="s">
        <v>1242</v>
      </c>
      <c r="J39" s="512"/>
      <c r="K39" s="512"/>
      <c r="L39" s="527"/>
      <c r="M39" s="512"/>
      <c r="N39" s="843"/>
      <c r="P39" s="512"/>
      <c r="Q39" s="843"/>
      <c r="S39" s="512"/>
      <c r="T39" s="843"/>
      <c r="V39" s="1474"/>
      <c r="W39" s="147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3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4.9997966926587284E-2</v>
      </c>
      <c r="G42" s="1424">
        <f>ROUNDDOWN((G27+G32+G36)*0.05,-2)</f>
        <v>319700</v>
      </c>
      <c r="H42" s="1425"/>
      <c r="I42" s="449"/>
      <c r="J42" s="1424">
        <f>G42</f>
        <v>319700</v>
      </c>
      <c r="K42" s="1425"/>
      <c r="L42" s="843"/>
      <c r="M42" s="1424"/>
      <c r="N42" s="1425"/>
      <c r="O42" s="449"/>
      <c r="P42" s="1424"/>
      <c r="Q42" s="1425"/>
      <c r="R42" s="449"/>
      <c r="S42" s="1424"/>
      <c r="T42" s="1425"/>
      <c r="V42" s="1478"/>
      <c r="W42" s="147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3864</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66">
        <v>59500</v>
      </c>
      <c r="H48" s="1467"/>
      <c r="J48" s="1424">
        <v>45769</v>
      </c>
      <c r="K48" s="1425"/>
      <c r="L48" s="843"/>
      <c r="M48" s="1424"/>
      <c r="N48" s="1425"/>
      <c r="P48" s="1424"/>
      <c r="Q48" s="1425"/>
      <c r="S48" s="1424">
        <v>13731</v>
      </c>
      <c r="T48" s="1425"/>
      <c r="V48" s="1468"/>
      <c r="W48" s="1469"/>
    </row>
    <row r="49" spans="1:23" s="449" customFormat="1" ht="12" customHeight="1">
      <c r="B49" s="449" t="s">
        <v>3272</v>
      </c>
      <c r="G49" s="1424">
        <v>70374</v>
      </c>
      <c r="H49" s="1425"/>
      <c r="J49" s="1424">
        <v>50753</v>
      </c>
      <c r="K49" s="1425"/>
      <c r="L49" s="843"/>
      <c r="M49" s="1424"/>
      <c r="N49" s="1425"/>
      <c r="P49" s="1424"/>
      <c r="Q49" s="1425"/>
      <c r="S49" s="1424">
        <v>19621</v>
      </c>
      <c r="T49" s="1425"/>
      <c r="V49" s="1470"/>
      <c r="W49" s="1471"/>
    </row>
    <row r="50" spans="1:23" s="449" customFormat="1" ht="12" customHeight="1">
      <c r="B50" s="449" t="s">
        <v>3273</v>
      </c>
      <c r="G50" s="1424">
        <v>45000</v>
      </c>
      <c r="H50" s="1425"/>
      <c r="J50" s="1424">
        <v>19616</v>
      </c>
      <c r="K50" s="1425"/>
      <c r="L50" s="843"/>
      <c r="M50" s="1424"/>
      <c r="N50" s="1425"/>
      <c r="P50" s="1424"/>
      <c r="Q50" s="1425"/>
      <c r="S50" s="1424">
        <v>25384</v>
      </c>
      <c r="T50" s="1425"/>
      <c r="V50" s="1470"/>
      <c r="W50" s="1471"/>
    </row>
    <row r="51" spans="1:23" s="449" customFormat="1" ht="12" customHeight="1">
      <c r="B51" s="449" t="s">
        <v>3933</v>
      </c>
      <c r="G51" s="1424">
        <v>10000</v>
      </c>
      <c r="H51" s="1425"/>
      <c r="J51" s="1424">
        <v>10000</v>
      </c>
      <c r="K51" s="1425"/>
      <c r="L51" s="843"/>
      <c r="M51" s="1424"/>
      <c r="N51" s="1425"/>
      <c r="P51" s="1424"/>
      <c r="Q51" s="1425"/>
      <c r="S51" s="1424"/>
      <c r="T51" s="1425"/>
      <c r="V51" s="1470"/>
      <c r="W51" s="1471"/>
    </row>
    <row r="52" spans="1:23" s="449" customFormat="1" ht="12" customHeight="1">
      <c r="B52" s="449" t="s">
        <v>1004</v>
      </c>
      <c r="G52" s="1424">
        <v>12000</v>
      </c>
      <c r="H52" s="1425"/>
      <c r="J52" s="1424">
        <v>12000</v>
      </c>
      <c r="K52" s="1425"/>
      <c r="L52" s="843"/>
      <c r="M52" s="1424"/>
      <c r="N52" s="1425"/>
      <c r="P52" s="1424"/>
      <c r="Q52" s="1425"/>
      <c r="S52" s="1424"/>
      <c r="T52" s="1425"/>
      <c r="V52" s="1470"/>
      <c r="W52" s="1471"/>
    </row>
    <row r="53" spans="1:23" s="449" customFormat="1" ht="12" customHeight="1">
      <c r="B53" s="449" t="s">
        <v>3274</v>
      </c>
      <c r="G53" s="1424">
        <v>15000</v>
      </c>
      <c r="H53" s="1425"/>
      <c r="J53" s="1424">
        <v>15000</v>
      </c>
      <c r="K53" s="1425"/>
      <c r="L53" s="843"/>
      <c r="M53" s="1424"/>
      <c r="N53" s="1425"/>
      <c r="P53" s="1424"/>
      <c r="Q53" s="1425"/>
      <c r="S53" s="1424"/>
      <c r="T53" s="1425"/>
      <c r="V53" s="1470"/>
      <c r="W53" s="1471"/>
    </row>
    <row r="54" spans="1:23" s="449" customFormat="1" ht="12" customHeight="1">
      <c r="B54" s="449" t="s">
        <v>345</v>
      </c>
      <c r="G54" s="1424"/>
      <c r="H54" s="1425"/>
      <c r="J54" s="1424">
        <v>0</v>
      </c>
      <c r="K54" s="1425"/>
      <c r="L54" s="843"/>
      <c r="M54" s="1424"/>
      <c r="N54" s="1425"/>
      <c r="P54" s="1424"/>
      <c r="Q54" s="1425"/>
      <c r="S54" s="1424"/>
      <c r="T54" s="1425"/>
      <c r="V54" s="1470"/>
      <c r="W54" s="1471"/>
    </row>
    <row r="55" spans="1:23" s="449" customFormat="1" ht="12" customHeight="1">
      <c r="B55" s="519" t="s">
        <v>1674</v>
      </c>
      <c r="D55" s="517"/>
      <c r="E55" s="517"/>
      <c r="F55" s="518"/>
      <c r="G55" s="1424">
        <v>45000</v>
      </c>
      <c r="H55" s="1425"/>
      <c r="I55" s="472"/>
      <c r="J55" s="1424">
        <v>45000</v>
      </c>
      <c r="K55" s="1425"/>
      <c r="L55" s="843"/>
      <c r="M55" s="1424"/>
      <c r="N55" s="1425"/>
      <c r="P55" s="1424"/>
      <c r="Q55" s="1425"/>
      <c r="S55" s="1424"/>
      <c r="T55" s="1425"/>
      <c r="V55" s="1470"/>
      <c r="W55" s="1471"/>
    </row>
    <row r="56" spans="1:23" s="449" customFormat="1" ht="12" customHeight="1" thickBot="1">
      <c r="A56" s="548" t="str">
        <f>IF(AND(G56&gt;0,OR(C56="",C56="&lt;Enter detailed description here; use Comments section if needed&gt;")),"X","")</f>
        <v/>
      </c>
      <c r="B56" s="449" t="s">
        <v>1137</v>
      </c>
      <c r="C56" s="1298"/>
      <c r="D56" s="1298"/>
      <c r="E56" s="1298"/>
      <c r="F56" s="1299"/>
      <c r="G56" s="1476"/>
      <c r="H56" s="1477"/>
      <c r="J56" s="1424">
        <f t="shared" ref="J56" si="0">G56</f>
        <v>0</v>
      </c>
      <c r="K56" s="1425"/>
      <c r="L56" s="843"/>
      <c r="M56" s="1476"/>
      <c r="N56" s="1477"/>
      <c r="P56" s="1476"/>
      <c r="Q56" s="1477"/>
      <c r="S56" s="1424"/>
      <c r="T56" s="1425"/>
      <c r="U56" s="547" t="str">
        <f>IF(AND(G56&gt;0,OR(C56="",C56="&lt;Enter detailed description here; use Comments section if needed&gt;")),"NO DESCRIPTION PROVIDED - please enter detailed description in Other box at left; use Comments section below if needed.","")</f>
        <v/>
      </c>
      <c r="V56" s="1470"/>
      <c r="W56" s="1471"/>
    </row>
    <row r="57" spans="1:23" s="449" customFormat="1" ht="12" customHeight="1" thickTop="1">
      <c r="F57" s="513" t="s">
        <v>230</v>
      </c>
      <c r="G57" s="1018">
        <f>SUM(G48:H56)</f>
        <v>256874</v>
      </c>
      <c r="H57" s="1019"/>
      <c r="J57" s="1018">
        <f>SUM(J48:K56)</f>
        <v>198138</v>
      </c>
      <c r="K57" s="1019"/>
      <c r="L57" s="515"/>
      <c r="M57" s="1018">
        <f>SUM(M48:N56)</f>
        <v>0</v>
      </c>
      <c r="N57" s="1019"/>
      <c r="P57" s="1018">
        <f>SUM(P48:Q56)</f>
        <v>0</v>
      </c>
      <c r="Q57" s="1019"/>
      <c r="S57" s="1018">
        <f>SUM(S48:T56)</f>
        <v>58736</v>
      </c>
      <c r="T57" s="1019"/>
      <c r="V57" s="1474"/>
      <c r="W57" s="147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4">
        <v>281650</v>
      </c>
      <c r="H59" s="1425"/>
      <c r="J59" s="1424">
        <v>281650</v>
      </c>
      <c r="K59" s="1425"/>
      <c r="L59" s="843"/>
      <c r="M59" s="1424"/>
      <c r="N59" s="1425"/>
      <c r="P59" s="1424"/>
      <c r="Q59" s="1425"/>
      <c r="S59" s="1424"/>
      <c r="T59" s="1425"/>
      <c r="V59" s="1468"/>
      <c r="W59" s="1469"/>
    </row>
    <row r="60" spans="1:23" s="449" customFormat="1" ht="12" customHeight="1">
      <c r="B60" s="449" t="s">
        <v>663</v>
      </c>
      <c r="G60" s="1424">
        <v>25000</v>
      </c>
      <c r="H60" s="1425"/>
      <c r="J60" s="1424">
        <v>25000</v>
      </c>
      <c r="K60" s="1425"/>
      <c r="L60" s="843"/>
      <c r="M60" s="1424"/>
      <c r="N60" s="1425"/>
      <c r="P60" s="1424"/>
      <c r="Q60" s="1425"/>
      <c r="S60" s="1424"/>
      <c r="T60" s="1425"/>
      <c r="V60" s="1470"/>
      <c r="W60" s="1471"/>
    </row>
    <row r="61" spans="1:23" s="449" customFormat="1" ht="12" customHeight="1">
      <c r="B61" s="449" t="s">
        <v>1643</v>
      </c>
      <c r="G61" s="1424">
        <v>5000</v>
      </c>
      <c r="H61" s="1425"/>
      <c r="J61" s="1424">
        <v>5000</v>
      </c>
      <c r="K61" s="1425"/>
      <c r="L61" s="843"/>
      <c r="M61" s="1424"/>
      <c r="N61" s="1425"/>
      <c r="P61" s="1424"/>
      <c r="Q61" s="1425"/>
      <c r="S61" s="1424"/>
      <c r="T61" s="1425"/>
      <c r="V61" s="1470"/>
      <c r="W61" s="1471"/>
    </row>
    <row r="62" spans="1:23" s="449" customFormat="1" ht="12" customHeight="1">
      <c r="B62" s="449" t="s">
        <v>1644</v>
      </c>
      <c r="G62" s="1424">
        <v>7000</v>
      </c>
      <c r="H62" s="1425"/>
      <c r="J62" s="1424">
        <v>7000</v>
      </c>
      <c r="K62" s="1425"/>
      <c r="L62" s="843"/>
      <c r="M62" s="1424"/>
      <c r="N62" s="1425"/>
      <c r="P62" s="1424"/>
      <c r="Q62" s="1425"/>
      <c r="S62" s="1424"/>
      <c r="T62" s="1425"/>
      <c r="V62" s="1470"/>
      <c r="W62" s="1471"/>
    </row>
    <row r="63" spans="1:23" s="449" customFormat="1" ht="12" customHeight="1">
      <c r="B63" s="449" t="s">
        <v>1645</v>
      </c>
      <c r="G63" s="1424">
        <v>7600</v>
      </c>
      <c r="H63" s="1425"/>
      <c r="J63" s="1424">
        <v>7600</v>
      </c>
      <c r="K63" s="1425"/>
      <c r="L63" s="843"/>
      <c r="M63" s="1424"/>
      <c r="N63" s="1425"/>
      <c r="P63" s="1424"/>
      <c r="Q63" s="1425"/>
      <c r="S63" s="1424"/>
      <c r="T63" s="1425"/>
      <c r="V63" s="1470"/>
      <c r="W63" s="1471"/>
    </row>
    <row r="64" spans="1:23" s="449" customFormat="1" ht="12" customHeight="1">
      <c r="B64" s="449" t="s">
        <v>1646</v>
      </c>
      <c r="G64" s="1424">
        <v>10000</v>
      </c>
      <c r="H64" s="1425"/>
      <c r="J64" s="1424">
        <v>10000</v>
      </c>
      <c r="K64" s="1425"/>
      <c r="L64" s="843"/>
      <c r="M64" s="1424"/>
      <c r="N64" s="1425"/>
      <c r="P64" s="1424"/>
      <c r="Q64" s="1425"/>
      <c r="S64" s="1424"/>
      <c r="T64" s="1425"/>
      <c r="V64" s="1470"/>
      <c r="W64" s="1471"/>
    </row>
    <row r="65" spans="1:23" s="449" customFormat="1" ht="12" customHeight="1">
      <c r="B65" s="449" t="s">
        <v>664</v>
      </c>
      <c r="G65" s="1424">
        <v>73000</v>
      </c>
      <c r="H65" s="1425"/>
      <c r="J65" s="1424">
        <v>73000</v>
      </c>
      <c r="K65" s="1425"/>
      <c r="L65" s="843"/>
      <c r="M65" s="1424"/>
      <c r="N65" s="1425"/>
      <c r="P65" s="1424"/>
      <c r="Q65" s="1425"/>
      <c r="S65" s="1424"/>
      <c r="T65" s="1425"/>
      <c r="V65" s="1470"/>
      <c r="W65" s="1471"/>
    </row>
    <row r="66" spans="1:23" s="449" customFormat="1" ht="12" customHeight="1">
      <c r="B66" s="449" t="s">
        <v>665</v>
      </c>
      <c r="G66" s="1424">
        <v>20000</v>
      </c>
      <c r="H66" s="1425"/>
      <c r="J66" s="1424"/>
      <c r="K66" s="1425"/>
      <c r="L66" s="843"/>
      <c r="M66" s="1424"/>
      <c r="N66" s="1425"/>
      <c r="P66" s="1424"/>
      <c r="Q66" s="1425"/>
      <c r="S66" s="1424">
        <v>20000</v>
      </c>
      <c r="T66" s="1425"/>
      <c r="V66" s="1470"/>
      <c r="W66" s="1471"/>
    </row>
    <row r="67" spans="1:23" s="449" customFormat="1" ht="12" customHeight="1">
      <c r="B67" s="449" t="s">
        <v>2935</v>
      </c>
      <c r="G67" s="1424">
        <v>60000</v>
      </c>
      <c r="H67" s="1425"/>
      <c r="J67" s="1424">
        <v>60000</v>
      </c>
      <c r="K67" s="1425"/>
      <c r="L67" s="843"/>
      <c r="M67" s="1424"/>
      <c r="N67" s="1425"/>
      <c r="P67" s="1424"/>
      <c r="Q67" s="1425"/>
      <c r="S67" s="1424"/>
      <c r="T67" s="1425"/>
      <c r="V67" s="1470"/>
      <c r="W67" s="1471"/>
    </row>
    <row r="68" spans="1:23" s="449" customFormat="1" ht="12" customHeight="1" thickBot="1">
      <c r="A68" s="548" t="str">
        <f>IF(AND(G68&gt;0,OR(C68="",C68="&lt;Enter detailed description here; use Comments section if needed&gt;")),"X","")</f>
        <v/>
      </c>
      <c r="B68" s="449" t="s">
        <v>1137</v>
      </c>
      <c r="C68" s="1298" t="s">
        <v>4112</v>
      </c>
      <c r="D68" s="1298"/>
      <c r="E68" s="1298"/>
      <c r="F68" s="1299"/>
      <c r="G68" s="1424">
        <v>36000</v>
      </c>
      <c r="H68" s="1425"/>
      <c r="J68" s="1424">
        <v>36000</v>
      </c>
      <c r="K68" s="1425"/>
      <c r="L68" s="843"/>
      <c r="M68" s="1424"/>
      <c r="N68" s="1425"/>
      <c r="P68" s="1424"/>
      <c r="Q68" s="1425"/>
      <c r="S68" s="1424"/>
      <c r="T68" s="1425"/>
      <c r="U68" s="547" t="str">
        <f>IF(AND(G68&gt;0,OR(C68="",C68="&lt;Enter detailed description here; use Comments section if needed&gt;")),"NO DESCRIPTION PROVIDED - please enter detailed description in Other box at left; use Comments section below if needed.","")</f>
        <v/>
      </c>
      <c r="V68" s="1470"/>
      <c r="W68" s="1471"/>
    </row>
    <row r="69" spans="1:23" s="449" customFormat="1" ht="12" customHeight="1" thickTop="1">
      <c r="F69" s="513" t="s">
        <v>230</v>
      </c>
      <c r="G69" s="1018">
        <f>SUM(G59:H68)</f>
        <v>525250</v>
      </c>
      <c r="H69" s="1019"/>
      <c r="J69" s="1018">
        <f>SUM(J59:K68)</f>
        <v>505250</v>
      </c>
      <c r="K69" s="1019"/>
      <c r="L69" s="515"/>
      <c r="M69" s="1018">
        <f>SUM(M59:N68)</f>
        <v>0</v>
      </c>
      <c r="N69" s="1019"/>
      <c r="P69" s="1018">
        <f>SUM(P59:Q68)</f>
        <v>0</v>
      </c>
      <c r="Q69" s="1019"/>
      <c r="S69" s="1018">
        <f>SUM(S59:T68)</f>
        <v>20000</v>
      </c>
      <c r="T69" s="1019"/>
      <c r="V69" s="1474"/>
      <c r="W69" s="147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4">
        <v>35000</v>
      </c>
      <c r="H71" s="1425"/>
      <c r="J71" s="1424">
        <v>35000</v>
      </c>
      <c r="K71" s="1425"/>
      <c r="L71" s="843"/>
      <c r="M71" s="1424"/>
      <c r="N71" s="1425"/>
      <c r="P71" s="1424"/>
      <c r="Q71" s="1425"/>
      <c r="S71" s="1424"/>
      <c r="T71" s="1425"/>
      <c r="V71" s="1480"/>
      <c r="W71" s="1481"/>
    </row>
    <row r="72" spans="1:23" s="449" customFormat="1" ht="12" customHeight="1">
      <c r="B72" s="449" t="s">
        <v>1826</v>
      </c>
      <c r="G72" s="1424"/>
      <c r="H72" s="1425"/>
      <c r="J72" s="1424"/>
      <c r="K72" s="1425"/>
      <c r="L72" s="843"/>
      <c r="M72" s="1424"/>
      <c r="N72" s="1425"/>
      <c r="P72" s="1424"/>
      <c r="Q72" s="1425"/>
      <c r="S72" s="1424"/>
      <c r="T72" s="1425"/>
      <c r="V72" s="1482"/>
      <c r="W72" s="1483"/>
    </row>
    <row r="73" spans="1:23" s="449" customFormat="1" ht="12" customHeight="1">
      <c r="B73" s="449" t="s">
        <v>1827</v>
      </c>
      <c r="D73" s="529" t="s">
        <v>1975</v>
      </c>
      <c r="E73" s="1484" t="s">
        <v>3975</v>
      </c>
      <c r="G73" s="1424">
        <v>6000</v>
      </c>
      <c r="H73" s="1425"/>
      <c r="I73" s="472"/>
      <c r="J73" s="1424">
        <v>6000</v>
      </c>
      <c r="K73" s="1425"/>
      <c r="L73" s="843"/>
      <c r="M73" s="1424"/>
      <c r="N73" s="1425"/>
      <c r="P73" s="1424"/>
      <c r="Q73" s="1425"/>
      <c r="S73" s="1424"/>
      <c r="T73" s="1425"/>
      <c r="V73" s="1482"/>
      <c r="W73" s="1483"/>
    </row>
    <row r="74" spans="1:23" s="449" customFormat="1" ht="12" customHeight="1" thickBot="1">
      <c r="B74" s="449" t="s">
        <v>1828</v>
      </c>
      <c r="D74" s="529" t="s">
        <v>1975</v>
      </c>
      <c r="E74" s="1484" t="s">
        <v>3975</v>
      </c>
      <c r="G74" s="1424">
        <v>6000</v>
      </c>
      <c r="H74" s="1425"/>
      <c r="I74" s="472"/>
      <c r="J74" s="1424">
        <v>6000</v>
      </c>
      <c r="K74" s="1425"/>
      <c r="L74" s="843"/>
      <c r="M74" s="1424"/>
      <c r="N74" s="1425"/>
      <c r="P74" s="1424"/>
      <c r="Q74" s="1425"/>
      <c r="S74" s="1424"/>
      <c r="T74" s="1425"/>
      <c r="V74" s="1482"/>
      <c r="W74" s="1483"/>
    </row>
    <row r="75" spans="1:23" s="449" customFormat="1" ht="12" customHeight="1" thickTop="1">
      <c r="F75" s="513" t="s">
        <v>230</v>
      </c>
      <c r="G75" s="1018">
        <f>SUM(G71:H74)</f>
        <v>47000</v>
      </c>
      <c r="H75" s="1019"/>
      <c r="J75" s="1018">
        <f>SUM(J71:K74)</f>
        <v>47000</v>
      </c>
      <c r="K75" s="1019"/>
      <c r="L75" s="515"/>
      <c r="M75" s="1018">
        <f>SUM(M71:N74)</f>
        <v>0</v>
      </c>
      <c r="N75" s="1019"/>
      <c r="P75" s="1018">
        <f>SUM(P71:Q74)</f>
        <v>0</v>
      </c>
      <c r="Q75" s="1019"/>
      <c r="S75" s="1018">
        <f>SUM(S71:T74)</f>
        <v>0</v>
      </c>
      <c r="T75" s="1019"/>
      <c r="V75" s="1485"/>
      <c r="W75" s="148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4"/>
      <c r="H77" s="1425"/>
      <c r="J77" s="1026"/>
      <c r="K77" s="1026"/>
      <c r="L77" s="843"/>
      <c r="M77" s="1026"/>
      <c r="N77" s="1026"/>
      <c r="P77" s="1026"/>
      <c r="Q77" s="1026"/>
      <c r="S77" s="1424"/>
      <c r="T77" s="1425"/>
      <c r="V77" s="1480"/>
      <c r="W77" s="1481"/>
    </row>
    <row r="78" spans="1:23" s="449" customFormat="1" ht="12" customHeight="1">
      <c r="B78" s="449" t="s">
        <v>1830</v>
      </c>
      <c r="G78" s="1424"/>
      <c r="H78" s="1425"/>
      <c r="J78" s="1010"/>
      <c r="K78" s="1010"/>
      <c r="L78" s="843"/>
      <c r="M78" s="1010"/>
      <c r="N78" s="1010"/>
      <c r="P78" s="1010"/>
      <c r="Q78" s="1010"/>
      <c r="S78" s="1424"/>
      <c r="T78" s="1425"/>
      <c r="V78" s="1482"/>
      <c r="W78" s="1483"/>
    </row>
    <row r="79" spans="1:23" s="449" customFormat="1" ht="12" customHeight="1">
      <c r="B79" s="449" t="s">
        <v>1831</v>
      </c>
      <c r="G79" s="1424">
        <v>15000</v>
      </c>
      <c r="H79" s="1425"/>
      <c r="J79" s="1424">
        <v>15000</v>
      </c>
      <c r="K79" s="1425"/>
      <c r="L79" s="843"/>
      <c r="M79" s="1424"/>
      <c r="N79" s="1425"/>
      <c r="P79" s="1424"/>
      <c r="Q79" s="1425"/>
      <c r="S79" s="1424"/>
      <c r="T79" s="1425"/>
      <c r="V79" s="1482"/>
      <c r="W79" s="1483"/>
    </row>
    <row r="80" spans="1:23" s="449" customFormat="1" ht="12" customHeight="1">
      <c r="B80" s="449" t="s">
        <v>1832</v>
      </c>
      <c r="G80" s="1424">
        <v>2500</v>
      </c>
      <c r="H80" s="1425"/>
      <c r="J80" s="1424">
        <v>2500</v>
      </c>
      <c r="K80" s="1425"/>
      <c r="L80" s="843"/>
      <c r="M80" s="1424"/>
      <c r="N80" s="1425"/>
      <c r="P80" s="1424"/>
      <c r="Q80" s="1425"/>
      <c r="S80" s="1424"/>
      <c r="T80" s="1425"/>
      <c r="V80" s="1482"/>
      <c r="W80" s="1483"/>
    </row>
    <row r="81" spans="1:23" s="449" customFormat="1" ht="12" customHeight="1">
      <c r="B81" s="449" t="s">
        <v>1833</v>
      </c>
      <c r="G81" s="1424"/>
      <c r="H81" s="1425"/>
      <c r="J81" s="1424"/>
      <c r="K81" s="1425"/>
      <c r="L81" s="843"/>
      <c r="M81" s="1424"/>
      <c r="N81" s="1425"/>
      <c r="P81" s="1424"/>
      <c r="Q81" s="1425"/>
      <c r="S81" s="1424"/>
      <c r="T81" s="1425"/>
      <c r="V81" s="1482"/>
      <c r="W81" s="1483"/>
    </row>
    <row r="82" spans="1:23" s="449" customFormat="1" ht="12" customHeight="1">
      <c r="B82" s="449" t="s">
        <v>3216</v>
      </c>
      <c r="G82" s="1424"/>
      <c r="H82" s="1425"/>
      <c r="J82" s="1424"/>
      <c r="K82" s="1425"/>
      <c r="L82" s="843"/>
      <c r="M82" s="1424"/>
      <c r="N82" s="1425"/>
      <c r="P82" s="1424"/>
      <c r="Q82" s="1425"/>
      <c r="S82" s="1424"/>
      <c r="T82" s="1425"/>
      <c r="V82" s="1482"/>
      <c r="W82" s="1483"/>
    </row>
    <row r="83" spans="1:23" s="449" customFormat="1" ht="12" customHeight="1" thickBot="1">
      <c r="A83" s="548" t="str">
        <f>IF(AND(G83&gt;0,OR(C83="",C83="&lt;Enter detailed description here; use Comments section if needed&gt;")),"X","")</f>
        <v/>
      </c>
      <c r="B83" s="449" t="s">
        <v>1137</v>
      </c>
      <c r="C83" s="1298"/>
      <c r="D83" s="1298"/>
      <c r="E83" s="1298"/>
      <c r="F83" s="1299"/>
      <c r="G83" s="1424"/>
      <c r="H83" s="1425"/>
      <c r="J83" s="1424"/>
      <c r="K83" s="1425"/>
      <c r="L83" s="843"/>
      <c r="M83" s="1424"/>
      <c r="N83" s="1425"/>
      <c r="P83" s="1424"/>
      <c r="Q83" s="1425"/>
      <c r="S83" s="1424"/>
      <c r="T83" s="1425"/>
      <c r="U83" s="547" t="str">
        <f>IF(AND(G83&gt;0,OR(C83="",C83="&lt;Enter detailed description here; use Comments section if needed&gt;")),"NO DESCRIPTION PROVIDED - please enter detailed description in Other box at left; use Comments section below if needed.","")</f>
        <v/>
      </c>
      <c r="V83" s="1482"/>
      <c r="W83" s="1483"/>
    </row>
    <row r="84" spans="1:23" s="449" customFormat="1" ht="12" customHeight="1" thickTop="1">
      <c r="F84" s="513" t="s">
        <v>230</v>
      </c>
      <c r="G84" s="1018">
        <f>SUM(G77:H83)</f>
        <v>17500</v>
      </c>
      <c r="H84" s="1019"/>
      <c r="J84" s="1018">
        <f>SUM(J79:K83)</f>
        <v>17500</v>
      </c>
      <c r="K84" s="1019"/>
      <c r="L84" s="515"/>
      <c r="M84" s="1018">
        <f>SUM(M79:N83)</f>
        <v>0</v>
      </c>
      <c r="N84" s="1019"/>
      <c r="P84" s="1018">
        <f>SUM(P79:Q83)</f>
        <v>0</v>
      </c>
      <c r="Q84" s="1019"/>
      <c r="S84" s="1018">
        <f>SUM(S77:T83)</f>
        <v>0</v>
      </c>
      <c r="T84" s="1019"/>
      <c r="V84" s="1485"/>
      <c r="W84" s="148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3864</v>
      </c>
      <c r="W87" s="1009"/>
    </row>
    <row r="88" spans="1:23" s="449" customFormat="1" ht="13.3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4"/>
      <c r="H89" s="1425"/>
      <c r="J89" s="515"/>
      <c r="K89" s="515"/>
      <c r="L89" s="843"/>
      <c r="M89" s="515"/>
      <c r="N89" s="515"/>
      <c r="P89" s="515"/>
      <c r="Q89" s="515"/>
      <c r="S89" s="1424"/>
      <c r="T89" s="1425"/>
      <c r="V89" s="1480"/>
      <c r="W89" s="1481"/>
    </row>
    <row r="90" spans="1:23" s="449" customFormat="1" ht="12.6" customHeight="1">
      <c r="B90" s="449" t="s">
        <v>1735</v>
      </c>
      <c r="G90" s="1424">
        <v>5500</v>
      </c>
      <c r="H90" s="1425"/>
      <c r="J90" s="515"/>
      <c r="K90" s="515"/>
      <c r="L90" s="530"/>
      <c r="M90" s="515"/>
      <c r="N90" s="515"/>
      <c r="P90" s="515"/>
      <c r="Q90" s="515"/>
      <c r="S90" s="1424">
        <v>5500</v>
      </c>
      <c r="T90" s="1425"/>
      <c r="V90" s="1482"/>
      <c r="W90" s="1483"/>
    </row>
    <row r="91" spans="1:23" s="449" customFormat="1" ht="12.6" customHeight="1">
      <c r="B91" s="449" t="s">
        <v>3952</v>
      </c>
      <c r="G91" s="1424">
        <v>4000</v>
      </c>
      <c r="H91" s="1425"/>
      <c r="J91" s="515"/>
      <c r="K91" s="515"/>
      <c r="L91" s="530"/>
      <c r="M91" s="515"/>
      <c r="N91" s="515"/>
      <c r="O91" s="833"/>
      <c r="P91" s="515"/>
      <c r="Q91" s="515"/>
      <c r="S91" s="1424">
        <v>4000</v>
      </c>
      <c r="T91" s="1425"/>
      <c r="V91" s="1482"/>
      <c r="W91" s="1483"/>
    </row>
    <row r="92" spans="1:23" s="449" customFormat="1" ht="12.6" customHeight="1">
      <c r="B92" s="449" t="s">
        <v>754</v>
      </c>
      <c r="E92" s="1064">
        <f>'DCA Underwriting Assumptions'!$Q$41*$J$165</f>
        <v>56752.844623280012</v>
      </c>
      <c r="F92" s="1065"/>
      <c r="G92" s="1424">
        <v>56752.844623280012</v>
      </c>
      <c r="H92" s="1425"/>
      <c r="J92" s="515"/>
      <c r="K92" s="515"/>
      <c r="L92" s="843"/>
      <c r="M92" s="515"/>
      <c r="N92" s="515"/>
      <c r="O92" s="833"/>
      <c r="P92" s="515"/>
      <c r="Q92" s="515"/>
      <c r="S92" s="1424">
        <v>56752.844623280012</v>
      </c>
      <c r="T92" s="1425"/>
      <c r="V92" s="1482"/>
      <c r="W92" s="148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56800</v>
      </c>
      <c r="F93" s="1065"/>
      <c r="G93" s="1424">
        <v>56800</v>
      </c>
      <c r="H93" s="1425"/>
      <c r="J93" s="416"/>
      <c r="K93" s="416"/>
      <c r="L93" s="416"/>
      <c r="M93" s="416"/>
      <c r="N93" s="416"/>
      <c r="O93" s="416"/>
      <c r="P93" s="416"/>
      <c r="Q93" s="416"/>
      <c r="S93" s="1424">
        <v>56800</v>
      </c>
      <c r="T93" s="1425"/>
      <c r="V93" s="1482"/>
      <c r="W93" s="1483"/>
    </row>
    <row r="94" spans="1:23" s="449" customFormat="1" ht="12.6" customHeight="1">
      <c r="B94" s="449" t="s">
        <v>672</v>
      </c>
      <c r="G94" s="1424"/>
      <c r="H94" s="1425"/>
      <c r="J94" s="416"/>
      <c r="K94" s="416"/>
      <c r="L94" s="416"/>
      <c r="M94" s="416"/>
      <c r="N94" s="416"/>
      <c r="O94" s="416"/>
      <c r="P94" s="416"/>
      <c r="Q94" s="416"/>
      <c r="S94" s="1424"/>
      <c r="T94" s="1425"/>
      <c r="V94" s="1482"/>
      <c r="W94" s="1483"/>
    </row>
    <row r="95" spans="1:23" s="449" customFormat="1" ht="12.6" customHeight="1">
      <c r="B95" s="449" t="s">
        <v>3315</v>
      </c>
      <c r="G95" s="1424">
        <v>3000</v>
      </c>
      <c r="H95" s="1425"/>
      <c r="J95" s="416"/>
      <c r="K95" s="416"/>
      <c r="L95" s="416"/>
      <c r="M95" s="416"/>
      <c r="N95" s="416"/>
      <c r="O95" s="416"/>
      <c r="P95" s="416"/>
      <c r="Q95" s="416"/>
      <c r="S95" s="1424">
        <v>3000</v>
      </c>
      <c r="T95" s="1425"/>
      <c r="V95" s="1482"/>
      <c r="W95" s="1483"/>
    </row>
    <row r="96" spans="1:23" s="449" customFormat="1" ht="12.6" customHeight="1">
      <c r="A96" s="548" t="str">
        <f>IF(AND(G96&gt;0,OR(C96="",C96="&lt;Enter detailed description here; use Comments section if needed&gt;")),"X","")</f>
        <v/>
      </c>
      <c r="B96" s="449" t="s">
        <v>1137</v>
      </c>
      <c r="C96" s="1298"/>
      <c r="D96" s="1298"/>
      <c r="E96" s="1298"/>
      <c r="F96" s="1299"/>
      <c r="G96" s="1424"/>
      <c r="H96" s="1425"/>
      <c r="J96" s="416"/>
      <c r="K96" s="416"/>
      <c r="L96" s="416"/>
      <c r="M96" s="416"/>
      <c r="N96" s="416"/>
      <c r="O96" s="416"/>
      <c r="P96" s="416"/>
      <c r="Q96" s="416"/>
      <c r="S96" s="1424"/>
      <c r="T96" s="1425"/>
      <c r="U96" s="547" t="str">
        <f>IF(AND(G96&gt;0,OR(C96="",C96="&lt;Enter detailed description here; use Comments section if needed&gt;")),"NO DESCRIPTION PROVIDED - please enter detailed description in Other box at left; use Comments section below if needed.","")</f>
        <v/>
      </c>
      <c r="V96" s="1482"/>
      <c r="W96" s="1483"/>
    </row>
    <row r="97" spans="1:23" s="449" customFormat="1" ht="12.6" customHeight="1" thickBot="1">
      <c r="A97" s="548" t="str">
        <f>IF(AND(G97&gt;0,OR(C97="",C97="&lt;Enter detailed description here; use Comments section if needed&gt;")),"X","")</f>
        <v/>
      </c>
      <c r="B97" s="449" t="s">
        <v>1137</v>
      </c>
      <c r="C97" s="1298"/>
      <c r="D97" s="1298"/>
      <c r="E97" s="1298"/>
      <c r="F97" s="1299"/>
      <c r="G97" s="1424"/>
      <c r="H97" s="1425"/>
      <c r="J97" s="416"/>
      <c r="K97" s="416"/>
      <c r="L97" s="416"/>
      <c r="M97" s="416"/>
      <c r="N97" s="416"/>
      <c r="O97" s="416"/>
      <c r="P97" s="416"/>
      <c r="Q97" s="416"/>
      <c r="S97" s="1424"/>
      <c r="T97" s="1425"/>
      <c r="U97" s="547" t="str">
        <f>IF(AND(G97&gt;0,OR(C97="",C97="&lt;Enter detailed description here; use Comments section if needed&gt;")),"NO DESCRIPTION PROVIDED - please enter detailed description in Other box at left; use Comments section below if needed.","")</f>
        <v/>
      </c>
      <c r="V97" s="1482"/>
      <c r="W97" s="1483"/>
    </row>
    <row r="98" spans="1:23" s="449" customFormat="1" ht="12.6" customHeight="1" thickTop="1">
      <c r="F98" s="513" t="s">
        <v>230</v>
      </c>
      <c r="G98" s="1018">
        <f>SUM(G89:H97)</f>
        <v>126052.84462328002</v>
      </c>
      <c r="H98" s="1019"/>
      <c r="J98" s="515"/>
      <c r="K98" s="515"/>
      <c r="L98" s="843"/>
      <c r="M98" s="515"/>
      <c r="N98" s="515"/>
      <c r="P98" s="515"/>
      <c r="Q98" s="515"/>
      <c r="S98" s="1018">
        <f>SUM(S89:T97)</f>
        <v>126052.84462328002</v>
      </c>
      <c r="T98" s="1019"/>
      <c r="V98" s="1485"/>
      <c r="W98" s="1486"/>
    </row>
    <row r="99" spans="1:23" s="449" customFormat="1" ht="13.3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24">
        <v>90000</v>
      </c>
      <c r="H100" s="1425"/>
      <c r="J100" s="1026"/>
      <c r="K100" s="1026"/>
      <c r="L100" s="843"/>
      <c r="M100" s="1026"/>
      <c r="N100" s="1026"/>
      <c r="O100" s="833"/>
      <c r="P100" s="1026"/>
      <c r="Q100" s="1026"/>
      <c r="S100" s="1424">
        <v>90000</v>
      </c>
      <c r="T100" s="1425"/>
      <c r="V100" s="1480"/>
      <c r="W100" s="1481"/>
    </row>
    <row r="101" spans="1:23" s="449" customFormat="1" ht="12.6" customHeight="1">
      <c r="B101" s="449" t="s">
        <v>346</v>
      </c>
      <c r="G101" s="1424">
        <v>20000</v>
      </c>
      <c r="H101" s="1425"/>
      <c r="J101" s="1026"/>
      <c r="K101" s="1026"/>
      <c r="L101" s="843"/>
      <c r="M101" s="1026"/>
      <c r="N101" s="1026"/>
      <c r="O101" s="833"/>
      <c r="P101" s="1026"/>
      <c r="Q101" s="1026"/>
      <c r="S101" s="1424">
        <v>20000</v>
      </c>
      <c r="T101" s="1425"/>
      <c r="V101" s="1482"/>
      <c r="W101" s="1483"/>
    </row>
    <row r="102" spans="1:23" s="449" customFormat="1" ht="12.6" customHeight="1">
      <c r="B102" s="449" t="s">
        <v>3359</v>
      </c>
      <c r="G102" s="1424">
        <v>90000</v>
      </c>
      <c r="H102" s="1425"/>
      <c r="J102" s="1026"/>
      <c r="K102" s="1026"/>
      <c r="L102" s="843"/>
      <c r="M102" s="1026"/>
      <c r="N102" s="1026"/>
      <c r="O102" s="833"/>
      <c r="P102" s="1026"/>
      <c r="Q102" s="1026"/>
      <c r="S102" s="1424">
        <v>90000</v>
      </c>
      <c r="T102" s="1425"/>
      <c r="V102" s="1482"/>
      <c r="W102" s="1483"/>
    </row>
    <row r="103" spans="1:23" s="449" customFormat="1" ht="12.6" customHeight="1" thickBot="1">
      <c r="A103" s="548" t="str">
        <f>IF(AND(G103&gt;0,OR(C103="",C103="&lt;Enter detailed description here; use Comments section if needed&gt;")),"X","")</f>
        <v/>
      </c>
      <c r="B103" s="449" t="s">
        <v>1137</v>
      </c>
      <c r="C103" s="1298" t="s">
        <v>3976</v>
      </c>
      <c r="D103" s="1298"/>
      <c r="E103" s="1298"/>
      <c r="F103" s="1299"/>
      <c r="G103" s="1424">
        <v>19863.495618148005</v>
      </c>
      <c r="H103" s="1425"/>
      <c r="J103" s="1026"/>
      <c r="K103" s="1026"/>
      <c r="L103" s="843"/>
      <c r="M103" s="1026"/>
      <c r="N103" s="1026"/>
      <c r="O103" s="833"/>
      <c r="P103" s="1026"/>
      <c r="Q103" s="1026"/>
      <c r="S103" s="1424">
        <v>19863.495618148005</v>
      </c>
      <c r="T103" s="1425"/>
      <c r="U103" s="547" t="str">
        <f>IF(AND(G103&gt;0,OR(C103="",C103="&lt;Enter detailed description here; use Comments section if needed&gt;")),"NO DESCRIPTION PROVIDED - please enter detailed description in Other box at left; use Comments section below if needed.","")</f>
        <v/>
      </c>
      <c r="V103" s="1482"/>
      <c r="W103" s="1483"/>
    </row>
    <row r="104" spans="1:23" s="449" customFormat="1" ht="12.6" customHeight="1" thickTop="1">
      <c r="F104" s="513" t="s">
        <v>230</v>
      </c>
      <c r="G104" s="1018">
        <f>SUM(G100:H103)</f>
        <v>219863.49561814801</v>
      </c>
      <c r="H104" s="1019"/>
      <c r="J104" s="1026"/>
      <c r="K104" s="1026"/>
      <c r="L104" s="843"/>
      <c r="M104" s="1026"/>
      <c r="N104" s="1026"/>
      <c r="O104" s="833"/>
      <c r="P104" s="1026"/>
      <c r="Q104" s="1026"/>
      <c r="S104" s="1018">
        <f>SUM(S100:T103)</f>
        <v>219863.49561814801</v>
      </c>
      <c r="T104" s="1019"/>
      <c r="V104" s="1485"/>
      <c r="W104" s="1486"/>
    </row>
    <row r="105" spans="1:23" s="449" customFormat="1" ht="13.3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v>
      </c>
      <c r="G106" s="1424">
        <v>259368.6</v>
      </c>
      <c r="H106" s="1425"/>
      <c r="J106" s="1424">
        <v>259368.6</v>
      </c>
      <c r="K106" s="1425"/>
      <c r="L106" s="514"/>
      <c r="M106" s="1424"/>
      <c r="N106" s="1425"/>
      <c r="P106" s="1424"/>
      <c r="Q106" s="1425"/>
      <c r="S106" s="1424"/>
      <c r="T106" s="1425"/>
      <c r="V106" s="1480"/>
      <c r="W106" s="1481"/>
    </row>
    <row r="107" spans="1:23" s="449" customFormat="1" ht="12.6" customHeight="1">
      <c r="B107" s="449" t="s">
        <v>2733</v>
      </c>
      <c r="F107" s="624">
        <f>G107/$G$109</f>
        <v>0</v>
      </c>
      <c r="G107" s="1424"/>
      <c r="H107" s="1425"/>
      <c r="J107" s="1424"/>
      <c r="K107" s="1425"/>
      <c r="L107" s="843"/>
      <c r="M107" s="1424"/>
      <c r="N107" s="1425"/>
      <c r="P107" s="1424"/>
      <c r="Q107" s="1425"/>
      <c r="S107" s="1424"/>
      <c r="T107" s="1425"/>
      <c r="V107" s="1482"/>
      <c r="W107" s="1483"/>
    </row>
    <row r="108" spans="1:23" s="449" customFormat="1" ht="12.6" customHeight="1" thickBot="1">
      <c r="B108" s="449" t="s">
        <v>2725</v>
      </c>
      <c r="F108" s="624">
        <f>G108/$G$109</f>
        <v>0.8</v>
      </c>
      <c r="G108" s="1424">
        <v>1037474.4</v>
      </c>
      <c r="H108" s="1425"/>
      <c r="J108" s="1424">
        <v>1037474.4</v>
      </c>
      <c r="K108" s="1425"/>
      <c r="L108" s="843"/>
      <c r="M108" s="1424"/>
      <c r="N108" s="1425"/>
      <c r="P108" s="1424"/>
      <c r="Q108" s="1425"/>
      <c r="S108" s="1424"/>
      <c r="T108" s="1425"/>
      <c r="V108" s="1482"/>
      <c r="W108" s="1483"/>
    </row>
    <row r="109" spans="1:23" s="449" customFormat="1" ht="12.6" customHeight="1" thickTop="1">
      <c r="C109" s="547" t="str">
        <f>IF(G109&lt;='DCA Underwriting Assumptions'!$Q$47,"","Developer Fee exceeds DCA Program Maximum !!!")</f>
        <v/>
      </c>
      <c r="F109" s="513" t="s">
        <v>230</v>
      </c>
      <c r="G109" s="1018">
        <f>SUM(G106:H108)</f>
        <v>1296843</v>
      </c>
      <c r="H109" s="1019"/>
      <c r="J109" s="1018">
        <f>SUM(J106:K108)</f>
        <v>1296843</v>
      </c>
      <c r="K109" s="1019"/>
      <c r="L109" s="843"/>
      <c r="M109" s="1018">
        <f>SUM(M106:N108)</f>
        <v>0</v>
      </c>
      <c r="N109" s="1019"/>
      <c r="P109" s="1018">
        <f>SUM(P106:Q108)</f>
        <v>0</v>
      </c>
      <c r="Q109" s="1019"/>
      <c r="S109" s="1018">
        <f>SUM(S106:T108)</f>
        <v>0</v>
      </c>
      <c r="T109" s="1019"/>
      <c r="V109" s="1485"/>
      <c r="W109" s="1486"/>
    </row>
    <row r="110" spans="1:23" s="449" customFormat="1" ht="13.3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4"/>
      <c r="H111" s="1425"/>
      <c r="J111" s="531"/>
      <c r="K111" s="531"/>
      <c r="L111" s="531"/>
      <c r="M111" s="531"/>
      <c r="N111" s="531"/>
      <c r="P111" s="531"/>
      <c r="Q111" s="531"/>
      <c r="S111" s="1424"/>
      <c r="T111" s="1425"/>
      <c r="V111" s="1480"/>
      <c r="W111" s="1481"/>
    </row>
    <row r="112" spans="1:23" s="449" customFormat="1" ht="12.6" customHeight="1">
      <c r="B112" s="449" t="s">
        <v>2137</v>
      </c>
      <c r="G112" s="1424">
        <v>98900</v>
      </c>
      <c r="H112" s="1425"/>
      <c r="J112" s="1026"/>
      <c r="K112" s="1026"/>
      <c r="L112" s="843"/>
      <c r="M112" s="1026"/>
      <c r="N112" s="1026"/>
      <c r="O112" s="833"/>
      <c r="P112" s="1026"/>
      <c r="Q112" s="1026"/>
      <c r="R112" s="833"/>
      <c r="S112" s="1424">
        <v>98900</v>
      </c>
      <c r="T112" s="1425"/>
      <c r="V112" s="1482"/>
      <c r="W112" s="1483"/>
    </row>
    <row r="113" spans="1:23" s="449" customFormat="1" ht="12.6" customHeight="1">
      <c r="B113" s="449" t="s">
        <v>948</v>
      </c>
      <c r="F113" s="472"/>
      <c r="G113" s="1424">
        <v>197700</v>
      </c>
      <c r="H113" s="1425"/>
      <c r="J113" s="530"/>
      <c r="K113" s="530"/>
      <c r="L113" s="530"/>
      <c r="M113" s="530"/>
      <c r="N113" s="530"/>
      <c r="O113" s="833"/>
      <c r="P113" s="530"/>
      <c r="Q113" s="530"/>
      <c r="R113" s="833"/>
      <c r="S113" s="1424">
        <v>197700</v>
      </c>
      <c r="T113" s="1425"/>
      <c r="V113" s="1482"/>
      <c r="W113" s="1483"/>
    </row>
    <row r="114" spans="1:23" s="449" customFormat="1" ht="12.6" customHeight="1">
      <c r="B114" s="449" t="s">
        <v>1796</v>
      </c>
      <c r="G114" s="1424">
        <v>17750</v>
      </c>
      <c r="H114" s="1425"/>
      <c r="J114" s="531"/>
      <c r="K114" s="531"/>
      <c r="L114" s="531"/>
      <c r="M114" s="531"/>
      <c r="N114" s="531"/>
      <c r="P114" s="531"/>
      <c r="Q114" s="531"/>
      <c r="S114" s="1424">
        <v>17750</v>
      </c>
      <c r="T114" s="1425"/>
      <c r="V114" s="1482"/>
      <c r="W114" s="1483"/>
    </row>
    <row r="115" spans="1:23" s="449" customFormat="1" ht="12.6" customHeight="1">
      <c r="B115" s="449" t="s">
        <v>1797</v>
      </c>
      <c r="E115" s="449" t="s">
        <v>1370</v>
      </c>
      <c r="F115" s="792">
        <f>G115/'Part VI-Revenues &amp; Expenses'!$M$62</f>
        <v>1165.8450704225352</v>
      </c>
      <c r="G115" s="1424">
        <v>82775</v>
      </c>
      <c r="H115" s="1425"/>
      <c r="J115" s="1424">
        <v>82775</v>
      </c>
      <c r="K115" s="1425"/>
      <c r="L115" s="843"/>
      <c r="M115" s="1424"/>
      <c r="N115" s="1425"/>
      <c r="P115" s="1424"/>
      <c r="Q115" s="1425"/>
      <c r="S115" s="1424"/>
      <c r="T115" s="1425"/>
      <c r="V115" s="1482"/>
      <c r="W115" s="1483"/>
    </row>
    <row r="116" spans="1:23" s="449" customFormat="1" ht="12.6" customHeight="1" thickBot="1">
      <c r="A116" s="548" t="str">
        <f>IF(AND(G116&gt;0,OR(C116="",C116="&lt;Enter detailed description here; use Comments section if needed&gt;")),"X","")</f>
        <v/>
      </c>
      <c r="B116" s="449" t="s">
        <v>1137</v>
      </c>
      <c r="C116" s="1298" t="s">
        <v>4113</v>
      </c>
      <c r="D116" s="1298"/>
      <c r="E116" s="1298"/>
      <c r="F116" s="1299"/>
      <c r="G116" s="1424">
        <v>282000</v>
      </c>
      <c r="H116" s="1425"/>
      <c r="J116" s="1424"/>
      <c r="K116" s="1425"/>
      <c r="L116" s="843"/>
      <c r="M116" s="1424"/>
      <c r="N116" s="1425"/>
      <c r="P116" s="1424"/>
      <c r="Q116" s="1425"/>
      <c r="S116" s="1424">
        <v>282000</v>
      </c>
      <c r="T116" s="1425"/>
      <c r="U116" s="547" t="str">
        <f>IF(AND(G116&gt;0,OR(C116="",C116="&lt;Enter detailed description here; use Comments section if needed&gt;")),"NO DESCRIPTION PROVIDED - please enter detailed description in Other box at left; use Comments section below if needed.","")</f>
        <v/>
      </c>
      <c r="V116" s="1482"/>
      <c r="W116" s="1483"/>
    </row>
    <row r="117" spans="1:23" s="449" customFormat="1" ht="12.6" customHeight="1" thickTop="1">
      <c r="B117" s="532"/>
      <c r="F117" s="513" t="s">
        <v>230</v>
      </c>
      <c r="G117" s="1018">
        <f>SUM(G111:H116)</f>
        <v>679125</v>
      </c>
      <c r="H117" s="1019"/>
      <c r="J117" s="1018">
        <f>SUM(J115:K116)</f>
        <v>82775</v>
      </c>
      <c r="K117" s="1019"/>
      <c r="L117" s="843"/>
      <c r="M117" s="1018">
        <f>SUM(M115:N116)</f>
        <v>0</v>
      </c>
      <c r="N117" s="1019"/>
      <c r="P117" s="1018">
        <f>SUM(P115:Q116)</f>
        <v>0</v>
      </c>
      <c r="Q117" s="1019"/>
      <c r="S117" s="1018">
        <f>SUM(S111:T116)</f>
        <v>596350</v>
      </c>
      <c r="T117" s="1019"/>
      <c r="V117" s="1485"/>
      <c r="W117" s="1486"/>
    </row>
    <row r="118" spans="1:23" s="449" customFormat="1" ht="13.3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24">
        <f>35000</f>
        <v>35000</v>
      </c>
      <c r="H119" s="1425"/>
      <c r="J119" s="1424">
        <v>35000</v>
      </c>
      <c r="K119" s="1425"/>
      <c r="L119" s="514"/>
      <c r="M119" s="1424"/>
      <c r="N119" s="1425"/>
      <c r="P119" s="1424"/>
      <c r="Q119" s="1425"/>
      <c r="S119" s="1424"/>
      <c r="T119" s="1425"/>
      <c r="V119" s="1480"/>
      <c r="W119" s="1481"/>
    </row>
    <row r="120" spans="1:23" s="449" customFormat="1" ht="12.6" customHeight="1" thickBot="1">
      <c r="A120" s="548" t="str">
        <f>IF(AND(G120&gt;0,OR(C120="",C120="&lt;Enter detailed description here; use Comments section if needed&gt;")),"X","")</f>
        <v/>
      </c>
      <c r="B120" s="449" t="s">
        <v>1137</v>
      </c>
      <c r="C120" s="1298"/>
      <c r="D120" s="1298"/>
      <c r="E120" s="1298"/>
      <c r="F120" s="1299"/>
      <c r="G120" s="1424"/>
      <c r="H120" s="1425"/>
      <c r="J120" s="1424">
        <f>G120</f>
        <v>0</v>
      </c>
      <c r="K120" s="1425"/>
      <c r="L120" s="843"/>
      <c r="M120" s="1424"/>
      <c r="N120" s="1425"/>
      <c r="P120" s="1424"/>
      <c r="Q120" s="1425"/>
      <c r="S120" s="1424"/>
      <c r="T120" s="1425"/>
      <c r="U120" s="547" t="str">
        <f>IF(AND(G120&gt;0,OR(C120="",C120="&lt;Enter detailed description here; use Comments section if needed&gt;")),"NO DESCRIPTION PROVIDED - please enter detailed description in Other box at left; use Comments section below if needed.","")</f>
        <v/>
      </c>
      <c r="V120" s="1482"/>
      <c r="W120" s="1483"/>
    </row>
    <row r="121" spans="1:23" s="449" customFormat="1" ht="12.6" customHeight="1" thickTop="1">
      <c r="C121" s="827"/>
      <c r="F121" s="513" t="s">
        <v>230</v>
      </c>
      <c r="G121" s="1018">
        <f>SUM(G119:H120)</f>
        <v>35000</v>
      </c>
      <c r="H121" s="1019"/>
      <c r="J121" s="1018">
        <f>SUM(J119:K120)</f>
        <v>35000</v>
      </c>
      <c r="K121" s="1019"/>
      <c r="L121" s="843"/>
      <c r="M121" s="1018">
        <f>SUM(M119:N120)</f>
        <v>0</v>
      </c>
      <c r="N121" s="1019"/>
      <c r="P121" s="1018">
        <f>SUM(P119:Q120)</f>
        <v>0</v>
      </c>
      <c r="Q121" s="1019"/>
      <c r="S121" s="1018">
        <f>SUM(S119:T120)</f>
        <v>0</v>
      </c>
      <c r="T121" s="1019"/>
      <c r="V121" s="1482"/>
      <c r="W121" s="1483"/>
    </row>
    <row r="122" spans="1:23" s="449" customFormat="1" ht="3" customHeight="1" thickBot="1">
      <c r="C122" s="827"/>
      <c r="H122" s="528"/>
      <c r="I122" s="528"/>
      <c r="L122" s="833"/>
      <c r="V122" s="1482"/>
      <c r="W122" s="1483"/>
    </row>
    <row r="123" spans="1:23" s="449" customFormat="1" ht="14.1" customHeight="1" thickBot="1">
      <c r="B123" s="456" t="s">
        <v>348</v>
      </c>
      <c r="G123" s="1022">
        <f>G17+G23+G27+G32+G36+G42+G57+G69+G75+G84+G98+G104+G109+G117+G121</f>
        <v>10144293.340241428</v>
      </c>
      <c r="H123" s="1023"/>
      <c r="J123" s="1022">
        <f>J17+J23+J27+J32+J36+J42+J57+J69+J75+J84+J98+J104+J109+J117+J121</f>
        <v>8923291</v>
      </c>
      <c r="K123" s="1023"/>
      <c r="M123" s="1022">
        <f>M17+M23+M27+M32+M36+M42+M57+M69+M75+M84+M98+M104+M109+M117+M121</f>
        <v>0</v>
      </c>
      <c r="N123" s="1023"/>
      <c r="P123" s="1022">
        <f>P17+P23+P27+P32+P36+P42+P57+P69+P75+P84+P98+P104+P109+P117+P121</f>
        <v>0</v>
      </c>
      <c r="Q123" s="1023"/>
      <c r="S123" s="1022">
        <f>S17+S23+S27+S32+S36+S42+S57+S69+S75+S84+S98+S104+S109+S117+S121</f>
        <v>1221002.340241428</v>
      </c>
      <c r="T123" s="1023"/>
      <c r="V123" s="1485"/>
      <c r="W123" s="1486"/>
    </row>
    <row r="124" spans="1:23" s="449" customFormat="1" ht="3" customHeight="1" thickBot="1">
      <c r="C124" s="827"/>
      <c r="H124" s="528"/>
      <c r="I124" s="528"/>
      <c r="L124" s="833"/>
    </row>
    <row r="125" spans="1:23" s="449" customFormat="1" ht="14.1" customHeight="1" thickBot="1">
      <c r="B125" s="456" t="s">
        <v>3620</v>
      </c>
      <c r="D125" s="1020">
        <f>IF(AND($T$155 = "Yes", 'Part IX A-Scoring Criteria'!$O$246 &gt; 0),'DCA Underwriting Assumptions'!$R$13, IF(AND('Part IV-Uses of Funds'!$T$156="Yes", 'Part IX A-Scoring Criteria'!$O$67&gt;0),'DCA Underwriting Assumptions'!$R$12, 'DCA Underwriting Assumptions'!$R$11))</f>
        <v>11493693</v>
      </c>
      <c r="E125" s="1021"/>
      <c r="F125" s="452" t="s">
        <v>957</v>
      </c>
      <c r="G125" s="1024">
        <f>G123/'Part VI-Revenues &amp; Expenses'!$M$62</f>
        <v>142877.37098931588</v>
      </c>
      <c r="H125" s="1025"/>
      <c r="I125" s="533"/>
      <c r="J125" s="456" t="s">
        <v>958</v>
      </c>
      <c r="M125" s="1024">
        <f>G123/'Part VI-Revenues &amp; Expenses'!$M$100</f>
        <v>134.22638589289494</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6.1"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2930</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4.1" customHeight="1">
      <c r="B131" s="827" t="s">
        <v>169</v>
      </c>
      <c r="D131" s="833"/>
      <c r="E131" s="833"/>
      <c r="F131" s="833"/>
      <c r="G131" s="833"/>
      <c r="H131" s="833"/>
      <c r="I131" s="535"/>
      <c r="J131" s="1487"/>
      <c r="K131" s="1488"/>
      <c r="P131" s="1487"/>
      <c r="Q131" s="1488"/>
      <c r="V131" s="1489"/>
      <c r="W131" s="1481"/>
    </row>
    <row r="132" spans="2:23" s="449" customFormat="1" ht="14.1" customHeight="1">
      <c r="B132" s="833" t="s">
        <v>3044</v>
      </c>
      <c r="D132" s="833"/>
      <c r="E132" s="833"/>
      <c r="F132" s="833"/>
      <c r="G132" s="833"/>
      <c r="H132" s="833"/>
      <c r="I132" s="535"/>
      <c r="J132" s="1487"/>
      <c r="K132" s="1488"/>
      <c r="P132" s="1487"/>
      <c r="Q132" s="1488"/>
      <c r="V132" s="1482"/>
      <c r="W132" s="1483"/>
    </row>
    <row r="133" spans="2:23" s="449" customFormat="1" ht="14.1" customHeight="1">
      <c r="B133" s="833" t="s">
        <v>2735</v>
      </c>
      <c r="D133" s="833"/>
      <c r="E133" s="833"/>
      <c r="I133" s="535"/>
      <c r="J133" s="1487"/>
      <c r="K133" s="1488"/>
      <c r="P133" s="1487"/>
      <c r="Q133" s="1488"/>
      <c r="V133" s="1482"/>
      <c r="W133" s="1483"/>
    </row>
    <row r="134" spans="2:23" s="449" customFormat="1" ht="14.1" customHeight="1">
      <c r="B134" s="833" t="s">
        <v>2736</v>
      </c>
      <c r="D134" s="833"/>
      <c r="E134" s="833"/>
      <c r="I134" s="535"/>
      <c r="J134" s="1487"/>
      <c r="K134" s="1488"/>
      <c r="P134" s="1487"/>
      <c r="Q134" s="1488"/>
      <c r="V134" s="1482"/>
      <c r="W134" s="1483"/>
    </row>
    <row r="135" spans="2:23" s="449" customFormat="1" ht="14.1" customHeight="1">
      <c r="B135" s="833" t="s">
        <v>308</v>
      </c>
      <c r="D135" s="833"/>
      <c r="E135" s="833"/>
      <c r="I135" s="535"/>
      <c r="J135" s="1487"/>
      <c r="K135" s="1488"/>
      <c r="P135" s="1487"/>
      <c r="Q135" s="1488"/>
      <c r="V135" s="1482"/>
      <c r="W135" s="1483"/>
    </row>
    <row r="136" spans="2:23" s="449" customFormat="1" ht="13.5" thickBot="1">
      <c r="B136" s="833" t="s">
        <v>2210</v>
      </c>
      <c r="C136" s="1490">
        <f>G123/D125</f>
        <v>0.88259651099445835</v>
      </c>
      <c r="D136" s="1298"/>
      <c r="E136" s="1298"/>
      <c r="F136" s="1298"/>
      <c r="G136" s="1298"/>
      <c r="H136" s="1298"/>
      <c r="I136" s="1299"/>
      <c r="J136" s="1487"/>
      <c r="K136" s="1488"/>
      <c r="P136" s="1487"/>
      <c r="Q136" s="1488"/>
      <c r="V136" s="1482"/>
      <c r="W136" s="1483"/>
    </row>
    <row r="137" spans="2:23" s="449" customFormat="1" ht="14.1" customHeight="1" thickBot="1">
      <c r="B137" s="461" t="s">
        <v>2737</v>
      </c>
      <c r="C137" s="464"/>
      <c r="J137" s="963">
        <f>SUM(J131:K136)</f>
        <v>0</v>
      </c>
      <c r="K137" s="964"/>
      <c r="P137" s="963">
        <f>SUM(P131:Q136)</f>
        <v>0</v>
      </c>
      <c r="Q137" s="964"/>
      <c r="V137" s="1485"/>
      <c r="W137" s="1486"/>
    </row>
    <row r="138" spans="2:23" s="449" customFormat="1" ht="3" customHeight="1"/>
    <row r="139" spans="2:23" s="449" customFormat="1" ht="15" customHeight="1" thickBot="1">
      <c r="B139" s="452" t="s">
        <v>3264</v>
      </c>
      <c r="V139" s="449" t="str">
        <f>B139</f>
        <v>Eligible Basis Calculation</v>
      </c>
    </row>
    <row r="140" spans="2:23" s="449" customFormat="1" ht="14.1" customHeight="1">
      <c r="B140" s="449" t="s">
        <v>2646</v>
      </c>
      <c r="J140" s="1058">
        <f>J123</f>
        <v>8923291</v>
      </c>
      <c r="K140" s="1059"/>
      <c r="M140" s="1056">
        <f>M123</f>
        <v>0</v>
      </c>
      <c r="N140" s="1057"/>
      <c r="P140" s="1058">
        <f>P123</f>
        <v>0</v>
      </c>
      <c r="Q140" s="1059"/>
      <c r="V140" s="1480"/>
      <c r="W140" s="1481"/>
    </row>
    <row r="141" spans="2:23" s="449" customFormat="1" ht="14.1" customHeight="1">
      <c r="B141" s="449" t="s">
        <v>3128</v>
      </c>
      <c r="J141" s="1042">
        <f>J137</f>
        <v>0</v>
      </c>
      <c r="K141" s="1050"/>
      <c r="M141" s="1043"/>
      <c r="N141" s="1043"/>
      <c r="P141" s="1042">
        <f>P137</f>
        <v>0</v>
      </c>
      <c r="Q141" s="1050"/>
      <c r="V141" s="1482"/>
      <c r="W141" s="1483"/>
    </row>
    <row r="142" spans="2:23" s="449" customFormat="1" ht="14.1" customHeight="1">
      <c r="B142" s="449" t="s">
        <v>3129</v>
      </c>
      <c r="J142" s="1042">
        <f>J140-J141</f>
        <v>8923291</v>
      </c>
      <c r="K142" s="1050"/>
      <c r="M142" s="1042">
        <f>M140</f>
        <v>0</v>
      </c>
      <c r="N142" s="1050"/>
      <c r="P142" s="1042">
        <f>P140-P141</f>
        <v>0</v>
      </c>
      <c r="Q142" s="1050"/>
      <c r="V142" s="1482"/>
      <c r="W142" s="1483"/>
    </row>
    <row r="143" spans="2:23" s="449" customFormat="1" ht="14.1" customHeight="1">
      <c r="B143" s="449" t="s">
        <v>2080</v>
      </c>
      <c r="G143" s="828" t="s">
        <v>2563</v>
      </c>
      <c r="H143" s="1286" t="s">
        <v>4080</v>
      </c>
      <c r="I143" s="1287"/>
      <c r="J143" s="1491">
        <v>1.07</v>
      </c>
      <c r="K143" s="1492"/>
      <c r="M143" s="1055"/>
      <c r="N143" s="1055"/>
      <c r="P143" s="1491"/>
      <c r="Q143" s="1492"/>
      <c r="V143" s="1482"/>
      <c r="W143" s="1483"/>
    </row>
    <row r="144" spans="2:23" s="449" customFormat="1" ht="14.1" customHeight="1">
      <c r="B144" s="449" t="s">
        <v>2943</v>
      </c>
      <c r="J144" s="1042">
        <f>J142*J143</f>
        <v>9547921.370000001</v>
      </c>
      <c r="K144" s="1050"/>
      <c r="M144" s="1042">
        <f>+M142</f>
        <v>0</v>
      </c>
      <c r="N144" s="1050"/>
      <c r="P144" s="1042">
        <f>P142*P143</f>
        <v>0</v>
      </c>
      <c r="Q144" s="1050"/>
      <c r="V144" s="1482"/>
      <c r="W144" s="1483"/>
    </row>
    <row r="145" spans="1:23" s="449" customFormat="1" ht="14.1" customHeight="1">
      <c r="B145" s="449" t="s">
        <v>3565</v>
      </c>
      <c r="J145" s="1051">
        <f>MIN('Part VI-Revenues &amp; Expenses'!$M$58/'Part VI-Revenues &amp; Expenses'!$M$60,'Part VI-Revenues &amp; Expenses'!$M$96/'Part VI-Revenues &amp; Expenses'!$M$98)</f>
        <v>1</v>
      </c>
      <c r="K145" s="1052"/>
      <c r="M145" s="1051">
        <f>MIN('Part VI-Revenues &amp; Expenses'!$M$58/'Part VI-Revenues &amp; Expenses'!$M$60,'Part VI-Revenues &amp; Expenses'!$M$96/'Part VI-Revenues &amp; Expenses'!$M$98)</f>
        <v>1</v>
      </c>
      <c r="N145" s="1052"/>
      <c r="P145" s="1051">
        <f>MIN('Part VI-Revenues &amp; Expenses'!$M$58/'Part VI-Revenues &amp; Expenses'!$M$60,'Part VI-Revenues &amp; Expenses'!$M$96/'Part VI-Revenues &amp; Expenses'!$M$98)</f>
        <v>1</v>
      </c>
      <c r="Q145" s="1052"/>
      <c r="V145" s="1482"/>
      <c r="W145" s="1483"/>
    </row>
    <row r="146" spans="1:23" s="449" customFormat="1" ht="14.1" customHeight="1">
      <c r="B146" s="449" t="s">
        <v>2931</v>
      </c>
      <c r="J146" s="1042">
        <f>J144*J145</f>
        <v>9547921.370000001</v>
      </c>
      <c r="K146" s="1050"/>
      <c r="M146" s="1042">
        <f>M144*M145</f>
        <v>0</v>
      </c>
      <c r="N146" s="1050"/>
      <c r="P146" s="1042">
        <f>P144*P145</f>
        <v>0</v>
      </c>
      <c r="Q146" s="1050"/>
      <c r="V146" s="1482"/>
      <c r="W146" s="1483"/>
    </row>
    <row r="147" spans="1:23" s="449" customFormat="1" ht="14.1" customHeight="1">
      <c r="B147" s="449" t="s">
        <v>2932</v>
      </c>
      <c r="J147" s="1491">
        <v>7.4300000000000005E-2</v>
      </c>
      <c r="K147" s="1492"/>
      <c r="M147" s="1491"/>
      <c r="N147" s="1492"/>
      <c r="P147" s="1491"/>
      <c r="Q147" s="1492"/>
      <c r="V147" s="1482"/>
      <c r="W147" s="1483"/>
    </row>
    <row r="148" spans="1:23" s="449" customFormat="1" ht="14.1" customHeight="1" thickBot="1">
      <c r="B148" s="449" t="s">
        <v>3566</v>
      </c>
      <c r="J148" s="1053">
        <f>J146*J147</f>
        <v>709410.55779100012</v>
      </c>
      <c r="K148" s="1054"/>
      <c r="M148" s="1053">
        <f>M146*M147</f>
        <v>0</v>
      </c>
      <c r="N148" s="1054"/>
      <c r="P148" s="1053">
        <f>P146*P147</f>
        <v>0</v>
      </c>
      <c r="Q148" s="1054"/>
      <c r="V148" s="1482"/>
      <c r="W148" s="1483"/>
    </row>
    <row r="149" spans="1:23" s="449" customFormat="1" ht="14.1" customHeight="1" thickBot="1">
      <c r="B149" s="452" t="s">
        <v>2004</v>
      </c>
      <c r="J149" s="963">
        <f>J148+M148+P148</f>
        <v>709410.55779100012</v>
      </c>
      <c r="K149" s="1049"/>
      <c r="L149" s="1049"/>
      <c r="M149" s="1049"/>
      <c r="N149" s="1049"/>
      <c r="O149" s="1049"/>
      <c r="P149" s="1049"/>
      <c r="Q149" s="964"/>
      <c r="V149" s="1485"/>
      <c r="W149" s="148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10144293.340241428</v>
      </c>
      <c r="K152" s="1034"/>
      <c r="L152" s="1034"/>
      <c r="M152" s="1039" t="s">
        <v>3956</v>
      </c>
      <c r="N152" s="1040"/>
      <c r="O152" s="1040"/>
      <c r="P152" s="1040"/>
      <c r="Q152" s="1040"/>
      <c r="R152" s="1041"/>
      <c r="S152" s="1029"/>
      <c r="T152" s="1030"/>
      <c r="V152" s="1480"/>
      <c r="W152" s="1481"/>
    </row>
    <row r="153" spans="1:23" s="449" customFormat="1" ht="14.1" customHeight="1">
      <c r="B153" s="449" t="s">
        <v>2491</v>
      </c>
      <c r="J153" s="1493">
        <f>G123</f>
        <v>10144293.340241428</v>
      </c>
      <c r="K153" s="1494"/>
      <c r="L153" s="1494"/>
      <c r="M153" s="1039"/>
      <c r="N153" s="1040"/>
      <c r="O153" s="1040"/>
      <c r="P153" s="1040"/>
      <c r="Q153" s="1040"/>
      <c r="R153" s="1041"/>
      <c r="S153" s="1029"/>
      <c r="T153" s="1030"/>
      <c r="V153" s="1482"/>
      <c r="W153" s="1483"/>
    </row>
    <row r="154" spans="1:23" s="449" customFormat="1" ht="14.1" customHeight="1">
      <c r="B154" s="449" t="s">
        <v>320</v>
      </c>
      <c r="J154" s="1042">
        <f>'Part III A-Sources of Funds'!$H$49-'Part III A-Sources of Funds'!$H$37-'Part III A-Sources of Funds'!$H$40-'Part III A-Sources of Funds'!$H$41</f>
        <v>1612379.9851978759</v>
      </c>
      <c r="K154" s="1043"/>
      <c r="L154" s="1043"/>
      <c r="M154" s="1039"/>
      <c r="N154" s="1040"/>
      <c r="O154" s="1040"/>
      <c r="P154" s="1040"/>
      <c r="Q154" s="1040"/>
      <c r="R154" s="1041"/>
      <c r="S154" s="648"/>
      <c r="T154" s="651" t="s">
        <v>322</v>
      </c>
      <c r="V154" s="1482"/>
      <c r="W154" s="1483"/>
    </row>
    <row r="155" spans="1:23" s="449" customFormat="1" ht="14.1" customHeight="1">
      <c r="B155" s="449" t="s">
        <v>3141</v>
      </c>
      <c r="J155" s="1042">
        <f>+J153-J154</f>
        <v>8531913.3550435528</v>
      </c>
      <c r="K155" s="1043"/>
      <c r="L155" s="1043"/>
      <c r="M155" s="1047" t="s">
        <v>3886</v>
      </c>
      <c r="N155" s="1495"/>
      <c r="O155" s="1495"/>
      <c r="P155" s="1495"/>
      <c r="Q155" s="1495"/>
      <c r="R155" s="1496"/>
      <c r="S155" s="649" t="s">
        <v>2493</v>
      </c>
      <c r="T155" s="1497" t="s">
        <v>3975</v>
      </c>
      <c r="V155" s="1482"/>
      <c r="W155" s="1483"/>
    </row>
    <row r="156" spans="1:23" s="449" customFormat="1" ht="14.1" customHeight="1" thickBot="1">
      <c r="B156" s="449" t="s">
        <v>1853</v>
      </c>
      <c r="J156" s="1048" t="str">
        <f>"/ 10"</f>
        <v>/ 10</v>
      </c>
      <c r="K156" s="1048"/>
      <c r="L156" s="1048"/>
      <c r="M156" s="1044">
        <f>'Part III A-Sources of Funds'!H36</f>
        <v>0</v>
      </c>
      <c r="N156" s="1045"/>
      <c r="O156" s="1045"/>
      <c r="P156" s="1045"/>
      <c r="Q156" s="1045"/>
      <c r="R156" s="1046"/>
      <c r="S156" s="650" t="s">
        <v>321</v>
      </c>
      <c r="T156" s="1498" t="s">
        <v>3975</v>
      </c>
      <c r="V156" s="1482"/>
      <c r="W156" s="1483"/>
    </row>
    <row r="157" spans="1:23" s="449" customFormat="1" ht="14.1" customHeight="1">
      <c r="B157" s="449" t="s">
        <v>1854</v>
      </c>
      <c r="J157" s="1042">
        <f>J155/10</f>
        <v>853191.33550435526</v>
      </c>
      <c r="K157" s="1043"/>
      <c r="L157" s="1050"/>
      <c r="M157" s="472"/>
      <c r="N157" s="896" t="s">
        <v>1855</v>
      </c>
      <c r="O157" s="896"/>
      <c r="Q157" s="896" t="s">
        <v>2655</v>
      </c>
      <c r="R157" s="896"/>
      <c r="V157" s="1482"/>
      <c r="W157" s="1483"/>
    </row>
    <row r="158" spans="1:23" s="449" customFormat="1" ht="14.1" customHeight="1" thickBot="1">
      <c r="B158" s="449" t="s">
        <v>2079</v>
      </c>
      <c r="J158" s="1031">
        <f>N158+Q158</f>
        <v>1.2000000000000002</v>
      </c>
      <c r="K158" s="1032"/>
      <c r="L158" s="1033"/>
      <c r="M158" s="828" t="s">
        <v>1856</v>
      </c>
      <c r="N158" s="1499">
        <v>0.92</v>
      </c>
      <c r="O158" s="1500"/>
      <c r="P158" s="828" t="s">
        <v>868</v>
      </c>
      <c r="Q158" s="1499">
        <v>0.28000000000000003</v>
      </c>
      <c r="R158" s="1500"/>
      <c r="V158" s="1482"/>
      <c r="W158" s="1483"/>
    </row>
    <row r="159" spans="1:23" s="449" customFormat="1" ht="14.1" customHeight="1" thickBot="1">
      <c r="B159" s="452" t="s">
        <v>2005</v>
      </c>
      <c r="J159" s="963">
        <f>IF(J158=0,"",J157/J158)</f>
        <v>710992.77958696266</v>
      </c>
      <c r="K159" s="1049"/>
      <c r="L159" s="964"/>
      <c r="M159" s="472"/>
      <c r="N159" s="833"/>
      <c r="O159" s="833"/>
      <c r="V159" s="1482"/>
      <c r="W159" s="1483"/>
    </row>
    <row r="160" spans="1:23" s="449" customFormat="1" ht="9" customHeight="1">
      <c r="J160" s="538"/>
      <c r="K160" s="538"/>
      <c r="L160" s="538"/>
      <c r="M160" s="472"/>
      <c r="N160" s="836"/>
      <c r="O160" s="836"/>
      <c r="V160" s="1482"/>
      <c r="W160" s="1483"/>
    </row>
    <row r="161" spans="1:23" s="449" customFormat="1" ht="16.350000000000001" customHeight="1">
      <c r="B161" s="452" t="s">
        <v>420</v>
      </c>
      <c r="J161" s="1011">
        <f>+MIN(J149,J159,'DCA Underwriting Assumptions'!$R$6)</f>
        <v>709410.55779100012</v>
      </c>
      <c r="K161" s="1012"/>
      <c r="L161" s="1013"/>
      <c r="M161" s="472"/>
      <c r="N161" s="836"/>
      <c r="O161" s="836"/>
      <c r="V161" s="1482"/>
      <c r="W161" s="1483"/>
    </row>
    <row r="162" spans="1:23" s="449" customFormat="1" ht="9.6" customHeight="1">
      <c r="J162" s="538"/>
      <c r="K162" s="538"/>
      <c r="L162" s="538"/>
      <c r="M162" s="472"/>
      <c r="N162" s="836"/>
      <c r="O162" s="836"/>
      <c r="V162" s="1482"/>
      <c r="W162" s="1483"/>
    </row>
    <row r="163" spans="1:23" s="449" customFormat="1" ht="16.350000000000001" customHeight="1">
      <c r="B163" s="452" t="s">
        <v>421</v>
      </c>
      <c r="J163" s="1501">
        <f>J161</f>
        <v>709410.55779100012</v>
      </c>
      <c r="K163" s="1502"/>
      <c r="L163" s="1503"/>
      <c r="M163" s="539" t="str">
        <f>IF(J161=0,"",IF(J163&gt;J161,"ALLOCATION CANNOT EXCEED MAXIMUM - REVISE REQUEST!",""))</f>
        <v/>
      </c>
      <c r="N163" s="836"/>
      <c r="O163" s="836"/>
      <c r="V163" s="1482"/>
      <c r="W163" s="1483"/>
    </row>
    <row r="164" spans="1:23" s="449" customFormat="1" ht="9.6" customHeight="1">
      <c r="J164" s="538"/>
      <c r="K164" s="538"/>
      <c r="L164" s="538"/>
      <c r="M164" s="472"/>
      <c r="N164" s="836"/>
      <c r="O164" s="836"/>
      <c r="V164" s="1482"/>
      <c r="W164" s="1483"/>
    </row>
    <row r="165" spans="1:23" s="449" customFormat="1" ht="16.350000000000001" customHeight="1">
      <c r="A165" s="685" t="s">
        <v>2648</v>
      </c>
      <c r="B165" s="685" t="s">
        <v>3669</v>
      </c>
      <c r="D165" s="472"/>
      <c r="E165" s="472"/>
      <c r="F165" s="455"/>
      <c r="J165" s="1011">
        <f>IF(J163="",0,+MIN(J161,J163))</f>
        <v>709410.55779100012</v>
      </c>
      <c r="K165" s="1012"/>
      <c r="L165" s="1013"/>
      <c r="N165" s="1504"/>
      <c r="O165" s="1504"/>
      <c r="P165" s="1504"/>
      <c r="Q165" s="1504"/>
      <c r="R165" s="1504"/>
      <c r="S165" s="1504"/>
      <c r="T165" s="1504"/>
      <c r="V165" s="1485"/>
      <c r="W165" s="1486"/>
    </row>
    <row r="166" spans="1:23" ht="3" customHeight="1"/>
    <row r="167" spans="1:23" ht="6" customHeight="1"/>
    <row r="168" spans="1:23" ht="12" customHeight="1">
      <c r="A168" s="452" t="s">
        <v>2650</v>
      </c>
      <c r="B168" s="481" t="s">
        <v>815</v>
      </c>
      <c r="K168" s="452" t="s">
        <v>765</v>
      </c>
      <c r="L168" s="452" t="s">
        <v>85</v>
      </c>
    </row>
    <row r="169" spans="1:23" ht="407.25" customHeight="1">
      <c r="A169" s="1505" t="s">
        <v>4131</v>
      </c>
      <c r="B169" s="1506"/>
      <c r="C169" s="1506"/>
      <c r="D169" s="1506"/>
      <c r="E169" s="1506"/>
      <c r="F169" s="1506"/>
      <c r="G169" s="1506"/>
      <c r="H169" s="1506"/>
      <c r="I169" s="1506"/>
      <c r="J169" s="1507"/>
      <c r="K169" s="1508">
        <f>6238842.355396-'Part III A-Sources of Funds'!H40</f>
        <v>-215942.42783275247</v>
      </c>
      <c r="L169" s="1506"/>
      <c r="M169" s="1506"/>
      <c r="N169" s="1506"/>
      <c r="O169" s="1506"/>
      <c r="P169" s="1506"/>
      <c r="Q169" s="1506"/>
      <c r="R169" s="1506"/>
      <c r="S169" s="1506"/>
      <c r="T169" s="1507"/>
      <c r="V169" s="987" t="s">
        <v>3964</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48:H48"/>
    <mergeCell ref="G9:H9"/>
    <mergeCell ref="G10:H10"/>
    <mergeCell ref="G11:H11"/>
    <mergeCell ref="J10:K10"/>
    <mergeCell ref="J11:K11"/>
    <mergeCell ref="J9:K9"/>
    <mergeCell ref="J12:K12"/>
    <mergeCell ref="J8:K8"/>
    <mergeCell ref="J36:K36"/>
    <mergeCell ref="J35:K35"/>
    <mergeCell ref="J42:K42"/>
    <mergeCell ref="G25:H25"/>
    <mergeCell ref="G23:H23"/>
    <mergeCell ref="G19:H19"/>
    <mergeCell ref="G17:H17"/>
    <mergeCell ref="J32:K32"/>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P54:Q54"/>
    <mergeCell ref="P60:Q60"/>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78:K78"/>
    <mergeCell ref="J77:K77"/>
    <mergeCell ref="P77:Q77"/>
    <mergeCell ref="S77:T77"/>
    <mergeCell ref="S78:T78"/>
    <mergeCell ref="P78:Q78"/>
    <mergeCell ref="S75:T75"/>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07:T107"/>
    <mergeCell ref="S115:T115"/>
    <mergeCell ref="C16:F16"/>
    <mergeCell ref="P10:Q10"/>
    <mergeCell ref="P11:Q11"/>
    <mergeCell ref="C14:F14"/>
    <mergeCell ref="G14:H14"/>
    <mergeCell ref="P74:Q74"/>
    <mergeCell ref="P115:Q115"/>
    <mergeCell ref="G50:H50"/>
    <mergeCell ref="G49:H49"/>
    <mergeCell ref="M48:N48"/>
    <mergeCell ref="M49:N49"/>
    <mergeCell ref="J49:K49"/>
    <mergeCell ref="M45:N46"/>
    <mergeCell ref="S10:T10"/>
    <mergeCell ref="J72:K72"/>
    <mergeCell ref="S57:T57"/>
    <mergeCell ref="S68:T68"/>
    <mergeCell ref="M71:N71"/>
    <mergeCell ref="P75:Q75"/>
    <mergeCell ref="S112:T112"/>
    <mergeCell ref="S54:T54"/>
    <mergeCell ref="S104:T104"/>
    <mergeCell ref="S109:T109"/>
    <mergeCell ref="P103:Q103"/>
    <mergeCell ref="P84:Q84"/>
    <mergeCell ref="P79:Q79"/>
    <mergeCell ref="P102:Q102"/>
    <mergeCell ref="P107:Q107"/>
    <mergeCell ref="P100:Q100"/>
    <mergeCell ref="P101:Q101"/>
    <mergeCell ref="S84:T84"/>
    <mergeCell ref="S83:T83"/>
    <mergeCell ref="S79:T79"/>
    <mergeCell ref="P80:Q80"/>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14:K14"/>
    <mergeCell ref="J13:K13"/>
    <mergeCell ref="M12:N1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15:K15"/>
    <mergeCell ref="G20:H20"/>
    <mergeCell ref="G21:H21"/>
    <mergeCell ref="G22:H22"/>
    <mergeCell ref="G13:H13"/>
    <mergeCell ref="G16:H16"/>
    <mergeCell ref="G12:H12"/>
    <mergeCell ref="G8:H8"/>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P137:Q137"/>
    <mergeCell ref="P134:Q134"/>
    <mergeCell ref="P121:Q121"/>
    <mergeCell ref="J161:L161"/>
    <mergeCell ref="J157:L157"/>
    <mergeCell ref="J159:L159"/>
    <mergeCell ref="J147:K147"/>
    <mergeCell ref="M148:N148"/>
    <mergeCell ref="M147:N147"/>
    <mergeCell ref="M123:N123"/>
    <mergeCell ref="M140:N140"/>
    <mergeCell ref="M141:N141"/>
    <mergeCell ref="J141:K141"/>
    <mergeCell ref="J128:K129"/>
    <mergeCell ref="J140:K140"/>
    <mergeCell ref="J135:K135"/>
    <mergeCell ref="J137:K137"/>
    <mergeCell ref="J134:K134"/>
    <mergeCell ref="J136:K136"/>
    <mergeCell ref="J133:K133"/>
    <mergeCell ref="M115:N115"/>
    <mergeCell ref="J163:L163"/>
    <mergeCell ref="J155:L155"/>
    <mergeCell ref="J156:L156"/>
    <mergeCell ref="M119:N119"/>
    <mergeCell ref="J117:K117"/>
    <mergeCell ref="J116:K116"/>
    <mergeCell ref="J119:K119"/>
    <mergeCell ref="J120:K120"/>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S117:T117"/>
    <mergeCell ref="G121:H121"/>
    <mergeCell ref="G120:H120"/>
    <mergeCell ref="G117:H117"/>
    <mergeCell ref="G119:H119"/>
    <mergeCell ref="M116:N116"/>
    <mergeCell ref="S123:T123"/>
    <mergeCell ref="S119:T119"/>
    <mergeCell ref="S120:T120"/>
    <mergeCell ref="S116:T116"/>
    <mergeCell ref="S121:T121"/>
    <mergeCell ref="P116:Q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C120:F120"/>
    <mergeCell ref="G123:H123"/>
    <mergeCell ref="G125:H125"/>
    <mergeCell ref="J123:K123"/>
    <mergeCell ref="C116:F116"/>
    <mergeCell ref="G116:H116"/>
    <mergeCell ref="M109:N109"/>
    <mergeCell ref="M106:N106"/>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G35">
    <cfRule type="cellIs" dxfId="8" priority="3" stopIfTrue="1" operator="greaterThan">
      <formula>$F34</formula>
    </cfRule>
  </conditionalFormatting>
  <conditionalFormatting sqref="J152">
    <cfRule type="cellIs" dxfId="7" priority="4" stopIfTrue="1" operator="lessThan">
      <formula>$J$153</formula>
    </cfRule>
  </conditionalFormatting>
  <conditionalFormatting sqref="J165:L165">
    <cfRule type="cellIs" dxfId="6" priority="5" stopIfTrue="1" operator="greaterThan">
      <formula>$J$161</formula>
    </cfRule>
  </conditionalFormatting>
  <conditionalFormatting sqref="J153:L153">
    <cfRule type="cellIs" dxfId="5" priority="8" stopIfTrue="1" operator="greaterThan">
      <formula>$J$152</formula>
    </cfRule>
  </conditionalFormatting>
  <conditionalFormatting sqref="J34:K34 M34:N34 P34:Q34">
    <cfRule type="cellIs" dxfId="4" priority="2" operator="greaterThan">
      <formula>$G$34</formula>
    </cfRule>
  </conditionalFormatting>
  <conditionalFormatting sqref="J35:K35 M35:N35 P35:Q35">
    <cfRule type="cellIs" dxfId="3" priority="1" operator="greaterThan">
      <formula>$G$35</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31</vt:i4>
      </vt:variant>
    </vt:vector>
  </HeadingPairs>
  <TitlesOfParts>
    <vt:vector size="49" baseType="lpstr">
      <vt:lpstr>Application Tabs Checklist</vt:lpstr>
      <vt:lpstr>Project Narrative</vt:lpstr>
      <vt:lpstr>Part I-Project Information</vt:lpstr>
      <vt:lpstr>Project Overview</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2012-06-14T18:21:47Z</cp:lastPrinted>
  <dcterms:created xsi:type="dcterms:W3CDTF">2005-09-15T20:51:37Z</dcterms:created>
  <dcterms:modified xsi:type="dcterms:W3CDTF">2012-08-03T22:07:07Z</dcterms:modified>
</cp:coreProperties>
</file>